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drawings/drawing2.xml" ContentType="application/vnd.openxmlformats-officedocument.drawing+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drawings/drawing3.xml" ContentType="application/vnd.openxmlformats-officedocument.drawing+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drawings/drawing4.xml" ContentType="application/vnd.openxmlformats-officedocument.drawing+xml"/>
  <Override PartName="/xl/charts/chart10.xml" ContentType="application/vnd.openxmlformats-officedocument.drawingml.chart+xml"/>
  <Override PartName="/xl/charts/style10.xml" ContentType="application/vnd.ms-office.chartstyle+xml"/>
  <Override PartName="/xl/charts/colors10.xml" ContentType="application/vnd.ms-office.chartcolorstyle+xml"/>
  <Override PartName="/xl/charts/chart11.xml" ContentType="application/vnd.openxmlformats-officedocument.drawingml.chart+xml"/>
  <Override PartName="/xl/charts/style11.xml" ContentType="application/vnd.ms-office.chartstyle+xml"/>
  <Override PartName="/xl/charts/colors11.xml" ContentType="application/vnd.ms-office.chartcolorstyle+xml"/>
  <Override PartName="/xl/charts/chart12.xml" ContentType="application/vnd.openxmlformats-officedocument.drawingml.chart+xml"/>
  <Override PartName="/xl/charts/style12.xml" ContentType="application/vnd.ms-office.chartstyle+xml"/>
  <Override PartName="/xl/charts/colors12.xml" ContentType="application/vnd.ms-office.chartcolorstyle+xml"/>
  <Override PartName="/xl/drawings/drawing5.xml" ContentType="application/vnd.openxmlformats-officedocument.drawing+xml"/>
  <Override PartName="/xl/charts/chart13.xml" ContentType="application/vnd.openxmlformats-officedocument.drawingml.chart+xml"/>
  <Override PartName="/xl/charts/style13.xml" ContentType="application/vnd.ms-office.chartstyle+xml"/>
  <Override PartName="/xl/charts/colors13.xml" ContentType="application/vnd.ms-office.chartcolorstyle+xml"/>
  <Override PartName="/xl/charts/chart14.xml" ContentType="application/vnd.openxmlformats-officedocument.drawingml.chart+xml"/>
  <Override PartName="/xl/charts/style14.xml" ContentType="application/vnd.ms-office.chartstyle+xml"/>
  <Override PartName="/xl/charts/colors14.xml" ContentType="application/vnd.ms-office.chartcolorstyle+xml"/>
  <Override PartName="/xl/charts/chart15.xml" ContentType="application/vnd.openxmlformats-officedocument.drawingml.chart+xml"/>
  <Override PartName="/xl/charts/style15.xml" ContentType="application/vnd.ms-office.chartstyle+xml"/>
  <Override PartName="/xl/charts/colors15.xml" ContentType="application/vnd.ms-office.chartcolorstyle+xml"/>
  <Override PartName="/xl/charts/chart16.xml" ContentType="application/vnd.openxmlformats-officedocument.drawingml.chart+xml"/>
  <Override PartName="/xl/charts/style16.xml" ContentType="application/vnd.ms-office.chartstyle+xml"/>
  <Override PartName="/xl/charts/colors16.xml" ContentType="application/vnd.ms-office.chartcolorstyle+xml"/>
  <Override PartName="/xl/drawings/drawing6.xml" ContentType="application/vnd.openxmlformats-officedocument.drawing+xml"/>
  <Override PartName="/xl/charts/chart17.xml" ContentType="application/vnd.openxmlformats-officedocument.drawingml.chart+xml"/>
  <Override PartName="/xl/charts/style17.xml" ContentType="application/vnd.ms-office.chartstyle+xml"/>
  <Override PartName="/xl/charts/colors17.xml" ContentType="application/vnd.ms-office.chartcolorstyle+xml"/>
  <Override PartName="/xl/charts/chart18.xml" ContentType="application/vnd.openxmlformats-officedocument.drawingml.chart+xml"/>
  <Override PartName="/xl/charts/style18.xml" ContentType="application/vnd.ms-office.chartstyle+xml"/>
  <Override PartName="/xl/charts/colors18.xml" ContentType="application/vnd.ms-office.chartcolorstyle+xml"/>
  <Override PartName="/xl/charts/chart19.xml" ContentType="application/vnd.openxmlformats-officedocument.drawingml.chart+xml"/>
  <Override PartName="/xl/charts/style19.xml" ContentType="application/vnd.ms-office.chartstyle+xml"/>
  <Override PartName="/xl/charts/colors19.xml" ContentType="application/vnd.ms-office.chartcolorstyle+xml"/>
  <Override PartName="/xl/charts/chart20.xml" ContentType="application/vnd.openxmlformats-officedocument.drawingml.chart+xml"/>
  <Override PartName="/xl/charts/style20.xml" ContentType="application/vnd.ms-office.chartstyle+xml"/>
  <Override PartName="/xl/charts/colors20.xml" ContentType="application/vnd.ms-office.chartcolorstyle+xml"/>
  <Override PartName="/xl/charts/chart21.xml" ContentType="application/vnd.openxmlformats-officedocument.drawingml.chart+xml"/>
  <Override PartName="/xl/charts/style21.xml" ContentType="application/vnd.ms-office.chartstyle+xml"/>
  <Override PartName="/xl/charts/colors21.xml" ContentType="application/vnd.ms-office.chartcolorstyle+xml"/>
  <Override PartName="/xl/drawings/drawing7.xml" ContentType="application/vnd.openxmlformats-officedocument.drawing+xml"/>
  <Override PartName="/xl/charts/chart22.xml" ContentType="application/vnd.openxmlformats-officedocument.drawingml.chart+xml"/>
  <Override PartName="/xl/charts/style22.xml" ContentType="application/vnd.ms-office.chartstyle+xml"/>
  <Override PartName="/xl/charts/colors22.xml" ContentType="application/vnd.ms-office.chartcolorstyle+xml"/>
  <Override PartName="/xl/charts/chart23.xml" ContentType="application/vnd.openxmlformats-officedocument.drawingml.chart+xml"/>
  <Override PartName="/xl/charts/style23.xml" ContentType="application/vnd.ms-office.chartstyle+xml"/>
  <Override PartName="/xl/charts/colors23.xml" ContentType="application/vnd.ms-office.chartcolorstyle+xml"/>
  <Override PartName="/xl/charts/chart24.xml" ContentType="application/vnd.openxmlformats-officedocument.drawingml.chart+xml"/>
  <Override PartName="/xl/charts/style24.xml" ContentType="application/vnd.ms-office.chartstyle+xml"/>
  <Override PartName="/xl/charts/colors24.xml" ContentType="application/vnd.ms-office.chartcolorstyle+xml"/>
  <Override PartName="/xl/charts/chart25.xml" ContentType="application/vnd.openxmlformats-officedocument.drawingml.chart+xml"/>
  <Override PartName="/xl/charts/style25.xml" ContentType="application/vnd.ms-office.chartstyle+xml"/>
  <Override PartName="/xl/charts/colors25.xml" ContentType="application/vnd.ms-office.chartcolorstyle+xml"/>
  <Override PartName="/xl/charts/chart26.xml" ContentType="application/vnd.openxmlformats-officedocument.drawingml.chart+xml"/>
  <Override PartName="/xl/charts/style26.xml" ContentType="application/vnd.ms-office.chartstyle+xml"/>
  <Override PartName="/xl/charts/colors26.xml" ContentType="application/vnd.ms-office.chartcolorstyle+xml"/>
  <Override PartName="/xl/charts/chart27.xml" ContentType="application/vnd.openxmlformats-officedocument.drawingml.chart+xml"/>
  <Override PartName="/xl/charts/style27.xml" ContentType="application/vnd.ms-office.chartstyle+xml"/>
  <Override PartName="/xl/charts/colors27.xml" ContentType="application/vnd.ms-office.chartcolorstyle+xml"/>
  <Override PartName="/xl/charts/chart28.xml" ContentType="application/vnd.openxmlformats-officedocument.drawingml.chart+xml"/>
  <Override PartName="/xl/charts/style28.xml" ContentType="application/vnd.ms-office.chartstyle+xml"/>
  <Override PartName="/xl/charts/colors28.xml" ContentType="application/vnd.ms-office.chartcolorstyle+xml"/>
  <Override PartName="/xl/charts/chart29.xml" ContentType="application/vnd.openxmlformats-officedocument.drawingml.chart+xml"/>
  <Override PartName="/xl/charts/style29.xml" ContentType="application/vnd.ms-office.chartstyle+xml"/>
  <Override PartName="/xl/charts/colors29.xml" ContentType="application/vnd.ms-office.chartcolorstyle+xml"/>
  <Override PartName="/xl/charts/chart30.xml" ContentType="application/vnd.openxmlformats-officedocument.drawingml.chart+xml"/>
  <Override PartName="/xl/charts/style30.xml" ContentType="application/vnd.ms-office.chartstyle+xml"/>
  <Override PartName="/xl/charts/colors30.xml" ContentType="application/vnd.ms-office.chartcolorstyle+xml"/>
  <Override PartName="/xl/drawings/drawing8.xml" ContentType="application/vnd.openxmlformats-officedocument.drawing+xml"/>
  <Override PartName="/xl/charts/chart31.xml" ContentType="application/vnd.openxmlformats-officedocument.drawingml.chart+xml"/>
  <Override PartName="/xl/charts/chart32.xml" ContentType="application/vnd.openxmlformats-officedocument.drawingml.chart+xml"/>
  <Override PartName="/xl/charts/chart33.xml" ContentType="application/vnd.openxmlformats-officedocument.drawingml.chart+xml"/>
  <Override PartName="/xl/charts/chart34.xml" ContentType="application/vnd.openxmlformats-officedocument.drawingml.chart+xml"/>
  <Override PartName="/xl/charts/style31.xml" ContentType="application/vnd.ms-office.chartstyle+xml"/>
  <Override PartName="/xl/charts/colors31.xml" ContentType="application/vnd.ms-office.chartcolorstyle+xml"/>
  <Override PartName="/xl/charts/chart35.xml" ContentType="application/vnd.openxmlformats-officedocument.drawingml.chart+xml"/>
  <Override PartName="/xl/charts/chart36.xml" ContentType="application/vnd.openxmlformats-officedocument.drawingml.chart+xml"/>
  <Override PartName="/xl/charts/chart37.xml" ContentType="application/vnd.openxmlformats-officedocument.drawingml.chart+xml"/>
  <Override PartName="/xl/charts/chart38.xml" ContentType="application/vnd.openxmlformats-officedocument.drawingml.chart+xml"/>
  <Override PartName="/xl/charts/style32.xml" ContentType="application/vnd.ms-office.chartstyle+xml"/>
  <Override PartName="/xl/charts/colors32.xml" ContentType="application/vnd.ms-office.chartcolorstyle+xml"/>
  <Override PartName="/xl/charts/chart39.xml" ContentType="application/vnd.openxmlformats-officedocument.drawingml.chart+xml"/>
  <Override PartName="/xl/charts/style33.xml" ContentType="application/vnd.ms-office.chartstyle+xml"/>
  <Override PartName="/xl/charts/colors33.xml" ContentType="application/vnd.ms-office.chartcolorstyle+xml"/>
  <Override PartName="/xl/charts/chart40.xml" ContentType="application/vnd.openxmlformats-officedocument.drawingml.chart+xml"/>
  <Override PartName="/xl/charts/style34.xml" ContentType="application/vnd.ms-office.chartstyle+xml"/>
  <Override PartName="/xl/charts/colors34.xml" ContentType="application/vnd.ms-office.chartcolorstyle+xml"/>
  <Override PartName="/xl/charts/chart41.xml" ContentType="application/vnd.openxmlformats-officedocument.drawingml.chart+xml"/>
  <Override PartName="/xl/charts/style35.xml" ContentType="application/vnd.ms-office.chartstyle+xml"/>
  <Override PartName="/xl/charts/colors35.xml" ContentType="application/vnd.ms-office.chartcolorstyle+xml"/>
  <Override PartName="/xl/charts/chart42.xml" ContentType="application/vnd.openxmlformats-officedocument.drawingml.chart+xml"/>
  <Override PartName="/xl/charts/chart43.xml" ContentType="application/vnd.openxmlformats-officedocument.drawingml.chart+xml"/>
  <Override PartName="/xl/charts/chart44.xml" ContentType="application/vnd.openxmlformats-officedocument.drawingml.chart+xml"/>
  <Override PartName="/xl/charts/chart45.xml" ContentType="application/vnd.openxmlformats-officedocument.drawingml.chart+xml"/>
  <Override PartName="/xl/charts/chart46.xml" ContentType="application/vnd.openxmlformats-officedocument.drawingml.chart+xml"/>
  <Override PartName="/xl/charts/chart47.xml" ContentType="application/vnd.openxmlformats-officedocument.drawingml.chart+xml"/>
  <Override PartName="/xl/charts/style36.xml" ContentType="application/vnd.ms-office.chartstyle+xml"/>
  <Override PartName="/xl/charts/colors36.xml" ContentType="application/vnd.ms-office.chartcolorstyle+xml"/>
  <Override PartName="/xl/charts/chart48.xml" ContentType="application/vnd.openxmlformats-officedocument.drawingml.chart+xml"/>
  <Override PartName="/xl/charts/style37.xml" ContentType="application/vnd.ms-office.chartstyle+xml"/>
  <Override PartName="/xl/charts/colors37.xml" ContentType="application/vnd.ms-office.chartcolorstyle+xml"/>
  <Override PartName="/xl/charts/chart49.xml" ContentType="application/vnd.openxmlformats-officedocument.drawingml.chart+xml"/>
  <Override PartName="/xl/charts/chart50.xml" ContentType="application/vnd.openxmlformats-officedocument.drawingml.chart+xml"/>
  <Override PartName="/xl/charts/chart51.xml" ContentType="application/vnd.openxmlformats-officedocument.drawingml.chart+xml"/>
  <Override PartName="/xl/charts/chart52.xml" ContentType="application/vnd.openxmlformats-officedocument.drawingml.chart+xml"/>
  <Override PartName="/xl/charts/chart53.xml" ContentType="application/vnd.openxmlformats-officedocument.drawingml.chart+xml"/>
  <Override PartName="/xl/charts/chart54.xml" ContentType="application/vnd.openxmlformats-officedocument.drawingml.chart+xml"/>
  <Override PartName="/xl/charts/chart55.xml" ContentType="application/vnd.openxmlformats-officedocument.drawingml.chart+xml"/>
  <Override PartName="/xl/charts/chart56.xml" ContentType="application/vnd.openxmlformats-officedocument.drawingml.chart+xml"/>
  <Override PartName="/xl/charts/style38.xml" ContentType="application/vnd.ms-office.chartstyle+xml"/>
  <Override PartName="/xl/charts/colors38.xml" ContentType="application/vnd.ms-office.chartcolorstyle+xml"/>
  <Override PartName="/xl/charts/chart57.xml" ContentType="application/vnd.openxmlformats-officedocument.drawingml.chart+xml"/>
  <Override PartName="/xl/charts/style39.xml" ContentType="application/vnd.ms-office.chartstyle+xml"/>
  <Override PartName="/xl/charts/colors39.xml" ContentType="application/vnd.ms-office.chartcolorstyle+xml"/>
  <Override PartName="/xl/charts/chart58.xml" ContentType="application/vnd.openxmlformats-officedocument.drawingml.chart+xml"/>
  <Override PartName="/xl/charts/style40.xml" ContentType="application/vnd.ms-office.chartstyle+xml"/>
  <Override PartName="/xl/charts/colors40.xml" ContentType="application/vnd.ms-office.chartcolorstyle+xml"/>
  <Override PartName="/xl/charts/chart59.xml" ContentType="application/vnd.openxmlformats-officedocument.drawingml.chart+xml"/>
  <Override PartName="/xl/charts/style41.xml" ContentType="application/vnd.ms-office.chartstyle+xml"/>
  <Override PartName="/xl/charts/colors41.xml" ContentType="application/vnd.ms-office.chartcolorstyle+xml"/>
  <Override PartName="/xl/charts/chart60.xml" ContentType="application/vnd.openxmlformats-officedocument.drawingml.chart+xml"/>
  <Override PartName="/xl/charts/chart61.xml" ContentType="application/vnd.openxmlformats-officedocument.drawingml.chart+xml"/>
  <Override PartName="/xl/charts/chart62.xml" ContentType="application/vnd.openxmlformats-officedocument.drawingml.chart+xml"/>
  <Override PartName="/xl/charts/chart63.xml" ContentType="application/vnd.openxmlformats-officedocument.drawingml.chart+xml"/>
  <Override PartName="/xl/charts/style42.xml" ContentType="application/vnd.ms-office.chartstyle+xml"/>
  <Override PartName="/xl/charts/colors42.xml" ContentType="application/vnd.ms-office.chartcolorstyle+xml"/>
  <Override PartName="/xl/charts/chart64.xml" ContentType="application/vnd.openxmlformats-officedocument.drawingml.chart+xml"/>
  <Override PartName="/xl/charts/chart65.xml" ContentType="application/vnd.openxmlformats-officedocument.drawingml.chart+xml"/>
  <Override PartName="/xl/charts/chart66.xml" ContentType="application/vnd.openxmlformats-officedocument.drawingml.chart+xml"/>
  <Override PartName="/xl/charts/chart67.xml" ContentType="application/vnd.openxmlformats-officedocument.drawingml.chart+xml"/>
  <Override PartName="/xl/charts/style43.xml" ContentType="application/vnd.ms-office.chartstyle+xml"/>
  <Override PartName="/xl/charts/colors43.xml" ContentType="application/vnd.ms-office.chartcolorstyle+xml"/>
  <Override PartName="/xl/charts/chart68.xml" ContentType="application/vnd.openxmlformats-officedocument.drawingml.chart+xml"/>
  <Override PartName="/xl/charts/chart69.xml" ContentType="application/vnd.openxmlformats-officedocument.drawingml.chart+xml"/>
  <Override PartName="/xl/charts/chart70.xml" ContentType="application/vnd.openxmlformats-officedocument.drawingml.chart+xml"/>
  <Override PartName="/xl/charts/chart71.xml" ContentType="application/vnd.openxmlformats-officedocument.drawingml.chart+xml"/>
  <Override PartName="/xl/charts/style44.xml" ContentType="application/vnd.ms-office.chartstyle+xml"/>
  <Override PartName="/xl/charts/colors44.xml" ContentType="application/vnd.ms-office.chartcolorstyle+xml"/>
  <Override PartName="/xl/charts/chart72.xml" ContentType="application/vnd.openxmlformats-officedocument.drawingml.chart+xml"/>
  <Override PartName="/xl/charts/chart73.xml" ContentType="application/vnd.openxmlformats-officedocument.drawingml.chart+xml"/>
  <Override PartName="/xl/charts/chart74.xml" ContentType="application/vnd.openxmlformats-officedocument.drawingml.chart+xml"/>
  <Override PartName="/xl/charts/style45.xml" ContentType="application/vnd.ms-office.chartstyle+xml"/>
  <Override PartName="/xl/charts/colors45.xml" ContentType="application/vnd.ms-office.chartcolorstyle+xml"/>
  <Override PartName="/xl/charts/chart75.xml" ContentType="application/vnd.openxmlformats-officedocument.drawingml.chart+xml"/>
  <Override PartName="/xl/charts/style46.xml" ContentType="application/vnd.ms-office.chartstyle+xml"/>
  <Override PartName="/xl/charts/colors46.xml" ContentType="application/vnd.ms-office.chartcolorstyle+xml"/>
  <Override PartName="/xl/charts/chart76.xml" ContentType="application/vnd.openxmlformats-officedocument.drawingml.chart+xml"/>
  <Override PartName="/xl/charts/style47.xml" ContentType="application/vnd.ms-office.chartstyle+xml"/>
  <Override PartName="/xl/charts/colors47.xml" ContentType="application/vnd.ms-office.chartcolorstyle+xml"/>
  <Override PartName="/xl/charts/chart77.xml" ContentType="application/vnd.openxmlformats-officedocument.drawingml.chart+xml"/>
  <Override PartName="/xl/charts/style48.xml" ContentType="application/vnd.ms-office.chartstyle+xml"/>
  <Override PartName="/xl/charts/colors48.xml" ContentType="application/vnd.ms-office.chartcolorstyle+xml"/>
  <Override PartName="/xl/charts/chart78.xml" ContentType="application/vnd.openxmlformats-officedocument.drawingml.chart+xml"/>
  <Override PartName="/xl/charts/style49.xml" ContentType="application/vnd.ms-office.chartstyle+xml"/>
  <Override PartName="/xl/charts/colors49.xml" ContentType="application/vnd.ms-office.chartcolorstyle+xml"/>
  <Override PartName="/xl/charts/chart79.xml" ContentType="application/vnd.openxmlformats-officedocument.drawingml.chart+xml"/>
  <Override PartName="/xl/charts/style50.xml" ContentType="application/vnd.ms-office.chartstyle+xml"/>
  <Override PartName="/xl/charts/colors50.xml" ContentType="application/vnd.ms-office.chartcolorstyle+xml"/>
  <Override PartName="/xl/drawings/drawing9.xml" ContentType="application/vnd.openxmlformats-officedocument.drawing+xml"/>
  <Override PartName="/xl/charts/chart80.xml" ContentType="application/vnd.openxmlformats-officedocument.drawingml.chart+xml"/>
  <Override PartName="/xl/charts/style51.xml" ContentType="application/vnd.ms-office.chartstyle+xml"/>
  <Override PartName="/xl/charts/colors51.xml" ContentType="application/vnd.ms-office.chartcolorstyle+xml"/>
  <Override PartName="/xl/charts/chart81.xml" ContentType="application/vnd.openxmlformats-officedocument.drawingml.chart+xml"/>
  <Override PartName="/xl/charts/style52.xml" ContentType="application/vnd.ms-office.chartstyle+xml"/>
  <Override PartName="/xl/charts/colors52.xml" ContentType="application/vnd.ms-office.chartcolorstyle+xml"/>
  <Override PartName="/xl/charts/chart82.xml" ContentType="application/vnd.openxmlformats-officedocument.drawingml.chart+xml"/>
  <Override PartName="/xl/charts/style53.xml" ContentType="application/vnd.ms-office.chartstyle+xml"/>
  <Override PartName="/xl/charts/colors53.xml" ContentType="application/vnd.ms-office.chartcolorstyle+xml"/>
  <Override PartName="/xl/charts/chart83.xml" ContentType="application/vnd.openxmlformats-officedocument.drawingml.chart+xml"/>
  <Override PartName="/xl/charts/style54.xml" ContentType="application/vnd.ms-office.chartstyle+xml"/>
  <Override PartName="/xl/charts/colors54.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everahi\Desktop\"/>
    </mc:Choice>
  </mc:AlternateContent>
  <bookViews>
    <workbookView xWindow="0" yWindow="0" windowWidth="20490" windowHeight="7755" tabRatio="696" firstSheet="8" activeTab="9"/>
  </bookViews>
  <sheets>
    <sheet name="PALANCA DE CRECIMIENTO" sheetId="13" r:id="rId1"/>
    <sheet name="CICLO DE CAJA " sheetId="12" r:id="rId2"/>
    <sheet name="PKT" sheetId="11" r:id="rId3"/>
    <sheet name="FCL" sheetId="14" r:id="rId4"/>
    <sheet name="EBITDA" sheetId="10" r:id="rId5"/>
    <sheet name="DUPONT" sheetId="21" r:id="rId6"/>
    <sheet name="OTROS INDICADORES" sheetId="22" r:id="rId7"/>
    <sheet name="TABLA AMORTIZACION" sheetId="24" r:id="rId8"/>
    <sheet name="CRECIMIENTO ANUAL COMPUESTO" sheetId="23" r:id="rId9"/>
    <sheet name="COMPARATIVO INDUCTORES" sheetId="20" r:id="rId10"/>
    <sheet name="FLUJOS DE CAJA" sheetId="15" r:id="rId11"/>
    <sheet name="INDICADORES BASICOS" sheetId="1" state="hidden" r:id="rId12"/>
    <sheet name="EST. RESUL. HIST." sheetId="19" state="hidden" r:id="rId13"/>
    <sheet name="ESF CONSOLI 17-16" sheetId="16" r:id="rId14"/>
    <sheet name="ESF CONSOLI 16-15" sheetId="17" r:id="rId15"/>
    <sheet name="ESF CONSOLI 15-14" sheetId="18" r:id="rId16"/>
    <sheet name="ER 2017" sheetId="9" r:id="rId17"/>
    <sheet name="ESF 2017" sheetId="8" r:id="rId18"/>
    <sheet name=" ER 2016" sheetId="2" r:id="rId19"/>
    <sheet name="ESF 2016" sheetId="3" r:id="rId20"/>
    <sheet name="ER 2015" sheetId="6" r:id="rId21"/>
    <sheet name="ESF 2015" sheetId="7" r:id="rId22"/>
    <sheet name="ER 2014" sheetId="4" r:id="rId23"/>
    <sheet name="BALANCE 2014" sheetId="5" r:id="rId24"/>
  </sheets>
  <externalReferences>
    <externalReference r:id="rId25"/>
  </externalReferences>
  <definedNames>
    <definedName name="_xlnm.Print_Area" localSheetId="22">'ER 2014'!$A$1:$C$49</definedName>
    <definedName name="_xlnm.Print_Area" localSheetId="19">'ESF 2016'!$A$1:$E$105</definedName>
    <definedName name="_xlnm.Print_Area" localSheetId="17">'ESF 2017'!$A$1:$F$104</definedName>
    <definedName name="_xlnm.Print_Area" localSheetId="15">'ESF CONSOLI 15-14'!$A$1:$D$85</definedName>
    <definedName name="_xlnm.Print_Area" localSheetId="14">'ESF CONSOLI 16-15'!$A$1:$D$105</definedName>
    <definedName name="_xlnm.Print_Area" localSheetId="11">'INDICADORES BASICOS'!$A$4:$L$740</definedName>
  </definedNames>
  <calcPr calcId="162913"/>
</workbook>
</file>

<file path=xl/calcChain.xml><?xml version="1.0" encoding="utf-8"?>
<calcChain xmlns="http://schemas.openxmlformats.org/spreadsheetml/2006/main">
  <c r="B7" i="24" l="1"/>
  <c r="A7" i="24"/>
  <c r="A8" i="24" s="1"/>
  <c r="A9" i="24" s="1"/>
  <c r="A10" i="24" s="1"/>
  <c r="A11" i="24" s="1"/>
  <c r="A12" i="24" s="1"/>
  <c r="A13" i="24" s="1"/>
  <c r="A14" i="24" s="1"/>
  <c r="A15" i="24" s="1"/>
  <c r="A16" i="24" s="1"/>
  <c r="A17" i="24" s="1"/>
  <c r="A18" i="24" s="1"/>
  <c r="E6" i="24"/>
  <c r="C7" i="24" s="1"/>
  <c r="D7" i="24" l="1"/>
  <c r="E7" i="24" s="1"/>
  <c r="C8" i="24" s="1"/>
  <c r="B8" i="24"/>
  <c r="B9" i="24" l="1"/>
  <c r="D8" i="24"/>
  <c r="E8" i="24" s="1"/>
  <c r="B10" i="24" l="1"/>
  <c r="C9" i="24"/>
  <c r="D9" i="24" s="1"/>
  <c r="E9" i="24" s="1"/>
  <c r="C10" i="24" l="1"/>
  <c r="D10" i="24" s="1"/>
  <c r="E10" i="24" s="1"/>
  <c r="B11" i="24"/>
  <c r="B12" i="24" l="1"/>
  <c r="C11" i="24"/>
  <c r="D11" i="24" s="1"/>
  <c r="E11" i="24" s="1"/>
  <c r="C12" i="24" l="1"/>
  <c r="D12" i="24" s="1"/>
  <c r="E12" i="24" s="1"/>
  <c r="B13" i="24"/>
  <c r="C13" i="24" l="1"/>
  <c r="D13" i="24" s="1"/>
  <c r="E13" i="24" s="1"/>
  <c r="B14" i="24"/>
  <c r="C14" i="24" l="1"/>
  <c r="D14" i="24" s="1"/>
  <c r="E14" i="24" s="1"/>
  <c r="B15" i="24"/>
  <c r="C15" i="24" l="1"/>
  <c r="D15" i="24"/>
  <c r="E15" i="24" s="1"/>
  <c r="B16" i="24"/>
  <c r="C16" i="24" l="1"/>
  <c r="D16" i="24" s="1"/>
  <c r="E16" i="24" s="1"/>
  <c r="B17" i="24"/>
  <c r="C17" i="24" l="1"/>
  <c r="D17" i="24" s="1"/>
  <c r="E17" i="24" s="1"/>
  <c r="B18" i="24"/>
  <c r="C18" i="24" l="1"/>
  <c r="D18" i="24" s="1"/>
  <c r="E18" i="24" s="1"/>
  <c r="C4" i="23" l="1"/>
  <c r="D4" i="23" s="1"/>
  <c r="E4" i="23" s="1"/>
  <c r="C12" i="22" l="1"/>
  <c r="C43" i="22" l="1"/>
  <c r="F24" i="22" l="1"/>
  <c r="F130" i="1" l="1"/>
  <c r="CE70" i="21" s="1"/>
  <c r="CA72" i="21" s="1"/>
  <c r="F129" i="1"/>
  <c r="F131" i="1"/>
  <c r="CE24" i="21"/>
  <c r="AO19" i="21"/>
  <c r="T19" i="21"/>
  <c r="F14" i="19" l="1"/>
  <c r="F15" i="19"/>
  <c r="F17" i="19"/>
  <c r="F18" i="19"/>
  <c r="F12" i="19"/>
  <c r="F11" i="15" l="1"/>
  <c r="F10" i="15"/>
  <c r="C62" i="18"/>
  <c r="C63" i="18" s="1"/>
  <c r="B43" i="18"/>
  <c r="C42" i="18"/>
  <c r="C43" i="18" s="1"/>
  <c r="C26" i="18"/>
  <c r="C17" i="18"/>
  <c r="C18" i="18" s="1"/>
  <c r="C14" i="18"/>
  <c r="D15" i="18"/>
  <c r="D16" i="18"/>
  <c r="D49" i="18"/>
  <c r="D72" i="18"/>
  <c r="D73" i="18"/>
  <c r="D76" i="18"/>
  <c r="C10" i="18"/>
  <c r="C9" i="18"/>
  <c r="C11" i="18" s="1"/>
  <c r="F39" i="15" s="1"/>
  <c r="B66" i="18"/>
  <c r="B67" i="18" s="1"/>
  <c r="B62" i="18"/>
  <c r="B63" i="18" s="1"/>
  <c r="A55" i="18"/>
  <c r="B50" i="18"/>
  <c r="D50" i="18" s="1"/>
  <c r="B48" i="18"/>
  <c r="D48" i="18" s="1"/>
  <c r="B47" i="18"/>
  <c r="D47" i="18" s="1"/>
  <c r="B26" i="18"/>
  <c r="B28" i="18" s="1"/>
  <c r="B30" i="18" s="1"/>
  <c r="B17" i="18"/>
  <c r="D17" i="18" s="1"/>
  <c r="F17" i="15" s="1"/>
  <c r="B10" i="18"/>
  <c r="D10" i="18" s="1"/>
  <c r="B9" i="18"/>
  <c r="D9" i="18" s="1"/>
  <c r="D8" i="15"/>
  <c r="D42" i="18" l="1"/>
  <c r="F18" i="15" s="1"/>
  <c r="C20" i="18"/>
  <c r="D26" i="18"/>
  <c r="F28" i="15" s="1"/>
  <c r="D66" i="18"/>
  <c r="B51" i="18"/>
  <c r="D51" i="18" s="1"/>
  <c r="F20" i="15" s="1"/>
  <c r="C28" i="18"/>
  <c r="C30" i="18" s="1"/>
  <c r="B11" i="18"/>
  <c r="D11" i="18" s="1"/>
  <c r="C86" i="17"/>
  <c r="C87" i="17" s="1"/>
  <c r="C82" i="17"/>
  <c r="C83" i="17" s="1"/>
  <c r="C62" i="17"/>
  <c r="D62" i="17" s="1"/>
  <c r="C64" i="17"/>
  <c r="C61" i="17"/>
  <c r="C42" i="17"/>
  <c r="C32" i="18" l="1"/>
  <c r="C65" i="17"/>
  <c r="C23" i="10"/>
  <c r="B49" i="9"/>
  <c r="C36" i="17"/>
  <c r="C38" i="17" s="1"/>
  <c r="D27" i="17"/>
  <c r="C28" i="17"/>
  <c r="D16" i="17"/>
  <c r="D16" i="15" s="1"/>
  <c r="D16" i="16"/>
  <c r="C17" i="17"/>
  <c r="C10" i="17"/>
  <c r="C9" i="17"/>
  <c r="A75" i="17"/>
  <c r="B70" i="17"/>
  <c r="D70" i="17" s="1"/>
  <c r="B68" i="17"/>
  <c r="D68" i="17" s="1"/>
  <c r="A68" i="17"/>
  <c r="B64" i="17"/>
  <c r="D64" i="17" s="1"/>
  <c r="B63" i="17"/>
  <c r="D63" i="17" s="1"/>
  <c r="B61" i="17"/>
  <c r="D61" i="17" s="1"/>
  <c r="B60" i="17"/>
  <c r="D60" i="17" s="1"/>
  <c r="D20" i="15" s="1"/>
  <c r="B41" i="17"/>
  <c r="D41" i="17" s="1"/>
  <c r="D29" i="15" s="1"/>
  <c r="B37" i="17"/>
  <c r="D37" i="17" s="1"/>
  <c r="B36" i="17"/>
  <c r="B31" i="17"/>
  <c r="B33" i="17" s="1"/>
  <c r="B26" i="17"/>
  <c r="D26" i="17" s="1"/>
  <c r="B15" i="17"/>
  <c r="D15" i="17" s="1"/>
  <c r="D15" i="15" s="1"/>
  <c r="B14" i="17"/>
  <c r="B10" i="17"/>
  <c r="B9" i="17"/>
  <c r="D9" i="17" s="1"/>
  <c r="F26" i="15"/>
  <c r="F31" i="15" s="1"/>
  <c r="F21" i="15"/>
  <c r="F19" i="15"/>
  <c r="F16" i="15"/>
  <c r="F15" i="15"/>
  <c r="F8" i="15"/>
  <c r="D19" i="15"/>
  <c r="B15" i="15"/>
  <c r="D27" i="16"/>
  <c r="D32" i="16"/>
  <c r="D55" i="16"/>
  <c r="B19" i="15" s="1"/>
  <c r="D71" i="16"/>
  <c r="A70" i="16"/>
  <c r="C70" i="16"/>
  <c r="D70" i="16" s="1"/>
  <c r="C72" i="16"/>
  <c r="D72" i="16" s="1"/>
  <c r="A77" i="16"/>
  <c r="C64" i="16"/>
  <c r="D64" i="16" s="1"/>
  <c r="C65" i="16"/>
  <c r="D65" i="16" s="1"/>
  <c r="C66" i="16"/>
  <c r="D66" i="16" s="1"/>
  <c r="C63" i="16"/>
  <c r="D63" i="16" s="1"/>
  <c r="C41" i="16"/>
  <c r="C42" i="16" s="1"/>
  <c r="C37" i="16"/>
  <c r="D37" i="16" s="1"/>
  <c r="C36" i="16"/>
  <c r="D36" i="16" s="1"/>
  <c r="C31" i="16"/>
  <c r="C33" i="16" s="1"/>
  <c r="C26" i="16"/>
  <c r="C28" i="16" s="1"/>
  <c r="C10" i="16"/>
  <c r="D10" i="16" s="1"/>
  <c r="C14" i="16"/>
  <c r="D14" i="16" s="1"/>
  <c r="B14" i="15" s="1"/>
  <c r="C15" i="16"/>
  <c r="D15" i="16" s="1"/>
  <c r="B16" i="15" s="1"/>
  <c r="C9" i="16"/>
  <c r="D9" i="16" s="1"/>
  <c r="B85" i="16"/>
  <c r="B73" i="16"/>
  <c r="B67" i="16"/>
  <c r="B60" i="16"/>
  <c r="B56" i="16"/>
  <c r="B38" i="16"/>
  <c r="B33" i="16"/>
  <c r="B28" i="16"/>
  <c r="B18" i="16"/>
  <c r="B11" i="16"/>
  <c r="B41" i="16"/>
  <c r="B42" i="16" s="1"/>
  <c r="B8" i="15"/>
  <c r="C73" i="16" l="1"/>
  <c r="D26" i="16"/>
  <c r="B20" i="16"/>
  <c r="B20" i="15"/>
  <c r="B21" i="15"/>
  <c r="D41" i="16"/>
  <c r="B29" i="15" s="1"/>
  <c r="B31" i="15" s="1"/>
  <c r="D21" i="15"/>
  <c r="C11" i="17"/>
  <c r="C44" i="17"/>
  <c r="D10" i="17"/>
  <c r="D36" i="17"/>
  <c r="D31" i="17"/>
  <c r="B11" i="17"/>
  <c r="B38" i="17"/>
  <c r="B65" i="17"/>
  <c r="B71" i="17"/>
  <c r="B42" i="17"/>
  <c r="B28" i="17"/>
  <c r="C11" i="16"/>
  <c r="B39" i="15" s="1"/>
  <c r="C67" i="16"/>
  <c r="B44" i="16"/>
  <c r="C38" i="16"/>
  <c r="C44" i="16" s="1"/>
  <c r="B46" i="16" l="1"/>
  <c r="B44" i="17"/>
  <c r="C10" i="2" l="1"/>
  <c r="D8" i="19" s="1"/>
  <c r="D9" i="10"/>
  <c r="E11" i="14"/>
  <c r="E17" i="14" s="1"/>
  <c r="E13" i="14"/>
  <c r="B17" i="3"/>
  <c r="C64" i="3"/>
  <c r="C68" i="3"/>
  <c r="C72" i="3"/>
  <c r="C103" i="1" s="1"/>
  <c r="C37" i="7"/>
  <c r="D31" i="11" s="1"/>
  <c r="C46" i="11" s="1"/>
  <c r="B15" i="7"/>
  <c r="C17" i="7"/>
  <c r="D27" i="11" s="1"/>
  <c r="E20" i="14"/>
  <c r="C11" i="6"/>
  <c r="E9" i="10"/>
  <c r="F8" i="14" s="1"/>
  <c r="F9" i="14"/>
  <c r="F11" i="14"/>
  <c r="F17" i="14" s="1"/>
  <c r="C9" i="4"/>
  <c r="C402" i="1" s="1"/>
  <c r="D40" i="11"/>
  <c r="C17" i="5"/>
  <c r="D42" i="11"/>
  <c r="C36" i="5"/>
  <c r="D46" i="11"/>
  <c r="C26" i="5"/>
  <c r="C28" i="5"/>
  <c r="F20" i="14" s="1"/>
  <c r="F9" i="10"/>
  <c r="G8" i="14" s="1"/>
  <c r="G10" i="14" s="1"/>
  <c r="G11" i="14"/>
  <c r="G17" i="14" s="1"/>
  <c r="B42" i="8"/>
  <c r="D20" i="14" s="1"/>
  <c r="C10" i="9"/>
  <c r="C8" i="19" s="1"/>
  <c r="D9" i="14"/>
  <c r="D11" i="14"/>
  <c r="D17" i="14" s="1"/>
  <c r="D13" i="14"/>
  <c r="C19" i="8"/>
  <c r="C11" i="11" s="1"/>
  <c r="C62" i="8"/>
  <c r="C66" i="8"/>
  <c r="C175" i="1" s="1"/>
  <c r="C71" i="8"/>
  <c r="C72" i="1" s="1"/>
  <c r="C17" i="14"/>
  <c r="C22" i="4"/>
  <c r="F43" i="1" s="1"/>
  <c r="C24" i="4"/>
  <c r="F44" i="1" s="1"/>
  <c r="C32" i="4"/>
  <c r="C34" i="4"/>
  <c r="C22" i="6"/>
  <c r="F27" i="1" s="1"/>
  <c r="BJ9" i="21" s="1"/>
  <c r="C32" i="6"/>
  <c r="C34" i="6" s="1"/>
  <c r="C40" i="6"/>
  <c r="C44" i="6"/>
  <c r="B24" i="2"/>
  <c r="B30" i="2"/>
  <c r="C31" i="2" s="1"/>
  <c r="C44" i="2"/>
  <c r="D11" i="19" s="1"/>
  <c r="C48" i="2"/>
  <c r="D12" i="19" s="1"/>
  <c r="C63" i="2"/>
  <c r="C33" i="9"/>
  <c r="C35" i="9" s="1"/>
  <c r="C50" i="9"/>
  <c r="C56" i="9"/>
  <c r="C12" i="19" s="1"/>
  <c r="C73" i="9"/>
  <c r="C78" i="9"/>
  <c r="D19" i="10"/>
  <c r="E11" i="10"/>
  <c r="E19" i="10"/>
  <c r="C17" i="10"/>
  <c r="C420" i="1"/>
  <c r="L408" i="1" s="1"/>
  <c r="C320" i="1"/>
  <c r="D320" i="1" s="1"/>
  <c r="C338" i="1"/>
  <c r="F120" i="1"/>
  <c r="C236" i="1"/>
  <c r="C254" i="1"/>
  <c r="F90" i="1"/>
  <c r="C146" i="1"/>
  <c r="D146" i="1" s="1"/>
  <c r="C163" i="1"/>
  <c r="C90" i="1"/>
  <c r="E90" i="1" s="1"/>
  <c r="D25" i="11"/>
  <c r="C40" i="11" s="1"/>
  <c r="B15" i="11"/>
  <c r="D9" i="11"/>
  <c r="C25" i="11"/>
  <c r="C9" i="11"/>
  <c r="F15" i="10"/>
  <c r="C8" i="1"/>
  <c r="D8" i="1" s="1"/>
  <c r="B87" i="3"/>
  <c r="C43" i="8"/>
  <c r="C168" i="1" s="1"/>
  <c r="C63" i="7"/>
  <c r="B41" i="7"/>
  <c r="J495" i="1"/>
  <c r="G495" i="1"/>
  <c r="I495" i="1" s="1"/>
  <c r="K495" i="1" s="1"/>
  <c r="D495" i="1"/>
  <c r="F495" i="1" s="1"/>
  <c r="C495" i="1"/>
  <c r="E495" i="1" s="1"/>
  <c r="C422" i="1"/>
  <c r="C442" i="1"/>
  <c r="C440" i="1"/>
  <c r="C434" i="1"/>
  <c r="C433" i="1"/>
  <c r="C432" i="1"/>
  <c r="C430" i="1"/>
  <c r="C412" i="1"/>
  <c r="C411" i="1"/>
  <c r="C409" i="1"/>
  <c r="C408" i="1"/>
  <c r="C406" i="1"/>
  <c r="C357" i="1"/>
  <c r="C342" i="1"/>
  <c r="C358" i="1"/>
  <c r="C352" i="1"/>
  <c r="C349" i="1"/>
  <c r="C348" i="1"/>
  <c r="C324" i="1"/>
  <c r="C257" i="1"/>
  <c r="C256" i="1"/>
  <c r="C264" i="1"/>
  <c r="C242" i="1"/>
  <c r="D242" i="1" s="1"/>
  <c r="C77" i="1"/>
  <c r="C54" i="22" s="1"/>
  <c r="C68" i="1"/>
  <c r="C67" i="1"/>
  <c r="C59" i="1"/>
  <c r="F67" i="1"/>
  <c r="C182" i="1"/>
  <c r="C166" i="1"/>
  <c r="C165" i="1"/>
  <c r="F134" i="1"/>
  <c r="G134" i="1" s="1"/>
  <c r="F108" i="1"/>
  <c r="C134" i="1" s="1"/>
  <c r="F92" i="1"/>
  <c r="BJ57" i="21" s="1"/>
  <c r="BF57" i="21" s="1"/>
  <c r="F32" i="1"/>
  <c r="C47" i="1" s="1"/>
  <c r="E14" i="19" s="1"/>
  <c r="C321" i="1"/>
  <c r="C55" i="5"/>
  <c r="C439" i="1"/>
  <c r="C419" i="1"/>
  <c r="C12" i="5"/>
  <c r="F118" i="1" s="1"/>
  <c r="CE35" i="21" s="1"/>
  <c r="F45" i="1"/>
  <c r="F119" i="1"/>
  <c r="CE45" i="21" s="1"/>
  <c r="C424" i="1"/>
  <c r="C431" i="1"/>
  <c r="F122" i="1"/>
  <c r="CE57" i="21" s="1"/>
  <c r="CA57" i="21" s="1"/>
  <c r="C405" i="1"/>
  <c r="C418" i="1"/>
  <c r="F42" i="1"/>
  <c r="G47" i="1" s="1"/>
  <c r="F127" i="1"/>
  <c r="C120" i="1"/>
  <c r="G48" i="1"/>
  <c r="C426" i="1"/>
  <c r="F123" i="1"/>
  <c r="C404" i="1"/>
  <c r="C82" i="8"/>
  <c r="C58" i="8"/>
  <c r="C173" i="1" s="1"/>
  <c r="C39" i="8"/>
  <c r="C34" i="8"/>
  <c r="C29" i="8"/>
  <c r="C12" i="8"/>
  <c r="C57" i="1" s="1"/>
  <c r="T35" i="21" s="1"/>
  <c r="C14" i="1"/>
  <c r="C161" i="1"/>
  <c r="C150" i="1"/>
  <c r="C12" i="1"/>
  <c r="C162" i="1"/>
  <c r="C62" i="1"/>
  <c r="C69" i="1"/>
  <c r="C55" i="7"/>
  <c r="C25" i="7"/>
  <c r="C12" i="7"/>
  <c r="D39" i="15" s="1"/>
  <c r="C326" i="1"/>
  <c r="C337" i="1"/>
  <c r="F89" i="1"/>
  <c r="BJ45" i="21" s="1"/>
  <c r="D150" i="1"/>
  <c r="C350" i="1"/>
  <c r="F100" i="1"/>
  <c r="C128" i="1" s="1"/>
  <c r="F88" i="1"/>
  <c r="BJ35" i="21" s="1"/>
  <c r="C27" i="7"/>
  <c r="C340" i="1"/>
  <c r="C327" i="1"/>
  <c r="F33" i="1"/>
  <c r="C48" i="1" s="1"/>
  <c r="E15" i="19" s="1"/>
  <c r="C344" i="1"/>
  <c r="F94" i="1"/>
  <c r="C84" i="3"/>
  <c r="C266" i="1"/>
  <c r="C57" i="3"/>
  <c r="C41" i="3"/>
  <c r="C259" i="1" s="1"/>
  <c r="C35" i="3"/>
  <c r="C30" i="3"/>
  <c r="D27" i="15" s="1"/>
  <c r="C26" i="3"/>
  <c r="D26" i="15" s="1"/>
  <c r="D31" i="15" s="1"/>
  <c r="C12" i="3"/>
  <c r="C252" i="1" s="1"/>
  <c r="F8" i="1"/>
  <c r="G8" i="1" s="1"/>
  <c r="C240" i="1"/>
  <c r="D240" i="1" s="1"/>
  <c r="F12" i="1"/>
  <c r="G12" i="1" s="1"/>
  <c r="C243" i="1"/>
  <c r="D243" i="1" s="1"/>
  <c r="F15" i="1"/>
  <c r="C239" i="1"/>
  <c r="D239" i="1" s="1"/>
  <c r="F11" i="1"/>
  <c r="C100" i="1"/>
  <c r="E100" i="1" s="1"/>
  <c r="C329" i="1"/>
  <c r="F35" i="1"/>
  <c r="D236" i="1"/>
  <c r="E12" i="1"/>
  <c r="E127" i="1"/>
  <c r="C19" i="5"/>
  <c r="E8" i="14"/>
  <c r="E10" i="14" s="1"/>
  <c r="E12" i="14" s="1"/>
  <c r="D13" i="10"/>
  <c r="D21" i="10"/>
  <c r="E6" i="20" s="1"/>
  <c r="C33" i="1"/>
  <c r="G130" i="1"/>
  <c r="C421" i="1"/>
  <c r="C30" i="5"/>
  <c r="C427" i="1" s="1"/>
  <c r="F121" i="1"/>
  <c r="G129" i="1"/>
  <c r="G128" i="1"/>
  <c r="G127" i="1"/>
  <c r="F124" i="1"/>
  <c r="G121" i="1" s="1"/>
  <c r="G124" i="1"/>
  <c r="D29" i="11" l="1"/>
  <c r="D33" i="11" s="1"/>
  <c r="C42" i="11"/>
  <c r="D425" i="1"/>
  <c r="D426" i="1"/>
  <c r="D423" i="1"/>
  <c r="C10" i="1"/>
  <c r="C10" i="19"/>
  <c r="D9" i="19"/>
  <c r="C33" i="2"/>
  <c r="C237" i="1"/>
  <c r="D237" i="1" s="1"/>
  <c r="F9" i="1"/>
  <c r="AO9" i="21" s="1"/>
  <c r="C265" i="1"/>
  <c r="B56" i="17"/>
  <c r="C336" i="1"/>
  <c r="C9" i="1"/>
  <c r="E13" i="12"/>
  <c r="D15" i="19"/>
  <c r="D11" i="15"/>
  <c r="C9" i="10"/>
  <c r="D8" i="14" s="1"/>
  <c r="D10" i="14" s="1"/>
  <c r="B14" i="18"/>
  <c r="C14" i="17"/>
  <c r="D15" i="11"/>
  <c r="C31" i="11" s="1"/>
  <c r="E31" i="11" s="1"/>
  <c r="C11" i="10"/>
  <c r="C13" i="10" s="1"/>
  <c r="C58" i="9"/>
  <c r="C11" i="19"/>
  <c r="C50" i="2"/>
  <c r="E46" i="11"/>
  <c r="G119" i="1"/>
  <c r="B82" i="17"/>
  <c r="B83" i="17" s="1"/>
  <c r="C84" i="16"/>
  <c r="C85" i="16" s="1"/>
  <c r="C19" i="7"/>
  <c r="E9" i="11"/>
  <c r="B11" i="15"/>
  <c r="C15" i="19"/>
  <c r="C17" i="16"/>
  <c r="B17" i="17"/>
  <c r="C75" i="17"/>
  <c r="B55" i="18"/>
  <c r="B10" i="15"/>
  <c r="C14" i="19"/>
  <c r="C147" i="1"/>
  <c r="C9" i="19"/>
  <c r="G123" i="1"/>
  <c r="D419" i="1"/>
  <c r="C27" i="1"/>
  <c r="C30" i="1"/>
  <c r="C26" i="1"/>
  <c r="AO14" i="21"/>
  <c r="G15" i="1"/>
  <c r="D134" i="1"/>
  <c r="E134" i="1"/>
  <c r="E120" i="1"/>
  <c r="D420" i="1"/>
  <c r="D424" i="1"/>
  <c r="D30" i="1"/>
  <c r="D26" i="1"/>
  <c r="E8" i="1"/>
  <c r="C118" i="1"/>
  <c r="E118" i="1" s="1"/>
  <c r="D155" i="1"/>
  <c r="D17" i="1"/>
  <c r="D422" i="1"/>
  <c r="H495" i="1"/>
  <c r="G118" i="1"/>
  <c r="G122" i="1"/>
  <c r="G120" i="1"/>
  <c r="D418" i="1"/>
  <c r="D427" i="1"/>
  <c r="C29" i="1"/>
  <c r="D29" i="1" s="1"/>
  <c r="C119" i="1"/>
  <c r="D14" i="1"/>
  <c r="D12" i="1"/>
  <c r="G50" i="1"/>
  <c r="G51" i="1"/>
  <c r="E14" i="14"/>
  <c r="D25" i="10"/>
  <c r="E9" i="20" s="1"/>
  <c r="D12" i="14"/>
  <c r="D14" i="14" s="1"/>
  <c r="L242" i="1"/>
  <c r="I241" i="1" s="1"/>
  <c r="D491" i="1" s="1"/>
  <c r="F491" i="1" s="1"/>
  <c r="BF42" i="21"/>
  <c r="BB49" i="21" s="1"/>
  <c r="D421" i="1"/>
  <c r="L326" i="1"/>
  <c r="I325" i="1" s="1"/>
  <c r="G491" i="1" s="1"/>
  <c r="I491" i="1" s="1"/>
  <c r="G9" i="1"/>
  <c r="G11" i="1"/>
  <c r="G14" i="1"/>
  <c r="CA42" i="21"/>
  <c r="BW49" i="21" s="1"/>
  <c r="C435" i="1"/>
  <c r="C436" i="1" s="1"/>
  <c r="I415" i="1" s="1"/>
  <c r="J500" i="1" s="1"/>
  <c r="D9" i="1"/>
  <c r="T9" i="21"/>
  <c r="D147" i="1"/>
  <c r="G44" i="1"/>
  <c r="F10" i="19"/>
  <c r="CA65" i="21"/>
  <c r="BW69" i="21" s="1"/>
  <c r="BW63" i="21"/>
  <c r="AK11" i="21"/>
  <c r="AG34" i="21"/>
  <c r="AG26" i="21"/>
  <c r="G42" i="1"/>
  <c r="CA11" i="21"/>
  <c r="F8" i="19"/>
  <c r="G45" i="1"/>
  <c r="CE14" i="21"/>
  <c r="F11" i="19"/>
  <c r="C122" i="1"/>
  <c r="C8" i="22"/>
  <c r="P11" i="21"/>
  <c r="CE9" i="21"/>
  <c r="F9" i="19"/>
  <c r="D44" i="11"/>
  <c r="D48" i="11" s="1"/>
  <c r="C7" i="20" s="1"/>
  <c r="E25" i="11"/>
  <c r="C18" i="16"/>
  <c r="C20" i="16" s="1"/>
  <c r="C46" i="16" s="1"/>
  <c r="D17" i="16"/>
  <c r="B17" i="15" s="1"/>
  <c r="I408" i="1"/>
  <c r="J493" i="1" s="1"/>
  <c r="I407" i="1"/>
  <c r="I409" i="1" s="1"/>
  <c r="J492" i="1" s="1"/>
  <c r="C36" i="4"/>
  <c r="C403" i="1"/>
  <c r="D403" i="1" s="1"/>
  <c r="F11" i="10"/>
  <c r="F13" i="12" s="1"/>
  <c r="G43" i="1"/>
  <c r="D411" i="1"/>
  <c r="D406" i="1"/>
  <c r="E40" i="11"/>
  <c r="I422" i="1"/>
  <c r="J508" i="1" s="1"/>
  <c r="D405" i="1"/>
  <c r="D402" i="1"/>
  <c r="D412" i="1"/>
  <c r="I410" i="1"/>
  <c r="J494" i="1" s="1"/>
  <c r="D408" i="1"/>
  <c r="D404" i="1"/>
  <c r="D409" i="1"/>
  <c r="E33" i="1"/>
  <c r="I327" i="1"/>
  <c r="G492" i="1" s="1"/>
  <c r="I492" i="1" s="1"/>
  <c r="I326" i="1"/>
  <c r="G493" i="1" s="1"/>
  <c r="I493" i="1" s="1"/>
  <c r="K493" i="1" s="1"/>
  <c r="C24" i="6"/>
  <c r="F28" i="1" s="1"/>
  <c r="F29" i="1"/>
  <c r="BJ14" i="21" s="1"/>
  <c r="D326" i="1"/>
  <c r="D327" i="1"/>
  <c r="D329" i="1"/>
  <c r="D324" i="1"/>
  <c r="E13" i="10"/>
  <c r="D35" i="11"/>
  <c r="D321" i="1"/>
  <c r="E27" i="1"/>
  <c r="C43" i="1"/>
  <c r="E9" i="19" s="1"/>
  <c r="C322" i="1"/>
  <c r="E9" i="12"/>
  <c r="E11" i="12" s="1"/>
  <c r="E15" i="12" s="1"/>
  <c r="D13" i="20" s="1"/>
  <c r="C50" i="1"/>
  <c r="E17" i="19" s="1"/>
  <c r="C323" i="1"/>
  <c r="D323" i="1" s="1"/>
  <c r="F26" i="1"/>
  <c r="BF11" i="21" s="1"/>
  <c r="E32" i="1"/>
  <c r="E15" i="10"/>
  <c r="D10" i="1"/>
  <c r="C148" i="1"/>
  <c r="C19" i="10"/>
  <c r="C60" i="9"/>
  <c r="C15" i="1"/>
  <c r="C9" i="22" s="1"/>
  <c r="F20" i="22" s="1"/>
  <c r="E9" i="1"/>
  <c r="C152" i="1"/>
  <c r="D152" i="1" s="1"/>
  <c r="C153" i="1"/>
  <c r="D153" i="1" s="1"/>
  <c r="C151" i="1"/>
  <c r="C80" i="9"/>
  <c r="C16" i="19" s="1"/>
  <c r="C13" i="1"/>
  <c r="C11" i="1"/>
  <c r="C15" i="10"/>
  <c r="C21" i="10" s="1"/>
  <c r="F6" i="20" s="1"/>
  <c r="C149" i="1"/>
  <c r="D149" i="1" s="1"/>
  <c r="G12" i="14"/>
  <c r="G14" i="14" s="1"/>
  <c r="F10" i="14"/>
  <c r="F12" i="14" s="1"/>
  <c r="F14" i="14" s="1"/>
  <c r="F18" i="14" s="1"/>
  <c r="D18" i="14"/>
  <c r="E18" i="14"/>
  <c r="C93" i="1"/>
  <c r="F62" i="1" s="1"/>
  <c r="C88" i="1"/>
  <c r="F69" i="1"/>
  <c r="E69" i="1" s="1"/>
  <c r="C37" i="3"/>
  <c r="C43" i="3" s="1"/>
  <c r="C260" i="1" s="1"/>
  <c r="F59" i="1"/>
  <c r="E59" i="1" s="1"/>
  <c r="D9" i="12"/>
  <c r="D11" i="12" s="1"/>
  <c r="L152" i="1"/>
  <c r="I151" i="1" s="1"/>
  <c r="I153" i="1" s="1"/>
  <c r="C492" i="1" s="1"/>
  <c r="D13" i="12"/>
  <c r="C88" i="3"/>
  <c r="C258" i="1"/>
  <c r="C59" i="16"/>
  <c r="C99" i="1"/>
  <c r="C94" i="1"/>
  <c r="C108" i="1"/>
  <c r="C273" i="1"/>
  <c r="I404" i="1"/>
  <c r="J487" i="1" s="1"/>
  <c r="F72" i="1"/>
  <c r="C268" i="1"/>
  <c r="C102" i="1"/>
  <c r="C18" i="3"/>
  <c r="C167" i="1"/>
  <c r="I152" i="1" s="1"/>
  <c r="C493" i="1" s="1"/>
  <c r="C13" i="11"/>
  <c r="C177" i="1"/>
  <c r="C45" i="8"/>
  <c r="C63" i="1" s="1"/>
  <c r="C61" i="1"/>
  <c r="T57" i="21" s="1"/>
  <c r="P57" i="21" s="1"/>
  <c r="C15" i="11"/>
  <c r="E15" i="11" s="1"/>
  <c r="C21" i="8"/>
  <c r="C47" i="8" s="1"/>
  <c r="C58" i="1"/>
  <c r="T45" i="21" s="1"/>
  <c r="P42" i="21" s="1"/>
  <c r="C174" i="1"/>
  <c r="D14" i="18" l="1"/>
  <c r="F14" i="15" s="1"/>
  <c r="F22" i="15" s="1"/>
  <c r="B18" i="18"/>
  <c r="B20" i="18" s="1"/>
  <c r="B32" i="18" s="1"/>
  <c r="B86" i="17"/>
  <c r="C88" i="16"/>
  <c r="C89" i="16" s="1"/>
  <c r="C29" i="7"/>
  <c r="C339" i="1"/>
  <c r="F91" i="1"/>
  <c r="E5" i="23"/>
  <c r="C13" i="19"/>
  <c r="C44" i="11"/>
  <c r="C48" i="11" s="1"/>
  <c r="E42" i="11"/>
  <c r="D17" i="17"/>
  <c r="D17" i="15" s="1"/>
  <c r="B18" i="17"/>
  <c r="B20" i="17" s="1"/>
  <c r="B46" i="17" s="1"/>
  <c r="D14" i="17"/>
  <c r="D14" i="15" s="1"/>
  <c r="C18" i="17"/>
  <c r="C20" i="17" s="1"/>
  <c r="C46" i="17" s="1"/>
  <c r="B57" i="17"/>
  <c r="D56" i="17"/>
  <c r="D18" i="15" s="1"/>
  <c r="D10" i="19"/>
  <c r="C238" i="1"/>
  <c r="F10" i="1"/>
  <c r="C52" i="2"/>
  <c r="H491" i="1"/>
  <c r="D32" i="1"/>
  <c r="D33" i="1"/>
  <c r="D27" i="1"/>
  <c r="I243" i="1"/>
  <c r="D492" i="1" s="1"/>
  <c r="F492" i="1" s="1"/>
  <c r="I402" i="1"/>
  <c r="J486" i="1" s="1"/>
  <c r="E119" i="1"/>
  <c r="C25" i="10"/>
  <c r="F9" i="20" s="1"/>
  <c r="F13" i="10"/>
  <c r="F21" i="10" s="1"/>
  <c r="C9" i="20" s="1"/>
  <c r="D27" i="10"/>
  <c r="E10" i="20" s="1"/>
  <c r="J491" i="1"/>
  <c r="K491" i="1" s="1"/>
  <c r="CA17" i="21"/>
  <c r="BW14" i="21" s="1"/>
  <c r="L49" i="21"/>
  <c r="BS66" i="21"/>
  <c r="BB26" i="21"/>
  <c r="BB34" i="21"/>
  <c r="AX40" i="21" s="1"/>
  <c r="C26" i="22"/>
  <c r="C27" i="22" s="1"/>
  <c r="D35" i="22"/>
  <c r="BW34" i="21"/>
  <c r="BS40" i="21" s="1"/>
  <c r="BW26" i="21"/>
  <c r="C10" i="22"/>
  <c r="F19" i="22" s="1"/>
  <c r="T14" i="21"/>
  <c r="L26" i="21"/>
  <c r="L34" i="21"/>
  <c r="E122" i="1"/>
  <c r="C123" i="1"/>
  <c r="C13" i="12"/>
  <c r="C17" i="11"/>
  <c r="F7" i="20" s="1"/>
  <c r="E11" i="13"/>
  <c r="D50" i="11"/>
  <c r="C8" i="20" s="1"/>
  <c r="C60" i="16"/>
  <c r="D59" i="16"/>
  <c r="B18" i="15" s="1"/>
  <c r="B22" i="15" s="1"/>
  <c r="B40" i="4"/>
  <c r="B40" i="5" s="1"/>
  <c r="C55" i="18" s="1"/>
  <c r="D55" i="18" s="1"/>
  <c r="C407" i="1"/>
  <c r="C43" i="4"/>
  <c r="F46" i="1"/>
  <c r="F13" i="19" s="1"/>
  <c r="F52" i="1"/>
  <c r="B39" i="4"/>
  <c r="K492" i="1"/>
  <c r="F9" i="12"/>
  <c r="F11" i="12" s="1"/>
  <c r="F15" i="12" s="1"/>
  <c r="C13" i="20" s="1"/>
  <c r="G18" i="14"/>
  <c r="G21" i="14" s="1"/>
  <c r="C14" i="20" s="1"/>
  <c r="H492" i="1"/>
  <c r="E21" i="10"/>
  <c r="C36" i="6"/>
  <c r="F7" i="15" s="1"/>
  <c r="C45" i="1"/>
  <c r="E29" i="1"/>
  <c r="G30" i="1"/>
  <c r="G33" i="1"/>
  <c r="G29" i="1"/>
  <c r="G26" i="1"/>
  <c r="C42" i="1"/>
  <c r="D43" i="1" s="1"/>
  <c r="E26" i="1"/>
  <c r="G28" i="1"/>
  <c r="C44" i="1"/>
  <c r="E10" i="19" s="1"/>
  <c r="G32" i="1"/>
  <c r="D322" i="1"/>
  <c r="I340" i="1"/>
  <c r="G508" i="1" s="1"/>
  <c r="E43" i="1"/>
  <c r="F31" i="1"/>
  <c r="C325" i="1"/>
  <c r="G27" i="1"/>
  <c r="G35" i="1"/>
  <c r="I166" i="1"/>
  <c r="C508" i="1" s="1"/>
  <c r="D148" i="1"/>
  <c r="E15" i="1"/>
  <c r="D15" i="1"/>
  <c r="C491" i="1"/>
  <c r="E11" i="1"/>
  <c r="D11" i="1"/>
  <c r="B7" i="15"/>
  <c r="D13" i="1"/>
  <c r="C16" i="1"/>
  <c r="B83" i="9"/>
  <c r="C18" i="19" s="1"/>
  <c r="C154" i="1"/>
  <c r="D154" i="1" s="1"/>
  <c r="D151" i="1"/>
  <c r="I167" i="1"/>
  <c r="C509" i="1" s="1"/>
  <c r="E491" i="1"/>
  <c r="C92" i="1"/>
  <c r="E92" i="1" s="1"/>
  <c r="D15" i="12"/>
  <c r="E13" i="20" s="1"/>
  <c r="F57" i="1"/>
  <c r="E88" i="1"/>
  <c r="I414" i="1"/>
  <c r="J499" i="1" s="1"/>
  <c r="C9" i="12"/>
  <c r="C11" i="12" s="1"/>
  <c r="C15" i="12" s="1"/>
  <c r="F13" i="20" s="1"/>
  <c r="C274" i="1"/>
  <c r="C109" i="1"/>
  <c r="F78" i="1" s="1"/>
  <c r="F71" i="1"/>
  <c r="E108" i="1"/>
  <c r="F77" i="1"/>
  <c r="I242" i="1"/>
  <c r="D493" i="1" s="1"/>
  <c r="F493" i="1" s="1"/>
  <c r="H493" i="1" s="1"/>
  <c r="C20" i="3"/>
  <c r="D11" i="11"/>
  <c r="C89" i="1"/>
  <c r="C253" i="1"/>
  <c r="I419" i="1"/>
  <c r="J504" i="1" s="1"/>
  <c r="F63" i="1"/>
  <c r="E94" i="1"/>
  <c r="F68" i="1"/>
  <c r="C169" i="1"/>
  <c r="C60" i="1"/>
  <c r="C164" i="1"/>
  <c r="C170" i="1"/>
  <c r="C64" i="1"/>
  <c r="C19" i="11"/>
  <c r="F8" i="20" s="1"/>
  <c r="C28" i="1" l="1"/>
  <c r="E10" i="1"/>
  <c r="G10" i="1"/>
  <c r="B58" i="5"/>
  <c r="B5" i="23"/>
  <c r="I256" i="1"/>
  <c r="D508" i="1" s="1"/>
  <c r="F508" i="1" s="1"/>
  <c r="D238" i="1"/>
  <c r="E6" i="23"/>
  <c r="F12" i="20" s="1"/>
  <c r="F95" i="1"/>
  <c r="C345" i="1"/>
  <c r="B87" i="17"/>
  <c r="D86" i="17"/>
  <c r="E508" i="1"/>
  <c r="C46" i="6"/>
  <c r="D22" i="15"/>
  <c r="D7" i="20"/>
  <c r="F19" i="14"/>
  <c r="F21" i="14" s="1"/>
  <c r="D14" i="20" s="1"/>
  <c r="C50" i="11"/>
  <c r="D8" i="20" s="1"/>
  <c r="D13" i="19"/>
  <c r="D7" i="15"/>
  <c r="C241" i="1"/>
  <c r="F13" i="1"/>
  <c r="C65" i="2"/>
  <c r="C121" i="1"/>
  <c r="G91" i="1"/>
  <c r="F61" i="1"/>
  <c r="E492" i="1"/>
  <c r="E25" i="10"/>
  <c r="D9" i="20" s="1"/>
  <c r="D9" i="13"/>
  <c r="F25" i="10"/>
  <c r="C27" i="10"/>
  <c r="F10" i="20" s="1"/>
  <c r="BS18" i="21"/>
  <c r="BO51" i="21" s="1"/>
  <c r="H40" i="21"/>
  <c r="H88" i="21" s="1"/>
  <c r="L63" i="21"/>
  <c r="P65" i="21"/>
  <c r="E61" i="1"/>
  <c r="AO57" i="21"/>
  <c r="AK57" i="21" s="1"/>
  <c r="E57" i="1"/>
  <c r="AO35" i="21"/>
  <c r="D50" i="1"/>
  <c r="E8" i="19"/>
  <c r="G52" i="1"/>
  <c r="F19" i="19"/>
  <c r="E45" i="1"/>
  <c r="E11" i="19"/>
  <c r="E123" i="1"/>
  <c r="BO29" i="21"/>
  <c r="C28" i="22"/>
  <c r="C29" i="22" s="1"/>
  <c r="G20" i="22"/>
  <c r="F23" i="22" s="1"/>
  <c r="G23" i="22" s="1"/>
  <c r="C11" i="22"/>
  <c r="C11" i="13"/>
  <c r="F11" i="13"/>
  <c r="C59" i="5"/>
  <c r="C70" i="18" s="1"/>
  <c r="C71" i="18" s="1"/>
  <c r="C77" i="18" s="1"/>
  <c r="B66" i="7"/>
  <c r="B74" i="18" s="1"/>
  <c r="C41" i="4"/>
  <c r="G15" i="14"/>
  <c r="G16" i="14" s="1"/>
  <c r="B39" i="5"/>
  <c r="C410" i="1"/>
  <c r="D407" i="1"/>
  <c r="I423" i="1"/>
  <c r="J509" i="1" s="1"/>
  <c r="F49" i="1"/>
  <c r="G46" i="1"/>
  <c r="F34" i="1"/>
  <c r="B49" i="6"/>
  <c r="C51" i="6" s="1"/>
  <c r="D9" i="15" s="1"/>
  <c r="C328" i="1"/>
  <c r="D328" i="1" s="1"/>
  <c r="G31" i="1"/>
  <c r="C46" i="1"/>
  <c r="E13" i="19" s="1"/>
  <c r="I341" i="1"/>
  <c r="G509" i="1" s="1"/>
  <c r="D325" i="1"/>
  <c r="E44" i="1"/>
  <c r="D44" i="1"/>
  <c r="D42" i="1"/>
  <c r="E42" i="1"/>
  <c r="D48" i="1"/>
  <c r="D47" i="1"/>
  <c r="D45" i="1"/>
  <c r="H508" i="1"/>
  <c r="I508" i="1"/>
  <c r="K508" i="1" s="1"/>
  <c r="B76" i="16"/>
  <c r="C18" i="1"/>
  <c r="C156" i="1"/>
  <c r="D156" i="1" s="1"/>
  <c r="C84" i="9"/>
  <c r="C86" i="9" s="1"/>
  <c r="C19" i="19" s="1"/>
  <c r="D15" i="14"/>
  <c r="D16" i="14" s="1"/>
  <c r="B74" i="8"/>
  <c r="C75" i="8" s="1"/>
  <c r="D16" i="1"/>
  <c r="F58" i="1"/>
  <c r="AO45" i="21" s="1"/>
  <c r="E89" i="1"/>
  <c r="E493" i="1"/>
  <c r="D13" i="11"/>
  <c r="D17" i="11" s="1"/>
  <c r="C27" i="11"/>
  <c r="E11" i="11"/>
  <c r="E63" i="1"/>
  <c r="C45" i="3"/>
  <c r="C91" i="1"/>
  <c r="C255" i="1"/>
  <c r="E77" i="1"/>
  <c r="D169" i="1"/>
  <c r="D60" i="1"/>
  <c r="D59" i="1"/>
  <c r="D57" i="1"/>
  <c r="D62" i="1"/>
  <c r="D64" i="1"/>
  <c r="D58" i="1"/>
  <c r="D63" i="1"/>
  <c r="D61" i="1"/>
  <c r="D163" i="1"/>
  <c r="D170" i="1"/>
  <c r="D162" i="1"/>
  <c r="D166" i="1"/>
  <c r="I154" i="1"/>
  <c r="C494" i="1" s="1"/>
  <c r="D168" i="1"/>
  <c r="D161" i="1"/>
  <c r="D167" i="1"/>
  <c r="D164" i="1"/>
  <c r="D165" i="1"/>
  <c r="C41" i="5" l="1"/>
  <c r="C54" i="18"/>
  <c r="C56" i="18" s="1"/>
  <c r="C58" i="18" s="1"/>
  <c r="C79" i="18"/>
  <c r="C80" i="18" s="1"/>
  <c r="I257" i="1"/>
  <c r="D509" i="1" s="1"/>
  <c r="D241" i="1"/>
  <c r="C124" i="1"/>
  <c r="G89" i="1"/>
  <c r="G95" i="1"/>
  <c r="BB63" i="21"/>
  <c r="G93" i="1"/>
  <c r="BF65" i="21"/>
  <c r="G90" i="1"/>
  <c r="G92" i="1"/>
  <c r="G94" i="1"/>
  <c r="G88" i="1"/>
  <c r="D121" i="1"/>
  <c r="E121" i="1"/>
  <c r="D16" i="19"/>
  <c r="B69" i="2"/>
  <c r="F16" i="1"/>
  <c r="B68" i="2"/>
  <c r="C244" i="1"/>
  <c r="D244" i="1" s="1"/>
  <c r="D23" i="15"/>
  <c r="D38" i="15" s="1"/>
  <c r="D40" i="15" s="1"/>
  <c r="D28" i="1"/>
  <c r="E28" i="1"/>
  <c r="B75" i="18"/>
  <c r="D74" i="18"/>
  <c r="C31" i="1"/>
  <c r="G13" i="1"/>
  <c r="E13" i="1"/>
  <c r="D341" i="1"/>
  <c r="D342" i="1"/>
  <c r="D337" i="1"/>
  <c r="D338" i="1"/>
  <c r="D336" i="1"/>
  <c r="D344" i="1"/>
  <c r="D343" i="1"/>
  <c r="D345" i="1"/>
  <c r="I328" i="1"/>
  <c r="G494" i="1" s="1"/>
  <c r="I494" i="1" s="1"/>
  <c r="K494" i="1" s="1"/>
  <c r="D340" i="1"/>
  <c r="D339" i="1"/>
  <c r="C53" i="22"/>
  <c r="D53" i="22" s="1"/>
  <c r="C9" i="13"/>
  <c r="F27" i="10"/>
  <c r="C10" i="20" s="1"/>
  <c r="E27" i="10"/>
  <c r="D10" i="20" s="1"/>
  <c r="C14" i="22"/>
  <c r="T24" i="21"/>
  <c r="P17" i="21" s="1"/>
  <c r="L14" i="21" s="1"/>
  <c r="H18" i="21" s="1"/>
  <c r="G49" i="1"/>
  <c r="F16" i="19"/>
  <c r="AK42" i="21"/>
  <c r="AG49" i="21" s="1"/>
  <c r="AC40" i="21" s="1"/>
  <c r="D36" i="22"/>
  <c r="F35" i="22" s="1"/>
  <c r="C42" i="22"/>
  <c r="C13" i="22"/>
  <c r="C413" i="1"/>
  <c r="D410" i="1"/>
  <c r="C94" i="17"/>
  <c r="C95" i="17" s="1"/>
  <c r="F111" i="1"/>
  <c r="C136" i="1" s="1"/>
  <c r="D136" i="1" s="1"/>
  <c r="C67" i="7"/>
  <c r="B95" i="3"/>
  <c r="C360" i="1"/>
  <c r="C61" i="5"/>
  <c r="C441" i="1"/>
  <c r="F135" i="1"/>
  <c r="G135" i="1" s="1"/>
  <c r="B40" i="7"/>
  <c r="B54" i="18" s="1"/>
  <c r="F15" i="14"/>
  <c r="F16" i="14" s="1"/>
  <c r="F36" i="1"/>
  <c r="BJ24" i="21" s="1"/>
  <c r="BF17" i="21" s="1"/>
  <c r="BB14" i="21" s="1"/>
  <c r="AX18" i="21" s="1"/>
  <c r="C330" i="1"/>
  <c r="D330" i="1" s="1"/>
  <c r="C53" i="6"/>
  <c r="C5" i="23" s="1"/>
  <c r="C6" i="23" s="1"/>
  <c r="D12" i="20" s="1"/>
  <c r="I509" i="1"/>
  <c r="K509" i="1" s="1"/>
  <c r="E46" i="1"/>
  <c r="D46" i="1"/>
  <c r="C49" i="1"/>
  <c r="E16" i="19" s="1"/>
  <c r="G34" i="1"/>
  <c r="B92" i="16"/>
  <c r="B89" i="8"/>
  <c r="C157" i="1"/>
  <c r="C19" i="1"/>
  <c r="C176" i="1"/>
  <c r="C178" i="1" s="1"/>
  <c r="C70" i="1"/>
  <c r="C77" i="8"/>
  <c r="D18" i="1"/>
  <c r="B78" i="16"/>
  <c r="B80" i="16" s="1"/>
  <c r="F60" i="1"/>
  <c r="E91" i="1"/>
  <c r="C29" i="11"/>
  <c r="C33" i="11" s="1"/>
  <c r="E7" i="20" s="1"/>
  <c r="E27" i="11"/>
  <c r="C95" i="1"/>
  <c r="C261" i="1"/>
  <c r="D255" i="1" s="1"/>
  <c r="D19" i="11"/>
  <c r="D19" i="14"/>
  <c r="D21" i="14" s="1"/>
  <c r="F14" i="20" s="1"/>
  <c r="E17" i="11"/>
  <c r="E58" i="1"/>
  <c r="C34" i="1" l="1"/>
  <c r="G16" i="1"/>
  <c r="E16" i="1"/>
  <c r="F509" i="1"/>
  <c r="H509" i="1" s="1"/>
  <c r="E509" i="1"/>
  <c r="D17" i="19"/>
  <c r="C70" i="2"/>
  <c r="F17" i="1"/>
  <c r="C245" i="1"/>
  <c r="D245" i="1" s="1"/>
  <c r="B76" i="3"/>
  <c r="D54" i="18"/>
  <c r="B56" i="18"/>
  <c r="B58" i="18" s="1"/>
  <c r="E124" i="1"/>
  <c r="D124" i="1"/>
  <c r="D120" i="1"/>
  <c r="D122" i="1"/>
  <c r="D118" i="1"/>
  <c r="D119" i="1"/>
  <c r="D123" i="1"/>
  <c r="D31" i="1"/>
  <c r="E31" i="1"/>
  <c r="D18" i="19"/>
  <c r="B75" i="3"/>
  <c r="F18" i="1"/>
  <c r="C246" i="1"/>
  <c r="D246" i="1" s="1"/>
  <c r="C43" i="5"/>
  <c r="F9" i="15"/>
  <c r="F23" i="15" s="1"/>
  <c r="F38" i="15" s="1"/>
  <c r="F40" i="15" s="1"/>
  <c r="C15" i="13"/>
  <c r="C13" i="13"/>
  <c r="F11" i="20" s="1"/>
  <c r="E9" i="13"/>
  <c r="F9" i="13"/>
  <c r="C15" i="22"/>
  <c r="AT29" i="21"/>
  <c r="E48" i="22"/>
  <c r="C44" i="22"/>
  <c r="H87" i="21"/>
  <c r="D29" i="21"/>
  <c r="H85" i="21" s="1"/>
  <c r="I88" i="21"/>
  <c r="M88" i="21"/>
  <c r="L88" i="21"/>
  <c r="D11" i="13"/>
  <c r="B96" i="16"/>
  <c r="B93" i="8"/>
  <c r="C94" i="8" s="1"/>
  <c r="C96" i="3"/>
  <c r="C443" i="1"/>
  <c r="I425" i="1" s="1"/>
  <c r="J511" i="1" s="1"/>
  <c r="F137" i="1"/>
  <c r="G137" i="1" s="1"/>
  <c r="I426" i="1"/>
  <c r="J512" i="1" s="1"/>
  <c r="I424" i="1"/>
  <c r="J510" i="1" s="1"/>
  <c r="D413" i="1"/>
  <c r="C63" i="5"/>
  <c r="C74" i="17"/>
  <c r="C42" i="7"/>
  <c r="E49" i="1"/>
  <c r="D49" i="1"/>
  <c r="G36" i="1"/>
  <c r="C51" i="1"/>
  <c r="F37" i="1"/>
  <c r="B58" i="7"/>
  <c r="B70" i="18" s="1"/>
  <c r="C331" i="1"/>
  <c r="D19" i="1"/>
  <c r="C73" i="1"/>
  <c r="T70" i="21" s="1"/>
  <c r="P72" i="21" s="1"/>
  <c r="L69" i="21" s="1"/>
  <c r="H66" i="21" s="1"/>
  <c r="H89" i="21" s="1"/>
  <c r="I168" i="1"/>
  <c r="C510" i="1" s="1"/>
  <c r="D157" i="1"/>
  <c r="I170" i="1"/>
  <c r="C512" i="1" s="1"/>
  <c r="C90" i="8"/>
  <c r="C79" i="1"/>
  <c r="C184" i="1"/>
  <c r="I146" i="1"/>
  <c r="C486" i="1" s="1"/>
  <c r="C179" i="1"/>
  <c r="I163" i="1" s="1"/>
  <c r="C504" i="1" s="1"/>
  <c r="I148" i="1"/>
  <c r="C487" i="1" s="1"/>
  <c r="B93" i="16"/>
  <c r="E95" i="1"/>
  <c r="D93" i="1"/>
  <c r="F64" i="1"/>
  <c r="D95" i="1"/>
  <c r="D90" i="1"/>
  <c r="D88" i="1"/>
  <c r="D92" i="1"/>
  <c r="D94" i="1"/>
  <c r="D89" i="1"/>
  <c r="E60" i="1"/>
  <c r="D13" i="13"/>
  <c r="E11" i="20" s="1"/>
  <c r="D15" i="13"/>
  <c r="C35" i="11"/>
  <c r="E8" i="20" s="1"/>
  <c r="E19" i="14"/>
  <c r="E21" i="14" s="1"/>
  <c r="E14" i="20" s="1"/>
  <c r="D261" i="1"/>
  <c r="I244" i="1"/>
  <c r="D494" i="1" s="1"/>
  <c r="D257" i="1"/>
  <c r="D254" i="1"/>
  <c r="D259" i="1"/>
  <c r="D252" i="1"/>
  <c r="D256" i="1"/>
  <c r="D258" i="1"/>
  <c r="D260" i="1"/>
  <c r="D253" i="1"/>
  <c r="D91" i="1"/>
  <c r="B74" i="17" l="1"/>
  <c r="C76" i="16"/>
  <c r="C77" i="3"/>
  <c r="E15" i="14"/>
  <c r="E16" i="14" s="1"/>
  <c r="C72" i="2"/>
  <c r="B75" i="17"/>
  <c r="D75" i="17" s="1"/>
  <c r="C77" i="16"/>
  <c r="D77" i="16" s="1"/>
  <c r="B71" i="18"/>
  <c r="B77" i="18" s="1"/>
  <c r="B79" i="18" s="1"/>
  <c r="B80" i="18" s="1"/>
  <c r="D70" i="18"/>
  <c r="C36" i="1"/>
  <c r="G18" i="1"/>
  <c r="E18" i="1"/>
  <c r="C35" i="1"/>
  <c r="E17" i="1"/>
  <c r="AO24" i="21"/>
  <c r="AK17" i="21" s="1"/>
  <c r="AG14" i="21" s="1"/>
  <c r="AC18" i="21" s="1"/>
  <c r="G17" i="1"/>
  <c r="D34" i="1"/>
  <c r="E34" i="1"/>
  <c r="F13" i="13"/>
  <c r="C11" i="20" s="1"/>
  <c r="F15" i="13"/>
  <c r="E13" i="13"/>
  <c r="D11" i="20" s="1"/>
  <c r="E15" i="13"/>
  <c r="C45" i="22"/>
  <c r="C46" i="22" s="1"/>
  <c r="E49" i="22"/>
  <c r="G48" i="22" s="1"/>
  <c r="L85" i="21"/>
  <c r="M85" i="21"/>
  <c r="AG63" i="21"/>
  <c r="AK65" i="21"/>
  <c r="D51" i="1"/>
  <c r="E18" i="19"/>
  <c r="D51" i="21"/>
  <c r="H86" i="21" s="1"/>
  <c r="C111" i="1"/>
  <c r="C96" i="16"/>
  <c r="C97" i="16" s="1"/>
  <c r="C276" i="1"/>
  <c r="B94" i="17"/>
  <c r="F138" i="1"/>
  <c r="C444" i="1"/>
  <c r="D63" i="5"/>
  <c r="C185" i="1"/>
  <c r="C80" i="1"/>
  <c r="B97" i="16"/>
  <c r="I417" i="1"/>
  <c r="J502" i="1" s="1"/>
  <c r="I418" i="1"/>
  <c r="J503" i="1" s="1"/>
  <c r="I416" i="1"/>
  <c r="J501" i="1" s="1"/>
  <c r="I344" i="1"/>
  <c r="G512" i="1" s="1"/>
  <c r="I512" i="1" s="1"/>
  <c r="K512" i="1" s="1"/>
  <c r="D331" i="1"/>
  <c r="I342" i="1"/>
  <c r="G510" i="1" s="1"/>
  <c r="C351" i="1"/>
  <c r="C44" i="7"/>
  <c r="F101" i="1"/>
  <c r="G37" i="1"/>
  <c r="C52" i="1"/>
  <c r="E19" i="19" s="1"/>
  <c r="C90" i="17"/>
  <c r="F110" i="1"/>
  <c r="C59" i="7"/>
  <c r="C69" i="7" s="1"/>
  <c r="D74" i="17"/>
  <c r="C76" i="17"/>
  <c r="C78" i="17" s="1"/>
  <c r="C74" i="1"/>
  <c r="I159" i="1"/>
  <c r="C500" i="1" s="1"/>
  <c r="I158" i="1"/>
  <c r="C499" i="1" s="1"/>
  <c r="F494" i="1"/>
  <c r="H494" i="1" s="1"/>
  <c r="E494" i="1"/>
  <c r="G64" i="1"/>
  <c r="G59" i="1"/>
  <c r="G57" i="1"/>
  <c r="G62" i="1"/>
  <c r="G63" i="1"/>
  <c r="G61" i="1"/>
  <c r="E64" i="1"/>
  <c r="G58" i="1"/>
  <c r="G60" i="1"/>
  <c r="I87" i="21" l="1"/>
  <c r="L87" i="21"/>
  <c r="M87" i="21"/>
  <c r="Y29" i="21"/>
  <c r="I85" i="21" s="1"/>
  <c r="C78" i="16"/>
  <c r="D76" i="16"/>
  <c r="C101" i="1"/>
  <c r="F70" i="1" s="1"/>
  <c r="E70" i="1" s="1"/>
  <c r="C267" i="1"/>
  <c r="C269" i="1" s="1"/>
  <c r="C79" i="3"/>
  <c r="C104" i="1" s="1"/>
  <c r="D36" i="1"/>
  <c r="E36" i="1"/>
  <c r="D5" i="23"/>
  <c r="D6" i="23" s="1"/>
  <c r="E12" i="20" s="1"/>
  <c r="D19" i="19"/>
  <c r="C247" i="1"/>
  <c r="B91" i="3"/>
  <c r="C92" i="3" s="1"/>
  <c r="F19" i="1"/>
  <c r="B88" i="16"/>
  <c r="B85" i="8"/>
  <c r="B76" i="17"/>
  <c r="B78" i="17" s="1"/>
  <c r="E35" i="1"/>
  <c r="D35" i="1"/>
  <c r="G131" i="1"/>
  <c r="G138" i="1"/>
  <c r="D94" i="17"/>
  <c r="B95" i="17"/>
  <c r="F80" i="1"/>
  <c r="E80" i="1" s="1"/>
  <c r="E111" i="1"/>
  <c r="D96" i="16"/>
  <c r="D443" i="1"/>
  <c r="D433" i="1"/>
  <c r="D439" i="1"/>
  <c r="D440" i="1"/>
  <c r="D432" i="1"/>
  <c r="D431" i="1"/>
  <c r="D434" i="1"/>
  <c r="D444" i="1"/>
  <c r="D430" i="1"/>
  <c r="D436" i="1"/>
  <c r="D442" i="1"/>
  <c r="D435" i="1"/>
  <c r="D441" i="1"/>
  <c r="C359" i="1"/>
  <c r="F105" i="1"/>
  <c r="F104" i="1"/>
  <c r="BJ70" i="21" s="1"/>
  <c r="BF72" i="21" s="1"/>
  <c r="BB69" i="21" s="1"/>
  <c r="AX66" i="21" s="1"/>
  <c r="AT51" i="21" s="1"/>
  <c r="C71" i="7"/>
  <c r="C135" i="1"/>
  <c r="C353" i="1"/>
  <c r="E52" i="1"/>
  <c r="D52" i="1"/>
  <c r="C129" i="1"/>
  <c r="E101" i="1"/>
  <c r="C91" i="17"/>
  <c r="C97" i="17" s="1"/>
  <c r="C99" i="17" s="1"/>
  <c r="C100" i="17" s="1"/>
  <c r="I510" i="1"/>
  <c r="K510" i="1" s="1"/>
  <c r="B89" i="16" l="1"/>
  <c r="B99" i="16" s="1"/>
  <c r="B101" i="16" s="1"/>
  <c r="B102" i="16" s="1"/>
  <c r="D88" i="16"/>
  <c r="C37" i="1"/>
  <c r="G19" i="1"/>
  <c r="E19" i="1"/>
  <c r="C110" i="1"/>
  <c r="B90" i="17"/>
  <c r="C92" i="16"/>
  <c r="C275" i="1"/>
  <c r="C98" i="3"/>
  <c r="C105" i="1"/>
  <c r="F74" i="1" s="1"/>
  <c r="E74" i="1" s="1"/>
  <c r="F73" i="1"/>
  <c r="B9" i="15"/>
  <c r="B23" i="15" s="1"/>
  <c r="B38" i="15" s="1"/>
  <c r="B40" i="15" s="1"/>
  <c r="C80" i="16"/>
  <c r="C183" i="1"/>
  <c r="C86" i="8"/>
  <c r="C96" i="8" s="1"/>
  <c r="C78" i="1"/>
  <c r="D247" i="1"/>
  <c r="I258" i="1"/>
  <c r="D510" i="1" s="1"/>
  <c r="I260" i="1"/>
  <c r="D512" i="1" s="1"/>
  <c r="C270" i="1"/>
  <c r="I253" i="1"/>
  <c r="D504" i="1" s="1"/>
  <c r="I238" i="1"/>
  <c r="D487" i="1" s="1"/>
  <c r="I236" i="1"/>
  <c r="D486" i="1" s="1"/>
  <c r="C130" i="1"/>
  <c r="E104" i="1"/>
  <c r="I320" i="1"/>
  <c r="G486" i="1" s="1"/>
  <c r="C354" i="1"/>
  <c r="I322" i="1"/>
  <c r="G487" i="1" s="1"/>
  <c r="D135" i="1"/>
  <c r="E135" i="1"/>
  <c r="C131" i="1"/>
  <c r="D71" i="7"/>
  <c r="F113" i="1"/>
  <c r="G104" i="1" s="1"/>
  <c r="C362" i="1"/>
  <c r="D353" i="1" s="1"/>
  <c r="C361" i="1"/>
  <c r="F112" i="1"/>
  <c r="F512" i="1" l="1"/>
  <c r="H512" i="1" s="1"/>
  <c r="E512" i="1"/>
  <c r="C93" i="16"/>
  <c r="C99" i="16" s="1"/>
  <c r="C101" i="16" s="1"/>
  <c r="C102" i="16" s="1"/>
  <c r="D92" i="16"/>
  <c r="F487" i="1"/>
  <c r="E487" i="1"/>
  <c r="B91" i="17"/>
  <c r="B97" i="17" s="1"/>
  <c r="B99" i="17" s="1"/>
  <c r="B100" i="17" s="1"/>
  <c r="D90" i="17"/>
  <c r="C98" i="8"/>
  <c r="C81" i="1"/>
  <c r="C186" i="1"/>
  <c r="AO70" i="21"/>
  <c r="AK72" i="21" s="1"/>
  <c r="AG69" i="21" s="1"/>
  <c r="AC66" i="21" s="1"/>
  <c r="E73" i="1"/>
  <c r="F510" i="1"/>
  <c r="H510" i="1" s="1"/>
  <c r="E510" i="1"/>
  <c r="E105" i="1"/>
  <c r="F504" i="1"/>
  <c r="E504" i="1"/>
  <c r="C100" i="3"/>
  <c r="C277" i="1"/>
  <c r="C112" i="1"/>
  <c r="F81" i="1" s="1"/>
  <c r="F79" i="1"/>
  <c r="E79" i="1" s="1"/>
  <c r="E110" i="1"/>
  <c r="D37" i="1"/>
  <c r="E37" i="1"/>
  <c r="F486" i="1"/>
  <c r="E486" i="1"/>
  <c r="I249" i="1"/>
  <c r="D500" i="1" s="1"/>
  <c r="I248" i="1"/>
  <c r="D499" i="1" s="1"/>
  <c r="E81" i="1"/>
  <c r="D359" i="1"/>
  <c r="G112" i="1"/>
  <c r="C137" i="1"/>
  <c r="E131" i="1"/>
  <c r="I334" i="1"/>
  <c r="G501" i="1" s="1"/>
  <c r="D361" i="1"/>
  <c r="I335" i="1"/>
  <c r="G502" i="1" s="1"/>
  <c r="I343" i="1"/>
  <c r="G511" i="1" s="1"/>
  <c r="I487" i="1"/>
  <c r="K487" i="1" s="1"/>
  <c r="H487" i="1"/>
  <c r="D354" i="1"/>
  <c r="I332" i="1"/>
  <c r="G499" i="1" s="1"/>
  <c r="I333" i="1"/>
  <c r="G500" i="1" s="1"/>
  <c r="I336" i="1"/>
  <c r="G503" i="1" s="1"/>
  <c r="E130" i="1"/>
  <c r="D362" i="1"/>
  <c r="D348" i="1"/>
  <c r="D352" i="1"/>
  <c r="D357" i="1"/>
  <c r="D360" i="1"/>
  <c r="D349" i="1"/>
  <c r="D350" i="1"/>
  <c r="D358" i="1"/>
  <c r="D351" i="1"/>
  <c r="G98" i="1"/>
  <c r="G103" i="1"/>
  <c r="C138" i="1"/>
  <c r="D131" i="1" s="1"/>
  <c r="G102" i="1"/>
  <c r="G111" i="1"/>
  <c r="G99" i="1"/>
  <c r="G109" i="1"/>
  <c r="G113" i="1"/>
  <c r="G100" i="1"/>
  <c r="G108" i="1"/>
  <c r="G101" i="1"/>
  <c r="G110" i="1"/>
  <c r="G105" i="1"/>
  <c r="I337" i="1"/>
  <c r="G504" i="1" s="1"/>
  <c r="I486" i="1"/>
  <c r="K486" i="1" s="1"/>
  <c r="H486" i="1"/>
  <c r="L89" i="21" l="1"/>
  <c r="I89" i="21"/>
  <c r="M89" i="21"/>
  <c r="Y51" i="21"/>
  <c r="C113" i="1"/>
  <c r="C278" i="1"/>
  <c r="I160" i="1"/>
  <c r="C501" i="1" s="1"/>
  <c r="I161" i="1"/>
  <c r="C502" i="1" s="1"/>
  <c r="E502" i="1" s="1"/>
  <c r="I169" i="1"/>
  <c r="C511" i="1" s="1"/>
  <c r="I162" i="1"/>
  <c r="C503" i="1" s="1"/>
  <c r="I252" i="1"/>
  <c r="D503" i="1" s="1"/>
  <c r="F503" i="1" s="1"/>
  <c r="H503" i="1" s="1"/>
  <c r="I259" i="1"/>
  <c r="D511" i="1" s="1"/>
  <c r="F511" i="1" s="1"/>
  <c r="I251" i="1"/>
  <c r="D502" i="1" s="1"/>
  <c r="F502" i="1" s="1"/>
  <c r="I250" i="1"/>
  <c r="D501" i="1" s="1"/>
  <c r="F501" i="1" s="1"/>
  <c r="E112" i="1"/>
  <c r="D277" i="1"/>
  <c r="D112" i="1"/>
  <c r="F499" i="1"/>
  <c r="E499" i="1"/>
  <c r="F500" i="1"/>
  <c r="E500" i="1"/>
  <c r="C82" i="1"/>
  <c r="D98" i="8"/>
  <c r="C187" i="1"/>
  <c r="I502" i="1"/>
  <c r="K502" i="1" s="1"/>
  <c r="H502" i="1"/>
  <c r="I503" i="1"/>
  <c r="K503" i="1" s="1"/>
  <c r="I500" i="1"/>
  <c r="K500" i="1" s="1"/>
  <c r="H500" i="1"/>
  <c r="I501" i="1"/>
  <c r="K501" i="1" s="1"/>
  <c r="H501" i="1"/>
  <c r="D137" i="1"/>
  <c r="E137" i="1"/>
  <c r="I504" i="1"/>
  <c r="K504" i="1" s="1"/>
  <c r="H504" i="1"/>
  <c r="D127" i="1"/>
  <c r="D128" i="1"/>
  <c r="D138" i="1"/>
  <c r="E138" i="1"/>
  <c r="D129" i="1"/>
  <c r="D130" i="1"/>
  <c r="I499" i="1"/>
  <c r="K499" i="1" s="1"/>
  <c r="H499" i="1"/>
  <c r="I511" i="1"/>
  <c r="K511" i="1" s="1"/>
  <c r="H511" i="1"/>
  <c r="E503" i="1" l="1"/>
  <c r="E501" i="1"/>
  <c r="M86" i="21"/>
  <c r="I86" i="21"/>
  <c r="L86" i="21"/>
  <c r="D184" i="1"/>
  <c r="D175" i="1"/>
  <c r="D178" i="1"/>
  <c r="D176" i="1"/>
  <c r="D177" i="1"/>
  <c r="D182" i="1"/>
  <c r="D185" i="1"/>
  <c r="D174" i="1"/>
  <c r="D187" i="1"/>
  <c r="D179" i="1"/>
  <c r="D173" i="1"/>
  <c r="D183" i="1"/>
  <c r="D186" i="1"/>
  <c r="D269" i="1"/>
  <c r="D270" i="1"/>
  <c r="D264" i="1"/>
  <c r="D268" i="1"/>
  <c r="D265" i="1"/>
  <c r="D267" i="1"/>
  <c r="D278" i="1"/>
  <c r="D276" i="1"/>
  <c r="D274" i="1"/>
  <c r="D266" i="1"/>
  <c r="D273" i="1"/>
  <c r="D275" i="1"/>
  <c r="D79" i="1"/>
  <c r="D72" i="1"/>
  <c r="D77" i="1"/>
  <c r="D73" i="1"/>
  <c r="D74" i="1"/>
  <c r="D69" i="1"/>
  <c r="D70" i="1"/>
  <c r="D80" i="1"/>
  <c r="D82" i="1"/>
  <c r="D71" i="1"/>
  <c r="D68" i="1"/>
  <c r="D67" i="1"/>
  <c r="D78" i="1"/>
  <c r="D81" i="1"/>
  <c r="E511" i="1"/>
  <c r="D103" i="1"/>
  <c r="D108" i="1"/>
  <c r="F82" i="1"/>
  <c r="D109" i="1"/>
  <c r="D102" i="1"/>
  <c r="D98" i="1"/>
  <c r="E113" i="1"/>
  <c r="D99" i="1"/>
  <c r="D111" i="1"/>
  <c r="D113" i="1"/>
  <c r="D101" i="1"/>
  <c r="D105" i="1"/>
  <c r="D100" i="1"/>
  <c r="D110" i="1"/>
  <c r="D104" i="1"/>
  <c r="G78" i="1" l="1"/>
  <c r="G77" i="1"/>
  <c r="G71" i="1"/>
  <c r="G81" i="1"/>
  <c r="G70" i="1"/>
  <c r="G72" i="1"/>
  <c r="G68" i="1"/>
  <c r="G80" i="1"/>
  <c r="G79" i="1"/>
  <c r="G73" i="1"/>
  <c r="G74" i="1"/>
  <c r="G82" i="1"/>
  <c r="G67" i="1"/>
  <c r="G69" i="1"/>
  <c r="E82" i="1"/>
</calcChain>
</file>

<file path=xl/sharedStrings.xml><?xml version="1.0" encoding="utf-8"?>
<sst xmlns="http://schemas.openxmlformats.org/spreadsheetml/2006/main" count="1723" uniqueCount="466">
  <si>
    <t>CUENTAS</t>
  </si>
  <si>
    <t>ANALISIS VERTICAL</t>
  </si>
  <si>
    <t>ANALISIS HORIZONTAL</t>
  </si>
  <si>
    <t>INGRESOS OPERACIONALES</t>
  </si>
  <si>
    <t>COSTO DE VENTAS</t>
  </si>
  <si>
    <t>UTILIDAD BRUTA</t>
  </si>
  <si>
    <t>GASTOS OPERACIONALES DE VENTAS</t>
  </si>
  <si>
    <t>UTILIDAD OPERACIONAL</t>
  </si>
  <si>
    <t>INGRESOS NO OPERACIONALES</t>
  </si>
  <si>
    <t>GASTOS NO OPERACIONALES</t>
  </si>
  <si>
    <t>UTILIDAD ANTES DE IMPUESTO</t>
  </si>
  <si>
    <t>GASTOS OPERACIONALES DE ADMIN.</t>
  </si>
  <si>
    <t>CREE</t>
  </si>
  <si>
    <t>IMPUESTO DE RENTA</t>
  </si>
  <si>
    <t>UTILIDAD NETA</t>
  </si>
  <si>
    <t>ESTADO DE RESULTADO COMPARATIVO 2015 VS 2014 (En Miles de Pesos)</t>
  </si>
  <si>
    <t>DISPONIBLES</t>
  </si>
  <si>
    <t>TOTAL DEUDORES</t>
  </si>
  <si>
    <t>CLIENTES</t>
  </si>
  <si>
    <t>TOTAL ACTIVOS CORRIENTES</t>
  </si>
  <si>
    <t>PROPIEDAD PLANTA Y EQUIPO BRUTO</t>
  </si>
  <si>
    <t>DEPRECIACION ACUMULADA</t>
  </si>
  <si>
    <t>PROPIEDAD PLANTA Y EQUIPO NETO</t>
  </si>
  <si>
    <t>INTANGIBLES</t>
  </si>
  <si>
    <t>TOTAL ACTIVO NO CORRIENTE</t>
  </si>
  <si>
    <t>TOTAL ACTIVO</t>
  </si>
  <si>
    <t>OBLIGACIONES FINANCIERAS (CP)</t>
  </si>
  <si>
    <t>PROVEEDORES</t>
  </si>
  <si>
    <t>CUENTAS POR PAGAR (CP)</t>
  </si>
  <si>
    <t>IMPUESTOS, GRAVAMENES Y TASAS</t>
  </si>
  <si>
    <t>DIFERIDOS CORTO PLAZO</t>
  </si>
  <si>
    <t>TOTAL PASIVO CORRIENTE</t>
  </si>
  <si>
    <t>TOTAL PASIVO</t>
  </si>
  <si>
    <t>SUBTOTAL OTROS PASIVOS (CP)</t>
  </si>
  <si>
    <t>CAPITAL SOCIAL</t>
  </si>
  <si>
    <t>RESERVA LEGAL</t>
  </si>
  <si>
    <t>RESULTADOS DEL EJERCICIO</t>
  </si>
  <si>
    <t>RESULTADOS DE EJERCICIOS ANTERIORES</t>
  </si>
  <si>
    <t>TOTAL PATRIMONIO</t>
  </si>
  <si>
    <t>TOTAL PASIVO Y PATRIMONIO</t>
  </si>
  <si>
    <t>ESTADO DE RESULTADOS (En miles de pesos)</t>
  </si>
  <si>
    <t>A VERTICAL</t>
  </si>
  <si>
    <t>COSTOS DE VENTAS</t>
  </si>
  <si>
    <t>GASTOS OPERACIONALES DE ADMINISTRACION</t>
  </si>
  <si>
    <t>INDICADORES FINANCIEROS PARCIALES</t>
  </si>
  <si>
    <t>LIQUIDEZ</t>
  </si>
  <si>
    <t>RAZON CORRIENTE (Veces)</t>
  </si>
  <si>
    <t>PRUEBA SUPER ACIDA (Veces)</t>
  </si>
  <si>
    <t>ACTIVIDAD</t>
  </si>
  <si>
    <t>ROTACION DE CARTERA (Dias)</t>
  </si>
  <si>
    <t>ROTACION DE ACTIVOS FIJOS (Dias)</t>
  </si>
  <si>
    <t>DIAS DE CUENTAS POR COBRAR</t>
  </si>
  <si>
    <t>ROTACION DE ACTIVOS TOTALES (Veces)</t>
  </si>
  <si>
    <t>ROTACION DEL CAPITAL DE TRABAJO</t>
  </si>
  <si>
    <t>BALANCE (En miles de pesos)</t>
  </si>
  <si>
    <t>A. VERTICAL</t>
  </si>
  <si>
    <t>ENDEUDAMIENTO</t>
  </si>
  <si>
    <t>NIVEL DE ENDEUDAMIENTO (%)</t>
  </si>
  <si>
    <t>ENDEUDAMIENTO FINANCIERO (%)</t>
  </si>
  <si>
    <t>RAZON DE AUTONOMIA (%)</t>
  </si>
  <si>
    <t>APALANCAMIENTO INTERNO (%)</t>
  </si>
  <si>
    <t>LAVERAGE O APALANCAMIENTO</t>
  </si>
  <si>
    <t>CONCEN. DEL ENDEUDAMIENTO EN CP (%)</t>
  </si>
  <si>
    <t>RENTABILIDAD</t>
  </si>
  <si>
    <t>MARGEN BRUTO DE UTILIDAD (%)</t>
  </si>
  <si>
    <t>MARGEN OPERACIONAL DE UTILIDAD (%)</t>
  </si>
  <si>
    <t>MARGEN NETO DE UTILIDAD</t>
  </si>
  <si>
    <t>RENDIMIENTO DEL PATRIMONIO (%)</t>
  </si>
  <si>
    <t>RENDIMIENTO DEL ACTIVO TOTAL (%)</t>
  </si>
  <si>
    <t>INDICADORES FINANCIEROS COMPARATIVOS EMPRESA</t>
  </si>
  <si>
    <t>INDICADORES DE LIQUIDEZ</t>
  </si>
  <si>
    <t xml:space="preserve">INDICADOR </t>
  </si>
  <si>
    <t>CAPITAL NETO DE TRABAJO ($000)</t>
  </si>
  <si>
    <t>DIFERENCIA</t>
  </si>
  <si>
    <t>INDICADORES DE ACTIVIDAD</t>
  </si>
  <si>
    <t>ROTACION DE CARTERA (Veces)</t>
  </si>
  <si>
    <t>DIAS CUENTAS POR COBRAR</t>
  </si>
  <si>
    <t>ROTACION DE ACTIVOS FIJOS (Veces)</t>
  </si>
  <si>
    <t>INDICADORES DE ENDEUDAMIENTO</t>
  </si>
  <si>
    <t>RAZON DE AUTONOMIA</t>
  </si>
  <si>
    <t>APALANCAMIENTO INTERNO</t>
  </si>
  <si>
    <t>INDICADORES DE RENTABILIDAD</t>
  </si>
  <si>
    <t>MARGEN NETO DE UTILIDAD (%)</t>
  </si>
  <si>
    <t>Muestra el aumento o disminución de un año frente al inmediatamente anterior</t>
  </si>
  <si>
    <t>Muestra el porcentaje que representan los items evaluados frente a los activos del año evaluado.</t>
  </si>
  <si>
    <t>LABS TRANSPORTE DE CARGA SAS</t>
  </si>
  <si>
    <t>NIT. 9 0 0 6 7 3 3 6 1 - 6</t>
  </si>
  <si>
    <t>ESTADO DE RESULTADOS INTEGRAL</t>
  </si>
  <si>
    <t>DESDE EL 01 DE ENERO AL 31 DE DICIEMBRE DE 2016</t>
  </si>
  <si>
    <t>INGRESOS</t>
  </si>
  <si>
    <t>Servicio Complementarios para el Transporte</t>
  </si>
  <si>
    <t>TOTAL INGRESOS</t>
  </si>
  <si>
    <t>COSTO DE VENTA</t>
  </si>
  <si>
    <t>Gastos de personal</t>
  </si>
  <si>
    <t>Cargue</t>
  </si>
  <si>
    <t>Descargue</t>
  </si>
  <si>
    <t>Combustible</t>
  </si>
  <si>
    <t>Mantenimiento y reparaciones</t>
  </si>
  <si>
    <t>Lavadas</t>
  </si>
  <si>
    <t>Llantas</t>
  </si>
  <si>
    <t>GPS</t>
  </si>
  <si>
    <t>SOAT y todo riesgo</t>
  </si>
  <si>
    <t>Peajes</t>
  </si>
  <si>
    <t>Parqueos</t>
  </si>
  <si>
    <t>Dotacion</t>
  </si>
  <si>
    <t>Bascula</t>
  </si>
  <si>
    <t>Seguridad y salud ocupacional</t>
  </si>
  <si>
    <t>Revision tecnomecanica</t>
  </si>
  <si>
    <t>Depreciacion</t>
  </si>
  <si>
    <t>Otros costos</t>
  </si>
  <si>
    <t>TOTAL COSTOS DE VENTAS</t>
  </si>
  <si>
    <t>UTILIDAD BRUTA EN VENTAS</t>
  </si>
  <si>
    <t>GASTOS</t>
  </si>
  <si>
    <t>OPERACIONALES DE ADMINISTRACION</t>
  </si>
  <si>
    <t>Gastos de Personal</t>
  </si>
  <si>
    <t>Honorarios</t>
  </si>
  <si>
    <t>Impuestos</t>
  </si>
  <si>
    <t>Arrendamientos</t>
  </si>
  <si>
    <t>Servicios</t>
  </si>
  <si>
    <t>Gastos legales</t>
  </si>
  <si>
    <t>Diversos</t>
  </si>
  <si>
    <t>TOTAL GASTO OPERACIONALES DE ADMINISTRACION</t>
  </si>
  <si>
    <t>OPERACIONALES DE VENTAS</t>
  </si>
  <si>
    <t>TOTAL GASTO OPERACIONALES DE VENTAS</t>
  </si>
  <si>
    <t>TOTAL GASTOS OPERACIONALES</t>
  </si>
  <si>
    <t>Financieros</t>
  </si>
  <si>
    <t>TOTAL GASTOS NO OPERACIONALES</t>
  </si>
  <si>
    <t>UTILIDAD DEL EJERCICIO</t>
  </si>
  <si>
    <t>Impuesto sobre la renta y complementarios</t>
  </si>
  <si>
    <t>Impuesto de renta para la equidad CREE</t>
  </si>
  <si>
    <t>LUIS ALEJANDRO BECERRA SOSA</t>
  </si>
  <si>
    <t xml:space="preserve">WELMAR FERNANDO RINCON </t>
  </si>
  <si>
    <t>C.C. 7.216.425 de Duitama</t>
  </si>
  <si>
    <t>TP 120892-T</t>
  </si>
  <si>
    <t>CONTADOR PUBLICO</t>
  </si>
  <si>
    <t>ESTADO DE SITUACION FINANCIERA</t>
  </si>
  <si>
    <t>AL 31 DE DICIEMBRE DE 2016</t>
  </si>
  <si>
    <t>ACTIVO</t>
  </si>
  <si>
    <t xml:space="preserve">ACTIVO CORRIENTE </t>
  </si>
  <si>
    <t>EFECTIVO Y EQUIVALENTES DE EFECTIVO</t>
  </si>
  <si>
    <t>Caja</t>
  </si>
  <si>
    <t>Bancolombia Cuenta de ahorros N° 26215832111</t>
  </si>
  <si>
    <t>TOTAL EFECTIVO Y EQUIVALENTES DE EFECTIVO</t>
  </si>
  <si>
    <t xml:space="preserve">                   </t>
  </si>
  <si>
    <t>CUENTAS COMERCIALES Y OTRAS CUENTAS POR COBRAR</t>
  </si>
  <si>
    <t>Clientes</t>
  </si>
  <si>
    <t>Anticipos y avances</t>
  </si>
  <si>
    <t>Anticipos de Impuestos y Contribuciones</t>
  </si>
  <si>
    <t>TOTAL CUENTAS COMERCIALES Y OTRAS CUENTAS POR COBRAR</t>
  </si>
  <si>
    <t xml:space="preserve">TOTAL ACTIVO CORRIENTE </t>
  </si>
  <si>
    <t>ACTIVO  NO CORRIENTE</t>
  </si>
  <si>
    <t>PROPIEDAD PLANTA Y EQUIPO</t>
  </si>
  <si>
    <t>EQUIPO DE OFICINA</t>
  </si>
  <si>
    <t>Muebles y enseres</t>
  </si>
  <si>
    <t>TOTAL EQUIPO DE OFICINA</t>
  </si>
  <si>
    <t>EQUIPO DE COMPUTACION Y COMUNICACIÓN</t>
  </si>
  <si>
    <t>Equipos de procesamientos de datos</t>
  </si>
  <si>
    <t>TOTAL EQUIPO DE COMPUTACION Y COMUNICACIÓN</t>
  </si>
  <si>
    <t>FLOTA Y EQUIPO DE TRANSPORTE</t>
  </si>
  <si>
    <t>Tractomulas y Remolques</t>
  </si>
  <si>
    <t>Depreciacion acumulada</t>
  </si>
  <si>
    <t>TOTAL FLOTA Y EQUIPO DE TRANSPORTE</t>
  </si>
  <si>
    <t>TOTAL PROPIEDAD PLANTA Y EQUIPO</t>
  </si>
  <si>
    <t>Software contable</t>
  </si>
  <si>
    <t>TOTAL INTANGIBLES</t>
  </si>
  <si>
    <t xml:space="preserve">TOTAL ACTIVO  NO CORRIENTE </t>
  </si>
  <si>
    <t xml:space="preserve">TOTAL ACTIVO </t>
  </si>
  <si>
    <t xml:space="preserve">PASIVO </t>
  </si>
  <si>
    <t>Nacionales</t>
  </si>
  <si>
    <t>TOTAL PROVEEDORES</t>
  </si>
  <si>
    <t>CUENTAS POR PAGAR COMERCIALES Y OTRAS CUENTAS POR PAGAR</t>
  </si>
  <si>
    <t>Costos y Gastos por pagar</t>
  </si>
  <si>
    <t>Retencion en la fuente</t>
  </si>
  <si>
    <t>Retenciones y aportes de nomina</t>
  </si>
  <si>
    <t>Cuentas por pagar a socios y accionistas</t>
  </si>
  <si>
    <t>DIFERIDOS</t>
  </si>
  <si>
    <t>Ingresos recibidos por anticipado</t>
  </si>
  <si>
    <t>TOTAL DIFERIDOS</t>
  </si>
  <si>
    <t>OTROS PASIVOS</t>
  </si>
  <si>
    <t>Ingresos recibidos para terceros</t>
  </si>
  <si>
    <t>TOTAL OTROS PASIVOS</t>
  </si>
  <si>
    <t>PASIVO POR IMPUESTO CORRIENTE</t>
  </si>
  <si>
    <t>Impuesto de renta y complementarios</t>
  </si>
  <si>
    <t>TOTAL PASIVO POR IMPUESTO CORRIENTE</t>
  </si>
  <si>
    <t xml:space="preserve">TOTAL PASIVO </t>
  </si>
  <si>
    <t xml:space="preserve">PATRIMONIO </t>
  </si>
  <si>
    <t xml:space="preserve">CAPITAL SOCIAL                                                      </t>
  </si>
  <si>
    <t>Capital Suscrito y Pagado</t>
  </si>
  <si>
    <t xml:space="preserve">TOTAL CAPITAL SOCIAL                                                      </t>
  </si>
  <si>
    <t>RESERVAS</t>
  </si>
  <si>
    <t>Reserva legal</t>
  </si>
  <si>
    <t xml:space="preserve">TOTAL RESERVAS                                                 </t>
  </si>
  <si>
    <t>Utilidad del ejercicio</t>
  </si>
  <si>
    <t>TOTAL RESULTADOS DEL EJERCICIO</t>
  </si>
  <si>
    <t>RESULTADO DE EJERCICIOS ANTERIORES</t>
  </si>
  <si>
    <t>Utilidades o excedentes acumulados</t>
  </si>
  <si>
    <t>TOTAL RESULTADOS DE EJERCICIOS ANTERIORES</t>
  </si>
  <si>
    <t xml:space="preserve">TOTAL PATRIMONIO </t>
  </si>
  <si>
    <t xml:space="preserve">TOTAL PASIVO Y PATRIMONIO </t>
  </si>
  <si>
    <t>ESTADO DE RESULTADOS</t>
  </si>
  <si>
    <t>DESDE EL 01 DE ENERO AL 31 DE DICIEMBRE DE 2014</t>
  </si>
  <si>
    <t>TOTAL OPERACIONALES DE ADMINISTRACION</t>
  </si>
  <si>
    <t xml:space="preserve">BALANCE GENERAL </t>
  </si>
  <si>
    <t>AL 31 DE DICIEMBRE DE 2014</t>
  </si>
  <si>
    <t>DISPONIBLE</t>
  </si>
  <si>
    <t>TOTAL DISPONIBLE</t>
  </si>
  <si>
    <t>DEUDORES</t>
  </si>
  <si>
    <t>IMPUESTOS GRAVAMENES Y TASAS</t>
  </si>
  <si>
    <t>TOTAL IMPUESTOS GRAVAMENES Y TASAS</t>
  </si>
  <si>
    <t>ESTADO DE RESULTADOS INTEGRAL Y OTROS RESULTADOS</t>
  </si>
  <si>
    <t>DESDE EL 01 DE ENERO AL 31 DE DICIEMBRE DE 2015</t>
  </si>
  <si>
    <t>Otros ingresos no operacionales</t>
  </si>
  <si>
    <t>GASTOS ORDINARIOS</t>
  </si>
  <si>
    <t>TOTAL GASTOS ORDINARIOS</t>
  </si>
  <si>
    <t>TOTAL INGRESOS NO OPERACIONALES</t>
  </si>
  <si>
    <t>Gastos Diversos</t>
  </si>
  <si>
    <t>AL 31 DE DICIEMBRE DE 2015</t>
  </si>
  <si>
    <t>Caja y Bancos</t>
  </si>
  <si>
    <t xml:space="preserve">Anticipo de impuestos y contribuciones </t>
  </si>
  <si>
    <t>Retencion de ICA</t>
  </si>
  <si>
    <t>TOTAL CUENTAS POR PAGAR COMERCIALES Y OTRAS CUENTAS POR PAGAR</t>
  </si>
  <si>
    <t>CAPITAL SUSCRITO Y PAGADO</t>
  </si>
  <si>
    <t>ESTADO DE RESULTADOS INTEGRAL Y OTRO RESULTADO</t>
  </si>
  <si>
    <t>DESDE EL 01 DE ENERO AL 31 DE DICIEMBRE DE 2017</t>
  </si>
  <si>
    <t>INGRESOS ORDINARIOS</t>
  </si>
  <si>
    <t>Comisiones intermediacion de transporte</t>
  </si>
  <si>
    <t>Viaticos</t>
  </si>
  <si>
    <t>IVA mayor valor</t>
  </si>
  <si>
    <t xml:space="preserve">Depreciacion </t>
  </si>
  <si>
    <t xml:space="preserve">Adecuacion e instalacion </t>
  </si>
  <si>
    <t>Gastos de Viaje</t>
  </si>
  <si>
    <t>Depreciaciones</t>
  </si>
  <si>
    <t>Indemnizaciones</t>
  </si>
  <si>
    <t>Otros</t>
  </si>
  <si>
    <t xml:space="preserve">ESTADO DE SITUACION FINANCIERA </t>
  </si>
  <si>
    <t>AL 31 DE DICIEMBRE DE 2017</t>
  </si>
  <si>
    <t>Cuentas por cobrar a socios y accionistas</t>
  </si>
  <si>
    <t>Licencias</t>
  </si>
  <si>
    <t>OBLIGACIONES FINANCIERAS</t>
  </si>
  <si>
    <t>Bancos nacionales</t>
  </si>
  <si>
    <t>TOTAL OBLIGACIONES FINANCIERAS</t>
  </si>
  <si>
    <t>Anticipos y avances recibidos de clientes</t>
  </si>
  <si>
    <t>Intereses</t>
  </si>
  <si>
    <t>OTROS PASIVOS CORTO PLAZO</t>
  </si>
  <si>
    <t>CAPITAL NETO DE TRABAJO ($)</t>
  </si>
  <si>
    <t>promedio</t>
  </si>
  <si>
    <t>INDICADORES AÑO 2017</t>
  </si>
  <si>
    <t>INDICADORES AÑO 2016</t>
  </si>
  <si>
    <t>INDICADORES AÑO 2015</t>
  </si>
  <si>
    <t>INDICADORES AÑO 2014</t>
  </si>
  <si>
    <t>Impuesto sobre la renta para la equidad CREE</t>
  </si>
  <si>
    <t>REPRESENTANTE LEGAL</t>
  </si>
  <si>
    <t>Servicio de Transporte de carga por Carretera</t>
  </si>
  <si>
    <t>SERVICIO DE TRANSPORTE DE CARGA POR CARRETERA</t>
  </si>
  <si>
    <t xml:space="preserve">Reserva Legal </t>
  </si>
  <si>
    <t>TOTAL RESERVAS</t>
  </si>
  <si>
    <t xml:space="preserve">IMPUESTOS Y GRAVAMENES </t>
  </si>
  <si>
    <t>TOTAL IMPUESTOS Y GRAVAMENES</t>
  </si>
  <si>
    <t>IMPUESTO SOBRE LA RENTA Y COMPLEMENTARIOS</t>
  </si>
  <si>
    <t>TOTAL GASTOS OPERACIONALES DE VENTAS</t>
  </si>
  <si>
    <t>Gravamen a los movimientos financieros</t>
  </si>
  <si>
    <t>TOTAL IMPUESTO SOBRE LA RENTA Y COMPLEMENTARIOS</t>
  </si>
  <si>
    <t>LAVERAGE</t>
  </si>
  <si>
    <t>Muestra el porcentaje que representan los items evaluados frente a las ventas del año evaluado</t>
  </si>
  <si>
    <t>VARIACIÓN ESTADO DE RESULTADOS</t>
  </si>
  <si>
    <t>ANÁLISIS HORIZONTAL- ESTADO DE RESULTADOS</t>
  </si>
  <si>
    <t>ANÁLISIS FINANCIERO GRÁFICO</t>
  </si>
  <si>
    <t>ANÁLISIS VERTICAL- ESTADO DE RESULTADOS</t>
  </si>
  <si>
    <t>VARIACIÓN SITUACIÓN FINANCIERA</t>
  </si>
  <si>
    <t>ESTRUCTURA DE SITUACIÓN FINANCIERA</t>
  </si>
  <si>
    <t>ANALISIS HORIZONTAL - SITUACIÓN FINANCIERA</t>
  </si>
  <si>
    <t>INFORMACIÓN FINANCIERA</t>
  </si>
  <si>
    <t xml:space="preserve">La razon corriente para el año 2017 es de 1,5 veces el cual muestra que la compañía por cada peso que tiene de deuda posee capacidad para afrontar sus compromisos y su capital neto es de $154.916.000.  </t>
  </si>
  <si>
    <t>SITUACIÓN FINANCIERA (En Miles de Pesos)</t>
  </si>
  <si>
    <t>El nivel de endeudamiento total para el año 2017 de la compañía es de 27,89%, este porcentaje no sobrepasa el indice financieramente aceptado (60%), lo que le da capacidad para respadar con sus activos futuros negocios a plazos, ya que un equilibrado monto de su patrimonio bruto esta comprometido con acreedores ya existentes. La concentración del endeudamiento en el corto plazo es de 100%, lo que indica el total de sus pasivos, este porcentaje tiene una exigencia a un periodo menor a un año</t>
  </si>
  <si>
    <t>EBITDA</t>
  </si>
  <si>
    <t>31 DE DIC 2016</t>
  </si>
  <si>
    <t>EBIT</t>
  </si>
  <si>
    <t>DEPRECIACIONES</t>
  </si>
  <si>
    <t>31 DE DIC 2017</t>
  </si>
  <si>
    <t>31 DE DIC 2015</t>
  </si>
  <si>
    <t>31 DE DIC 2014</t>
  </si>
  <si>
    <t>MARGEN EBITDA</t>
  </si>
  <si>
    <t>PRODUCTIVIDAD DEL CAPITAL DE TRABAJO</t>
  </si>
  <si>
    <t>CUENTAS POR COBRAR</t>
  </si>
  <si>
    <t>CAPITAL DE TRABAJO OPERATIVO</t>
  </si>
  <si>
    <t>CAPITAL DE TRABAJO NETO OPERATIVO KTNO</t>
  </si>
  <si>
    <t>CRECIMIENTO</t>
  </si>
  <si>
    <t>PRODUCTIVIDAD DEL CAPITAL DE TRABAJO NETO OPERATIVO KTNO/VENTAS</t>
  </si>
  <si>
    <t>CICLO DE CAJA</t>
  </si>
  <si>
    <t>TOTAL CICLO DE CAJA</t>
  </si>
  <si>
    <t>DIAS DE PAGO A PROVEEDORES</t>
  </si>
  <si>
    <t>2016</t>
  </si>
  <si>
    <t>2015</t>
  </si>
  <si>
    <t>2014</t>
  </si>
  <si>
    <t>TOTAL CICLO DE LIQUIDEZ</t>
  </si>
  <si>
    <t>ROTACION DE CUENTAS POR COBRAR (Veces)</t>
  </si>
  <si>
    <t>PALANCA DE CRECIMIENTO</t>
  </si>
  <si>
    <t>Margen Ebitda</t>
  </si>
  <si>
    <t xml:space="preserve">ESTADO DE RESULTADO COMPARATIVO 2017 VS 2016 </t>
  </si>
  <si>
    <t>Poductividad del Capital de Trabajo PKT</t>
  </si>
  <si>
    <t>Palanca de Crecimiento PDC</t>
  </si>
  <si>
    <t>Brecha o Remanente</t>
  </si>
  <si>
    <t xml:space="preserve">ESTADO DE RESULTADO COMPARATIVO 2016 VS 2015 </t>
  </si>
  <si>
    <t>-</t>
  </si>
  <si>
    <t>=</t>
  </si>
  <si>
    <t>+</t>
  </si>
  <si>
    <t>FLUJO DE CAJA BRUTO</t>
  </si>
  <si>
    <t>INCREMENTO DEL KTNO</t>
  </si>
  <si>
    <t>INVERSION EN ACTIVOS FIJOS</t>
  </si>
  <si>
    <t>FCL</t>
  </si>
  <si>
    <t>FLUJO DE CAJA LIBRE HISTORICO</t>
  </si>
  <si>
    <t>UTILIDAD OPERATIVA</t>
  </si>
  <si>
    <t>IMPUESTOS</t>
  </si>
  <si>
    <t>UTILIDAD ANTES DE IMPUESTOS</t>
  </si>
  <si>
    <t xml:space="preserve">UTILIDAD ANTES DE IMPUESTOS </t>
  </si>
  <si>
    <t xml:space="preserve">OTROS GASTOS </t>
  </si>
  <si>
    <t>VENTAS</t>
  </si>
  <si>
    <t>COSTOS Y GASTOS EN EFECTIVO</t>
  </si>
  <si>
    <t>INTERESES</t>
  </si>
  <si>
    <t>DEPRECIACIONES Y AMORTIZACIONES</t>
  </si>
  <si>
    <t>ESTADO DE FLUJOS DE EFECTIVO CONSOLIDADO</t>
  </si>
  <si>
    <t>A DICIEMBRE 31 DE 2017</t>
  </si>
  <si>
    <t>Flujo de Caja Operativo</t>
  </si>
  <si>
    <t>Variación del Capital de Trabajo</t>
  </si>
  <si>
    <t>Variacion Cuentas Comerciales por Cobrar</t>
  </si>
  <si>
    <t>Varacion anticipos y avances entregados</t>
  </si>
  <si>
    <t>Variacion activos por impuestos corrientes</t>
  </si>
  <si>
    <t>Variacion Obligaciones Financieras</t>
  </si>
  <si>
    <t xml:space="preserve">     Variacion cuentas comerciales por pagar y otras cuentas por pagar</t>
  </si>
  <si>
    <t>Neto Flujo de Caja Operativo</t>
  </si>
  <si>
    <t>Flujo de Caja Inversión</t>
  </si>
  <si>
    <t>Neto Flujo de Caja Inversión</t>
  </si>
  <si>
    <t>Flujo de Caja Financiamiento</t>
  </si>
  <si>
    <t>Variacion Pasivo Largo Plazo</t>
  </si>
  <si>
    <t xml:space="preserve"> Pago dividendos</t>
  </si>
  <si>
    <t>Neto Flujo de Caja Financiamiento</t>
  </si>
  <si>
    <t>Neto Periodo</t>
  </si>
  <si>
    <t>Saldo anterior</t>
  </si>
  <si>
    <t>Saldo siguiente</t>
  </si>
  <si>
    <t>DISMINUYE LIBERA CAJA</t>
  </si>
  <si>
    <t>Utilidad Operacional</t>
  </si>
  <si>
    <t>ESTADO DE SITUACION FINANCIERA CONSOLIDADO</t>
  </si>
  <si>
    <t>VARIACION</t>
  </si>
  <si>
    <t>Variacion Cuentas por cobrar a Socios y accionistas</t>
  </si>
  <si>
    <t xml:space="preserve">     Variacion otros pasivos</t>
  </si>
  <si>
    <t>Ingresos no operacionales</t>
  </si>
  <si>
    <t>Gastos no operacionales</t>
  </si>
  <si>
    <t>Inversión intangibles</t>
  </si>
  <si>
    <t>Variacion proveedores</t>
  </si>
  <si>
    <t>Impuesto de renta</t>
  </si>
  <si>
    <t>A DICIEMBRE 31 DE 2016</t>
  </si>
  <si>
    <t>ICAindustria y comercio</t>
  </si>
  <si>
    <t xml:space="preserve"> IMPUESTOS Y GRAVAMENES</t>
  </si>
  <si>
    <t>TOTAL  IMPUESTOS Y GRAVAMENES</t>
  </si>
  <si>
    <t>Inversión equipo de procesamiento de datos</t>
  </si>
  <si>
    <t>Inversión Muebles y enseres</t>
  </si>
  <si>
    <t>A DICIEMBRE 31 DE 2015</t>
  </si>
  <si>
    <t>Inversión Flota y Equipo de transporte</t>
  </si>
  <si>
    <t>PKT</t>
  </si>
  <si>
    <t>Resultado:</t>
  </si>
  <si>
    <t>En la productividad del capital de trabajo históricamente, no se observa eficientemente la utilización de los recursos de KT, debido a que la cantidad de pesos que se requieren en capital de trabajo por cada peso que la empresa vende es muy alto y esto se debe a que las cuentas por pagar a proveedores de bienes y servicios incrementan inusualmente respecto a las cuentas por cobrar.</t>
  </si>
  <si>
    <t xml:space="preserve">Se puede observar en palanca de crecimiento PDC para los años 2014 y 2015 ha sido desfavorables y para 2016 y 2017 ha sido favorable esto se debe a que la empresa ha tenido un crecimiento en sus ingresos operacionales  </t>
  </si>
  <si>
    <t>El flujo de caja libre histórico demuestra que a pesar que en el año 2016 fue desfavorable, la empresa ha generado efectivo suficiente para atender la reposición de capital de trabajo, atención del servicio a la deuda y reparto de utilidades, ya que debido a sus ingresos cubre las necesidades de recursos para operar</t>
  </si>
  <si>
    <t>El margen EBITDA tiene un comportamiento favorable, exceptuando el año 2016, debido a su palanca de crecimiento, sin embargo su resultado histórico demuestra que la empresa puede cubrir caja para pagar impuestos, apoyar las inversiones, cubrir el servicio a la deuda y repartir utilidades, dado que el nivel de ventas es mayor que los costos y gastos.</t>
  </si>
  <si>
    <t>La empresa cuenta con un ciclo de caja favorable, porque es corto el tiempo en el que recupera la inversión del dinero del activo corriente, demostrando que cuenta con buena liquidez y capital para atender los pagos a corto plazo, esto puede deberse a que la cartera rota menos veces y aumenta el periodo de recaudo para el flujo de efectivo y el pago a proveedores.</t>
  </si>
  <si>
    <t>El flujo de caja histórico demuestra que para el año 2017 tuvo un crecimiento donde la empresa cuenta con caja para soportar la atención del servicio de la deuda y el reparto de utilidades, entre otras. Este comportamiento puede deberse a que la empresa ha tomado decisiones para propender el aumento del flujo de caja y la tasa de descuento</t>
  </si>
  <si>
    <t>ESTADO DE RESULTADO HISTÓTICO 2014-2017</t>
  </si>
  <si>
    <t>INDICADOR</t>
  </si>
  <si>
    <t>EBIT/Intereses</t>
  </si>
  <si>
    <t>KTNO</t>
  </si>
  <si>
    <t>LABS. TRANSPORTE DE CARGA S.A.S</t>
  </si>
  <si>
    <t>PDC</t>
  </si>
  <si>
    <t>Ciclo de caja</t>
  </si>
  <si>
    <t>VENTAS NETAS</t>
  </si>
  <si>
    <t>G. OPERAC.</t>
  </si>
  <si>
    <t>MARGEN</t>
  </si>
  <si>
    <t>COSTOS Y GASTOS</t>
  </si>
  <si>
    <t>UT.NET  / VT.NET</t>
  </si>
  <si>
    <t>G. FINANCIEROS</t>
  </si>
  <si>
    <t>RENDIMIENTO</t>
  </si>
  <si>
    <t>DE LA INVERSIÓN.</t>
  </si>
  <si>
    <t>MARGEN*ROTACION</t>
  </si>
  <si>
    <t>CAJA</t>
  </si>
  <si>
    <t>ROTACION ANUAL</t>
  </si>
  <si>
    <t xml:space="preserve"> VT.NET / ACT.TOT</t>
  </si>
  <si>
    <t>VALORES NEGOCIAB</t>
  </si>
  <si>
    <t>ACTIVO CORRIENTE</t>
  </si>
  <si>
    <t>ACTIVO TOTAL</t>
  </si>
  <si>
    <t>SOBRE PATRIMONIO</t>
  </si>
  <si>
    <t>INVETARIOS</t>
  </si>
  <si>
    <t>MARGEN*ROTACION*MULTIPLICADOR</t>
  </si>
  <si>
    <t>ACT. PERMANENTE</t>
  </si>
  <si>
    <t>ACTIVOS FIJOS</t>
  </si>
  <si>
    <t>MULTIPLICADOR.</t>
  </si>
  <si>
    <t>ACT.TOT. / PATR</t>
  </si>
  <si>
    <t>PATRIMONIO</t>
  </si>
  <si>
    <t>PASIVO CTE.</t>
  </si>
  <si>
    <t>PASIVO TOTAL</t>
  </si>
  <si>
    <t>PASIVO L.P.</t>
  </si>
  <si>
    <t>ANALISIS DUPONT 2017</t>
  </si>
  <si>
    <t>ANALISIS DUPONT 2016</t>
  </si>
  <si>
    <t>ANALISIS DUPONT 2015</t>
  </si>
  <si>
    <t>ANALISIS DUPONT 2014</t>
  </si>
  <si>
    <t>Rendimiento de la inversión</t>
  </si>
  <si>
    <t>Rendimiento del patrimonio</t>
  </si>
  <si>
    <t>Margen</t>
  </si>
  <si>
    <t>Rotación anual</t>
  </si>
  <si>
    <t>Multiplicador de apalancamiento</t>
  </si>
  <si>
    <t>ANÁLISIS DUPONT HISTÓRICO 2017-2014</t>
  </si>
  <si>
    <t>Item</t>
  </si>
  <si>
    <t xml:space="preserve">El análisis dupont histórico refleja que el rendimiento del activo y el patrimonio es muy bajo, lo que demuestra que la deuda de la empresa para adquirir activos es baja, y la rentabilidad que se tiene por las ventas comparado frente a los gastos fueron demasiado bajas, ya que los gastos superan mas de la mitad de lo que se obtuvo de las ventas. </t>
  </si>
  <si>
    <t xml:space="preserve">Ingresos por venta de servicios </t>
  </si>
  <si>
    <t xml:space="preserve">Gastos variables </t>
  </si>
  <si>
    <t>Gastos fijos</t>
  </si>
  <si>
    <t>UAII</t>
  </si>
  <si>
    <t>UAI</t>
  </si>
  <si>
    <t>Impuestos (35%)</t>
  </si>
  <si>
    <t>Utilidad Neta</t>
  </si>
  <si>
    <t>Costos Fijos</t>
  </si>
  <si>
    <t>Punto de Equilibrio en Pesos</t>
  </si>
  <si>
    <t>Precio - CV</t>
  </si>
  <si>
    <t>Precio</t>
  </si>
  <si>
    <t>Peq $</t>
  </si>
  <si>
    <t>Unidades</t>
  </si>
  <si>
    <t>Punto de Equilibrio en Unidades</t>
  </si>
  <si>
    <t>MC</t>
  </si>
  <si>
    <t>Ebit</t>
  </si>
  <si>
    <t xml:space="preserve">Grado de Apalancamiento Financiero (GAF) = </t>
  </si>
  <si>
    <t>CONTRIBUCION FINANCIERA</t>
  </si>
  <si>
    <t xml:space="preserve">Intereses </t>
  </si>
  <si>
    <t>PUNTO DE EQUILIBRIO</t>
  </si>
  <si>
    <t>CONTRIBUCIÓN FINANCIERA</t>
  </si>
  <si>
    <t>OTROS INDICADORES 2017</t>
  </si>
  <si>
    <t>El volumen mínimo que la empresa debe de tener para no perder es de $78.946.008</t>
  </si>
  <si>
    <t>RESULTADOS</t>
  </si>
  <si>
    <t>El grado de apalancamiento operativo (GAO) significa que por cada punto en % que se aumenten  las ventas, abra un aumento porcentual de la UAII de 1,1 puntos.</t>
  </si>
  <si>
    <t>El grado de apalancamiento financiero es bajo, debido a que los intereses y/o la deuda en la que se encuentra la empresa no es muy significativa, debido ya que el GAF representa que a mayor nivel de endeudamiento mayor GAF y por lo tanto mayor UPA debido a que se emitirá, para este caso, mas deuda que acciones o capital propio.</t>
  </si>
  <si>
    <t>La contribución financiera es favorable porque la rentabilidad de los propietarios de la empresa es mayor a la rentabilidad del activo y esta mayor al costo de la deuda</t>
  </si>
  <si>
    <t>El flujo de caja libre histórico demuestra que a pesar que en el año 2016 fue desfavorable, la empresa ha generado efectivo suficiente para atender la reposición de capital de trabajo, atención del servicio a la deuda y reparto de utilidades, ya que debido a sus ingresos cubre las necesidades de recursos para operar.</t>
  </si>
  <si>
    <t>De acuerdo al análisis del EVA la empresa no genera valor, debido a que el valor de los activos es inferior a los costos,  lo que significa, que el valor de dichos activos no genera remanente porque los activos de operación no rinden por encima del costo de capital.</t>
  </si>
  <si>
    <t>El flujo de caja histórico demuestra que para el año 2017 tuvo un crecimiento donde la empresa cuenta con caja para soportar la atención del servicio de la deuda y el reparto de utilidades, entre otras. Este comportamiento puede deberse a que la empresa ha tomado decisiones para propender el aumento del flujo de caja y la tasa de descuento.</t>
  </si>
  <si>
    <t>GRADO DE APALANCAMIENTO OPERATIVO</t>
  </si>
  <si>
    <t>GRADO DE APALANCAMIENTO FINANCIERO</t>
  </si>
  <si>
    <t xml:space="preserve">Grado de Apalancamiento Operativo (GAO) = </t>
  </si>
  <si>
    <t>El capital neto de trabajo muestra que la empresa para el año 2017 cuenta con recursos suficientes para respalda sus obligaciones a corto plazo, ya que su resultado fue de $154.916.000</t>
  </si>
  <si>
    <t>El margen neto de utilidad para el año 2017 muestra que por cada peso vendido la utilidad generada es del 2,75%, sin embargo, históricamente se observa que disminuye este porcentaje. Se recomienda a la empresa observar las politicas de ventas, porque también en margen bruto de utilidad en el 2017 fue de 12,03% teniendo una diferencia de -2,07% respecto al año anterior.</t>
  </si>
  <si>
    <t>La rentabilidad del patrimonio históricamente no mantiene una línea de crecimiento estable, ya que para el 2015 fue de 7,10% y al año 2017 esta en 4,33%, lo que significa que ha disminuido la rentabilidad de los fondos aportados por los inversionistas, esto puede deberse a las diferencias que hemos encontrado en el margen neto de utilidad por las ventas realizadas.</t>
  </si>
  <si>
    <t>Los ingresos operacionales, los costos de ventas y los pasivos aumentan significativamente históricamente, lo cual esto no es muy favorable para la empresa porque las ventas aumentan casi que igual que el costo de ventas, dejando un margen de rentabilidad muy bajo y los pasivos estan aumentando debido a las cuentas por pagar a proveedores ya que incrementan inusualmente respecto a las cuentas por cobrar, lo anterior se puede observar en las siguientes gráficas:</t>
  </si>
  <si>
    <t>La rotación de cartera de la empresa históricamente va disminuyendo el número de veces que las cuentas por cobrar giran en promedio, siendo esto positivo para la empresa ya que está recuperando más rápidamente su efectivo.</t>
  </si>
  <si>
    <t>El indicador de laverage establece que la empresa esta produciendo una rentabilidad superior a la tasa de interés que se paga por los activos financiados, es decir, esta corriendo menos riesgo.</t>
  </si>
  <si>
    <t>El rendimiento del activo total históricamente, muestra que la empresa no ha tenido la mejor efectividad en la administración para producir utilidades de los activos totales, sin embargo, se destaca que para el año 2017 tuvo un crecimiento de 0,36% respecto al año anterior.</t>
  </si>
  <si>
    <t>Flujo de caja libre</t>
  </si>
  <si>
    <t>TASA DE CRECIMIENTO ANUAL COMPUESTA</t>
  </si>
  <si>
    <t>CAGR</t>
  </si>
  <si>
    <t>Utilidad</t>
  </si>
  <si>
    <t>TABLA DE AMORTIZACION</t>
  </si>
  <si>
    <t>VP</t>
  </si>
  <si>
    <t>PERIODOS</t>
  </si>
  <si>
    <t>TASA  DE INTERES</t>
  </si>
  <si>
    <t>PERIODO</t>
  </si>
  <si>
    <t>CUOTA</t>
  </si>
  <si>
    <t>INTERES</t>
  </si>
  <si>
    <t>ABONO A CAPITAL</t>
  </si>
  <si>
    <t>SALDO</t>
  </si>
  <si>
    <t xml:space="preserve">CARG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</si>
</sst>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0">
    <numFmt numFmtId="5" formatCode="&quot;$&quot;\ #,##0;\-&quot;$&quot;\ #,##0"/>
    <numFmt numFmtId="42" formatCode="_-&quot;$&quot;\ * #,##0_-;\-&quot;$&quot;\ * #,##0_-;_-&quot;$&quot;\ * &quot;-&quot;_-;_-@_-"/>
    <numFmt numFmtId="41" formatCode="_-* #,##0_-;\-* #,##0_-;_-* &quot;-&quot;_-;_-@_-"/>
    <numFmt numFmtId="43" formatCode="_-* #,##0.00_-;\-* #,##0.00_-;_-* &quot;-&quot;??_-;_-@_-"/>
    <numFmt numFmtId="164" formatCode="&quot;$&quot;\ #,##0_);[Red]\(&quot;$&quot;\ #,##0\)"/>
    <numFmt numFmtId="165" formatCode="_(&quot;$&quot;\ * #,##0.00_);_(&quot;$&quot;\ * \(#,##0.00\);_(&quot;$&quot;\ * &quot;-&quot;??_);_(@_)"/>
    <numFmt numFmtId="166" formatCode="_(* #,##0.00_);_(* \(#,##0.00\);_(* &quot;-&quot;??_);_(@_)"/>
    <numFmt numFmtId="167" formatCode="[$$-240A]\ #,##0"/>
    <numFmt numFmtId="168" formatCode="&quot;$&quot;\ #,##0"/>
    <numFmt numFmtId="169" formatCode="_ * #,##0.00_ ;_ * \-#,##0.00_ ;_ * &quot;-&quot;??_ ;_ @_ "/>
    <numFmt numFmtId="170" formatCode="_(* #,##0_);_(* \(#,##0\);_(* &quot;-&quot;??_);_(@_)"/>
    <numFmt numFmtId="171" formatCode="_ * #,##0_ ;_ * \-#,##0_ ;_ * &quot;-&quot;??_ ;_ @_ "/>
    <numFmt numFmtId="172" formatCode="_-* #,##0.00\ _€_-;\-* #,##0.00\ _€_-;_-* &quot;-&quot;??\ _€_-;_-@_-"/>
    <numFmt numFmtId="173" formatCode="##,##0.00_);[Red]\(##,##0.00\)"/>
    <numFmt numFmtId="174" formatCode="_-* #,##0.00\ &quot;€&quot;_-;\-* #,##0.00\ &quot;€&quot;_-;_-* &quot;-&quot;??\ &quot;€&quot;_-;_-@_-"/>
    <numFmt numFmtId="175" formatCode="_ &quot;$&quot;\ * #,##0.00_ ;_ &quot;$&quot;\ * \-#,##0.00_ ;_ &quot;$&quot;\ * &quot;-&quot;??_ ;_ @_ "/>
    <numFmt numFmtId="176" formatCode="_ [$€-2]\ * #,##0.00_ ;_ [$€-2]\ * \-#,##0.00_ ;_ [$€-2]\ * &quot;-&quot;??_ "/>
    <numFmt numFmtId="177" formatCode="_ &quot;$&quot;\ * #,##0_ ;_ &quot;$&quot;\ * \-#,##0_ ;_ &quot;$&quot;\ * &quot;-&quot;??_ ;_ @_ "/>
    <numFmt numFmtId="178" formatCode="#,##0.00;[Red]#,##0.00"/>
    <numFmt numFmtId="179" formatCode="_-* #,##0_-;\-* #,##0_-;_-* &quot;-&quot;??_-;_-@_-"/>
    <numFmt numFmtId="180" formatCode="0.0%"/>
    <numFmt numFmtId="181" formatCode="_-* #,##0\ _€_-;\-* #,##0\ _€_-;_-* &quot;-&quot;??\ _€_-;_-@_-"/>
    <numFmt numFmtId="182" formatCode="&quot;$&quot;\ #,##0.00"/>
    <numFmt numFmtId="183" formatCode="_(&quot;$&quot;* #,##0_);_(&quot;$&quot;* \(#,##0\);_(&quot;$&quot;* &quot;-&quot;??_);_(@_)"/>
    <numFmt numFmtId="184" formatCode="_(&quot;$&quot;\ * #,##0_);_(&quot;$&quot;\ * \(#,##0\);_(&quot;$&quot;\ * &quot;-&quot;??_);_(@_)"/>
    <numFmt numFmtId="185" formatCode="_-* #,##0.000\ _€_-;\-* #,##0.000\ _€_-;_-* &quot;-&quot;??\ _€_-;_-@_-"/>
    <numFmt numFmtId="186" formatCode="_(* #,##0.000_);_(* \(#,##0.000\);_(* &quot;-&quot;??_);_(@_)"/>
    <numFmt numFmtId="187" formatCode="_(* #,##0.0000000_);_(* \(#,##0.0000000\);_(* &quot;-&quot;??_);_(@_)"/>
    <numFmt numFmtId="188" formatCode="_(* #,##0.0_);_(* \(#,##0.0\);_(* &quot;-&quot;??_);_(@_)"/>
    <numFmt numFmtId="189" formatCode="_-&quot;$&quot;* #,##0_-;\-&quot;$&quot;* #,##0_-;_-&quot;$&quot;* &quot;-&quot;_-;_-@_-"/>
  </numFmts>
  <fonts count="36">
    <font>
      <sz val="11"/>
      <color theme="1"/>
      <name val="Calibri"/>
      <family val="2"/>
      <scheme val="minor"/>
    </font>
    <font>
      <b/>
      <sz val="11"/>
      <color theme="1"/>
      <name val="Calibri"/>
      <family val="2"/>
      <scheme val="minor"/>
    </font>
    <font>
      <b/>
      <sz val="11"/>
      <color theme="0"/>
      <name val="Calibri"/>
      <family val="2"/>
      <scheme val="minor"/>
    </font>
    <font>
      <sz val="11"/>
      <color rgb="FFFF0000"/>
      <name val="Calibri"/>
      <family val="2"/>
      <scheme val="minor"/>
    </font>
    <font>
      <sz val="11"/>
      <color theme="0"/>
      <name val="Calibri"/>
      <family val="2"/>
      <scheme val="minor"/>
    </font>
    <font>
      <sz val="11"/>
      <color theme="1"/>
      <name val="Calibri"/>
      <family val="2"/>
      <scheme val="minor"/>
    </font>
    <font>
      <sz val="10"/>
      <name val="Arial"/>
      <family val="2"/>
    </font>
    <font>
      <sz val="10"/>
      <name val="Verdana   "/>
    </font>
    <font>
      <b/>
      <sz val="18"/>
      <color theme="3"/>
      <name val="Cambria"/>
      <family val="2"/>
      <scheme val="maj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i/>
      <sz val="11"/>
      <color rgb="FF7F7F7F"/>
      <name val="Calibri"/>
      <family val="2"/>
      <scheme val="minor"/>
    </font>
    <font>
      <sz val="10"/>
      <name val="Arial"/>
      <family val="2"/>
    </font>
    <font>
      <b/>
      <sz val="12"/>
      <name val="Times New Roman"/>
      <family val="1"/>
    </font>
    <font>
      <sz val="12"/>
      <name val="Times New Roman"/>
      <family val="1"/>
    </font>
    <font>
      <b/>
      <sz val="12"/>
      <color theme="1"/>
      <name val="Times New Roman"/>
      <family val="1"/>
    </font>
    <font>
      <sz val="12"/>
      <color theme="1"/>
      <name val="Times New Roman"/>
      <family val="1"/>
    </font>
    <font>
      <sz val="10.5"/>
      <color theme="1"/>
      <name val="Times New Roman"/>
      <family val="1"/>
    </font>
    <font>
      <b/>
      <sz val="12"/>
      <color theme="0"/>
      <name val="Times New Roman"/>
      <family val="1"/>
    </font>
    <font>
      <sz val="12"/>
      <color theme="0"/>
      <name val="Times New Roman"/>
      <family val="1"/>
    </font>
    <font>
      <b/>
      <u/>
      <sz val="12"/>
      <name val="Times New Roman"/>
      <family val="1"/>
    </font>
    <font>
      <b/>
      <i/>
      <sz val="12"/>
      <name val="Times New Roman"/>
      <family val="1"/>
    </font>
    <font>
      <u/>
      <sz val="12"/>
      <color theme="1"/>
      <name val="Times New Roman"/>
      <family val="1"/>
    </font>
    <font>
      <sz val="12"/>
      <color rgb="FF000000"/>
      <name val="Times New Roman"/>
      <family val="1"/>
    </font>
    <font>
      <b/>
      <sz val="8"/>
      <color theme="1"/>
      <name val="Times New Roman"/>
      <family val="1"/>
    </font>
    <font>
      <sz val="8"/>
      <color theme="1"/>
      <name val="Times New Roman"/>
      <family val="1"/>
    </font>
    <font>
      <sz val="11"/>
      <name val="Calibri"/>
      <family val="2"/>
      <scheme val="minor"/>
    </font>
    <font>
      <b/>
      <sz val="10"/>
      <name val="Arial"/>
      <family val="2"/>
    </font>
    <font>
      <b/>
      <sz val="12"/>
      <name val="Arial"/>
      <family val="2"/>
    </font>
  </fonts>
  <fills count="41">
    <fill>
      <patternFill patternType="none"/>
    </fill>
    <fill>
      <patternFill patternType="gray125"/>
    </fill>
    <fill>
      <patternFill patternType="solid">
        <fgColor theme="4" tint="0.59999389629810485"/>
        <bgColor indexed="64"/>
      </patternFill>
    </fill>
    <fill>
      <patternFill patternType="solid">
        <fgColor theme="0"/>
        <bgColor indexed="64"/>
      </patternFill>
    </fill>
    <fill>
      <patternFill patternType="solid">
        <fgColor theme="3" tint="0.79998168889431442"/>
        <bgColor indexed="64"/>
      </patternFill>
    </fill>
    <fill>
      <patternFill patternType="solid">
        <fgColor theme="4"/>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00"/>
        <bgColor indexed="64"/>
      </patternFill>
    </fill>
    <fill>
      <patternFill patternType="solid">
        <fgColor rgb="FFB5C6E7"/>
        <bgColor indexed="64"/>
      </patternFill>
    </fill>
    <fill>
      <patternFill patternType="solid">
        <fgColor theme="4" tint="-0.249977111117893"/>
        <bgColor indexed="64"/>
      </patternFill>
    </fill>
    <fill>
      <patternFill patternType="solid">
        <fgColor theme="4" tint="0.79998168889431442"/>
        <bgColor indexed="64"/>
      </patternFill>
    </fill>
  </fills>
  <borders count="65">
    <border>
      <left/>
      <right/>
      <top/>
      <bottom/>
      <diagonal/>
    </border>
    <border>
      <left/>
      <right/>
      <top/>
      <bottom style="medium">
        <color indexed="6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theme="0"/>
      </left>
      <right style="thin">
        <color theme="0"/>
      </right>
      <top style="thin">
        <color theme="0"/>
      </top>
      <bottom style="thin">
        <color theme="0"/>
      </bottom>
      <diagonal/>
    </border>
    <border>
      <left style="thin">
        <color indexed="64"/>
      </left>
      <right style="thin">
        <color indexed="64"/>
      </right>
      <top style="thin">
        <color theme="0"/>
      </top>
      <bottom style="thin">
        <color indexed="64"/>
      </bottom>
      <diagonal/>
    </border>
    <border>
      <left style="thin">
        <color indexed="64"/>
      </left>
      <right style="thin">
        <color theme="0"/>
      </right>
      <top style="thin">
        <color theme="0"/>
      </top>
      <bottom style="thin">
        <color indexed="64"/>
      </bottom>
      <diagonal/>
    </border>
    <border>
      <left style="thin">
        <color theme="0"/>
      </left>
      <right style="thin">
        <color indexed="64"/>
      </right>
      <top style="thin">
        <color theme="0"/>
      </top>
      <bottom style="thin">
        <color indexed="64"/>
      </bottom>
      <diagonal/>
    </border>
    <border>
      <left/>
      <right/>
      <top/>
      <bottom style="thin">
        <color theme="0"/>
      </bottom>
      <diagonal/>
    </border>
    <border>
      <left style="thin">
        <color theme="0"/>
      </left>
      <right/>
      <top/>
      <bottom/>
      <diagonal/>
    </border>
    <border>
      <left/>
      <right style="thin">
        <color theme="0"/>
      </right>
      <top/>
      <bottom/>
      <diagonal/>
    </border>
    <border>
      <left style="thin">
        <color theme="0"/>
      </left>
      <right/>
      <top/>
      <bottom style="thin">
        <color theme="0"/>
      </bottom>
      <diagonal/>
    </border>
    <border>
      <left/>
      <right style="thin">
        <color theme="0"/>
      </right>
      <top/>
      <bottom style="thin">
        <color theme="0"/>
      </bottom>
      <diagonal/>
    </border>
    <border>
      <left/>
      <right/>
      <top style="thin">
        <color theme="0"/>
      </top>
      <bottom style="thin">
        <color theme="0"/>
      </bottom>
      <diagonal/>
    </border>
    <border>
      <left style="thin">
        <color theme="0"/>
      </left>
      <right/>
      <top style="thin">
        <color theme="0"/>
      </top>
      <bottom style="thin">
        <color theme="0"/>
      </bottom>
      <diagonal/>
    </border>
    <border>
      <left/>
      <right style="thin">
        <color theme="0"/>
      </right>
      <top style="thin">
        <color theme="0"/>
      </top>
      <bottom style="thin">
        <color theme="0"/>
      </bottom>
      <diagonal/>
    </border>
    <border>
      <left style="thin">
        <color theme="0"/>
      </left>
      <right style="thin">
        <color theme="0"/>
      </right>
      <top style="thin">
        <color indexed="64"/>
      </top>
      <bottom style="medium">
        <color indexed="64"/>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style="thin">
        <color theme="0"/>
      </left>
      <right style="thin">
        <color theme="0"/>
      </right>
      <top/>
      <bottom/>
      <diagonal/>
    </border>
    <border>
      <left style="thin">
        <color theme="0"/>
      </left>
      <right/>
      <top style="thin">
        <color indexed="64"/>
      </top>
      <bottom style="medium">
        <color indexed="64"/>
      </bottom>
      <diagonal/>
    </border>
    <border>
      <left/>
      <right style="thin">
        <color theme="0"/>
      </right>
      <top style="thin">
        <color indexed="64"/>
      </top>
      <bottom style="medium">
        <color indexed="64"/>
      </bottom>
      <diagonal/>
    </border>
    <border>
      <left/>
      <right style="thin">
        <color theme="0"/>
      </right>
      <top style="thin">
        <color theme="0"/>
      </top>
      <bottom/>
      <diagonal/>
    </border>
    <border>
      <left/>
      <right/>
      <top style="thin">
        <color indexed="64"/>
      </top>
      <bottom style="medium">
        <color indexed="64"/>
      </bottom>
      <diagonal/>
    </border>
    <border>
      <left style="thin">
        <color theme="0"/>
      </left>
      <right style="thin">
        <color theme="0"/>
      </right>
      <top style="thin">
        <color theme="0"/>
      </top>
      <bottom style="medium">
        <color indexed="64"/>
      </bottom>
      <diagonal/>
    </border>
    <border>
      <left style="thin">
        <color theme="0"/>
      </left>
      <right/>
      <top style="thin">
        <color theme="0"/>
      </top>
      <bottom/>
      <diagonal/>
    </border>
    <border>
      <left style="thin">
        <color theme="0"/>
      </left>
      <right/>
      <top style="thin">
        <color theme="0"/>
      </top>
      <bottom style="medium">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61">
    <xf numFmtId="0" fontId="0" fillId="0" borderId="0"/>
    <xf numFmtId="43" fontId="5" fillId="0" borderId="0" applyFont="0" applyFill="0" applyBorder="0" applyAlignment="0" applyProtection="0"/>
    <xf numFmtId="169" fontId="6" fillId="0" borderId="0" applyFont="0" applyFill="0" applyBorder="0" applyAlignment="0" applyProtection="0"/>
    <xf numFmtId="0" fontId="8" fillId="0" borderId="0" applyNumberFormat="0" applyFill="0" applyBorder="0" applyAlignment="0" applyProtection="0"/>
    <xf numFmtId="0" fontId="9" fillId="0" borderId="2" applyNumberFormat="0" applyFill="0" applyAlignment="0" applyProtection="0"/>
    <xf numFmtId="0" fontId="10" fillId="0" borderId="3" applyNumberFormat="0" applyFill="0" applyAlignment="0" applyProtection="0"/>
    <xf numFmtId="0" fontId="10" fillId="0" borderId="0" applyNumberFormat="0" applyFill="0" applyBorder="0" applyAlignment="0" applyProtection="0"/>
    <xf numFmtId="0" fontId="11" fillId="6" borderId="0" applyNumberFormat="0" applyBorder="0" applyAlignment="0" applyProtection="0"/>
    <xf numFmtId="0" fontId="12" fillId="7" borderId="0" applyNumberFormat="0" applyBorder="0" applyAlignment="0" applyProtection="0"/>
    <xf numFmtId="0" fontId="13" fillId="8" borderId="0" applyNumberFormat="0" applyBorder="0" applyAlignment="0" applyProtection="0"/>
    <xf numFmtId="0" fontId="14" fillId="9" borderId="4" applyNumberFormat="0" applyAlignment="0" applyProtection="0"/>
    <xf numFmtId="0" fontId="15" fillId="10" borderId="5" applyNumberFormat="0" applyAlignment="0" applyProtection="0"/>
    <xf numFmtId="0" fontId="16" fillId="10" borderId="4" applyNumberFormat="0" applyAlignment="0" applyProtection="0"/>
    <xf numFmtId="0" fontId="17" fillId="0" borderId="6" applyNumberFormat="0" applyFill="0" applyAlignment="0" applyProtection="0"/>
    <xf numFmtId="0" fontId="2" fillId="11" borderId="7" applyNumberFormat="0" applyAlignment="0" applyProtection="0"/>
    <xf numFmtId="0" fontId="3" fillId="0" borderId="0" applyNumberFormat="0" applyFill="0" applyBorder="0" applyAlignment="0" applyProtection="0"/>
    <xf numFmtId="0" fontId="18" fillId="0" borderId="0" applyNumberFormat="0" applyFill="0" applyBorder="0" applyAlignment="0" applyProtection="0"/>
    <xf numFmtId="0" fontId="1" fillId="0" borderId="9" applyNumberFormat="0" applyFill="0" applyAlignment="0" applyProtection="0"/>
    <xf numFmtId="0" fontId="4"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4" fillId="20" borderId="0" applyNumberFormat="0" applyBorder="0" applyAlignment="0" applyProtection="0"/>
    <xf numFmtId="0" fontId="4" fillId="21"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4" fillId="24" borderId="0" applyNumberFormat="0" applyBorder="0" applyAlignment="0" applyProtection="0"/>
    <xf numFmtId="0" fontId="4" fillId="25"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4" fillId="28" borderId="0" applyNumberFormat="0" applyBorder="0" applyAlignment="0" applyProtection="0"/>
    <xf numFmtId="0" fontId="4" fillId="29"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4" fillId="32" borderId="0" applyNumberFormat="0" applyBorder="0" applyAlignment="0" applyProtection="0"/>
    <xf numFmtId="0" fontId="4" fillId="33" borderId="0" applyNumberFormat="0" applyBorder="0" applyAlignment="0" applyProtection="0"/>
    <xf numFmtId="0" fontId="5" fillId="34" borderId="0" applyNumberFormat="0" applyBorder="0" applyAlignment="0" applyProtection="0"/>
    <xf numFmtId="0" fontId="5" fillId="35" borderId="0" applyNumberFormat="0" applyBorder="0" applyAlignment="0" applyProtection="0"/>
    <xf numFmtId="0" fontId="4" fillId="36" borderId="0" applyNumberFormat="0" applyBorder="0" applyAlignment="0" applyProtection="0"/>
    <xf numFmtId="0" fontId="19" fillId="0" borderId="0"/>
    <xf numFmtId="176" fontId="6" fillId="0" borderId="0" applyFont="0" applyFill="0" applyBorder="0" applyAlignment="0" applyProtection="0"/>
    <xf numFmtId="169" fontId="19" fillId="0" borderId="0" applyFont="0" applyFill="0" applyBorder="0" applyAlignment="0" applyProtection="0"/>
    <xf numFmtId="172" fontId="6" fillId="0" borderId="0" applyFont="0" applyFill="0" applyBorder="0" applyAlignment="0" applyProtection="0"/>
    <xf numFmtId="175" fontId="19"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0" fontId="6" fillId="0" borderId="0"/>
    <xf numFmtId="0" fontId="7" fillId="0" borderId="0"/>
    <xf numFmtId="0" fontId="5" fillId="12" borderId="8" applyNumberFormat="0" applyFont="0" applyAlignment="0" applyProtection="0"/>
    <xf numFmtId="41" fontId="5" fillId="0" borderId="0" applyFont="0" applyFill="0" applyBorder="0" applyAlignment="0" applyProtection="0"/>
    <xf numFmtId="9" fontId="5" fillId="0" borderId="0" applyFont="0" applyFill="0" applyBorder="0" applyAlignment="0" applyProtection="0"/>
    <xf numFmtId="42" fontId="5" fillId="0" borderId="0" applyFont="0" applyFill="0" applyBorder="0" applyAlignment="0" applyProtection="0"/>
    <xf numFmtId="0" fontId="6" fillId="0" borderId="0" applyFont="0" applyFill="0" applyBorder="0" applyAlignment="0" applyProtection="0"/>
    <xf numFmtId="165"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cellStyleXfs>
  <cellXfs count="802">
    <xf numFmtId="0" fontId="0" fillId="0" borderId="0" xfId="0"/>
    <xf numFmtId="171" fontId="20" fillId="3" borderId="0" xfId="1" applyNumberFormat="1" applyFont="1" applyFill="1" applyAlignment="1"/>
    <xf numFmtId="43" fontId="21" fillId="3" borderId="0" xfId="1" applyFont="1" applyFill="1"/>
    <xf numFmtId="0" fontId="21" fillId="3" borderId="0" xfId="0" applyFont="1" applyFill="1"/>
    <xf numFmtId="171" fontId="21" fillId="3" borderId="0" xfId="1" applyNumberFormat="1" applyFont="1" applyFill="1"/>
    <xf numFmtId="166" fontId="21" fillId="3" borderId="0" xfId="0" applyNumberFormat="1" applyFont="1" applyFill="1"/>
    <xf numFmtId="171" fontId="21" fillId="3" borderId="0" xfId="1" applyNumberFormat="1" applyFont="1" applyFill="1" applyBorder="1" applyAlignment="1">
      <alignment horizontal="left"/>
    </xf>
    <xf numFmtId="171" fontId="21" fillId="3" borderId="0" xfId="1" applyNumberFormat="1" applyFont="1" applyFill="1" applyBorder="1"/>
    <xf numFmtId="43" fontId="20" fillId="3" borderId="0" xfId="1" applyFont="1" applyFill="1"/>
    <xf numFmtId="0" fontId="20" fillId="3" borderId="0" xfId="0" applyFont="1" applyFill="1" applyBorder="1" applyAlignment="1">
      <alignment horizontal="left"/>
    </xf>
    <xf numFmtId="171" fontId="20" fillId="3" borderId="0" xfId="1" applyNumberFormat="1" applyFont="1" applyFill="1" applyBorder="1"/>
    <xf numFmtId="0" fontId="20" fillId="3" borderId="0" xfId="0" applyFont="1" applyFill="1"/>
    <xf numFmtId="0" fontId="21" fillId="3" borderId="0" xfId="42" applyFont="1" applyFill="1"/>
    <xf numFmtId="0" fontId="21" fillId="3" borderId="0" xfId="0" applyFont="1" applyFill="1" applyAlignment="1"/>
    <xf numFmtId="0" fontId="21" fillId="3" borderId="0" xfId="0" applyFont="1" applyFill="1" applyBorder="1"/>
    <xf numFmtId="171" fontId="20" fillId="3" borderId="0" xfId="1" applyNumberFormat="1" applyFont="1" applyFill="1" applyBorder="1" applyAlignment="1">
      <alignment horizontal="center"/>
    </xf>
    <xf numFmtId="171" fontId="21" fillId="3" borderId="0" xfId="1" applyNumberFormat="1" applyFont="1" applyFill="1" applyBorder="1" applyAlignment="1">
      <alignment horizontal="center"/>
    </xf>
    <xf numFmtId="43" fontId="21" fillId="3" borderId="0" xfId="1" applyFont="1" applyFill="1" applyBorder="1" applyAlignment="1">
      <alignment horizontal="center"/>
    </xf>
    <xf numFmtId="179" fontId="21" fillId="3" borderId="0" xfId="1" applyNumberFormat="1" applyFont="1" applyFill="1" applyBorder="1"/>
    <xf numFmtId="179" fontId="21" fillId="3" borderId="0" xfId="0" applyNumberFormat="1" applyFont="1" applyFill="1" applyBorder="1"/>
    <xf numFmtId="0" fontId="20" fillId="3" borderId="0" xfId="0" applyFont="1" applyFill="1" applyBorder="1"/>
    <xf numFmtId="43" fontId="21" fillId="3" borderId="0" xfId="1" applyFont="1" applyFill="1" applyBorder="1"/>
    <xf numFmtId="0" fontId="20" fillId="3" borderId="0" xfId="0" applyFont="1" applyFill="1" applyBorder="1" applyAlignment="1">
      <alignment horizontal="left" wrapText="1"/>
    </xf>
    <xf numFmtId="0" fontId="20" fillId="3" borderId="0" xfId="0" applyFont="1" applyFill="1" applyBorder="1" applyAlignment="1">
      <alignment wrapText="1"/>
    </xf>
    <xf numFmtId="0" fontId="21" fillId="3" borderId="0" xfId="0" applyFont="1" applyFill="1" applyBorder="1" applyAlignment="1">
      <alignment horizontal="left" wrapText="1"/>
    </xf>
    <xf numFmtId="166" fontId="21" fillId="3" borderId="0" xfId="0" applyNumberFormat="1" applyFont="1" applyFill="1" applyBorder="1"/>
    <xf numFmtId="43" fontId="20" fillId="3" borderId="0" xfId="1" applyFont="1" applyFill="1" applyBorder="1"/>
    <xf numFmtId="0" fontId="23" fillId="3" borderId="0" xfId="0" applyFont="1" applyFill="1"/>
    <xf numFmtId="0" fontId="23" fillId="3" borderId="0" xfId="0" applyFont="1" applyFill="1" applyAlignment="1">
      <alignment horizontal="center"/>
    </xf>
    <xf numFmtId="179" fontId="23" fillId="3" borderId="0" xfId="1" applyNumberFormat="1" applyFont="1" applyFill="1"/>
    <xf numFmtId="167" fontId="20" fillId="3" borderId="0" xfId="0" applyNumberFormat="1" applyFont="1" applyFill="1" applyBorder="1" applyAlignment="1">
      <alignment wrapText="1"/>
    </xf>
    <xf numFmtId="167" fontId="21" fillId="3" borderId="0" xfId="0" applyNumberFormat="1" applyFont="1" applyFill="1" applyBorder="1" applyAlignment="1">
      <alignment horizontal="left" wrapText="1"/>
    </xf>
    <xf numFmtId="0" fontId="21" fillId="3" borderId="0" xfId="0" applyFont="1" applyFill="1" applyBorder="1" applyAlignment="1">
      <alignment wrapText="1"/>
    </xf>
    <xf numFmtId="0" fontId="20" fillId="3" borderId="0" xfId="0" applyFont="1" applyFill="1" applyBorder="1" applyAlignment="1"/>
    <xf numFmtId="170" fontId="20" fillId="3" borderId="0" xfId="1" applyNumberFormat="1" applyFont="1" applyFill="1" applyBorder="1" applyAlignment="1"/>
    <xf numFmtId="170" fontId="20" fillId="3" borderId="0" xfId="1" applyNumberFormat="1" applyFont="1" applyFill="1" applyBorder="1" applyAlignment="1">
      <alignment wrapText="1"/>
    </xf>
    <xf numFmtId="0" fontId="23" fillId="0" borderId="0" xfId="0" applyFont="1"/>
    <xf numFmtId="0" fontId="23" fillId="0" borderId="0" xfId="0" applyFont="1" applyBorder="1"/>
    <xf numFmtId="0" fontId="22" fillId="0" borderId="0" xfId="0" applyFont="1" applyFill="1" applyBorder="1" applyAlignment="1">
      <alignment horizontal="center" vertical="center" wrapText="1"/>
    </xf>
    <xf numFmtId="0" fontId="23" fillId="0" borderId="0" xfId="0" applyFont="1" applyFill="1" applyBorder="1"/>
    <xf numFmtId="0" fontId="23" fillId="0" borderId="10" xfId="0" applyFont="1" applyBorder="1"/>
    <xf numFmtId="10" fontId="23" fillId="0" borderId="10" xfId="0" applyNumberFormat="1" applyFont="1" applyBorder="1"/>
    <xf numFmtId="168" fontId="23" fillId="0" borderId="10" xfId="0" applyNumberFormat="1" applyFont="1" applyBorder="1"/>
    <xf numFmtId="10" fontId="23" fillId="0" borderId="0" xfId="53" applyNumberFormat="1" applyFont="1"/>
    <xf numFmtId="10" fontId="23" fillId="0" borderId="0" xfId="0" applyNumberFormat="1" applyFont="1" applyFill="1" applyBorder="1"/>
    <xf numFmtId="0" fontId="23" fillId="2" borderId="10" xfId="0" applyFont="1" applyFill="1" applyBorder="1"/>
    <xf numFmtId="10" fontId="23" fillId="2" borderId="10" xfId="0" applyNumberFormat="1" applyFont="1" applyFill="1" applyBorder="1"/>
    <xf numFmtId="168" fontId="23" fillId="2" borderId="10" xfId="0" applyNumberFormat="1" applyFont="1" applyFill="1" applyBorder="1"/>
    <xf numFmtId="0" fontId="23" fillId="38" borderId="10" xfId="0" applyFont="1" applyFill="1" applyBorder="1"/>
    <xf numFmtId="10" fontId="23" fillId="38" borderId="10" xfId="0" applyNumberFormat="1" applyFont="1" applyFill="1" applyBorder="1"/>
    <xf numFmtId="168" fontId="23" fillId="38" borderId="10" xfId="0" applyNumberFormat="1" applyFont="1" applyFill="1" applyBorder="1"/>
    <xf numFmtId="0" fontId="23" fillId="0" borderId="10" xfId="0" applyFont="1" applyFill="1" applyBorder="1"/>
    <xf numFmtId="10" fontId="23" fillId="0" borderId="10" xfId="0" applyNumberFormat="1" applyFont="1" applyFill="1" applyBorder="1"/>
    <xf numFmtId="168" fontId="23" fillId="0" borderId="10" xfId="0" applyNumberFormat="1" applyFont="1" applyFill="1" applyBorder="1"/>
    <xf numFmtId="164" fontId="23" fillId="0" borderId="10" xfId="0" applyNumberFormat="1" applyFont="1" applyBorder="1" applyAlignment="1">
      <alignment horizontal="right"/>
    </xf>
    <xf numFmtId="164" fontId="23" fillId="0" borderId="0" xfId="0" applyNumberFormat="1" applyFont="1"/>
    <xf numFmtId="167" fontId="23" fillId="2" borderId="10" xfId="0" applyNumberFormat="1" applyFont="1" applyFill="1" applyBorder="1" applyAlignment="1">
      <alignment horizontal="right"/>
    </xf>
    <xf numFmtId="167" fontId="23" fillId="0" borderId="10" xfId="0" applyNumberFormat="1" applyFont="1" applyBorder="1" applyAlignment="1">
      <alignment horizontal="right"/>
    </xf>
    <xf numFmtId="167" fontId="23" fillId="0" borderId="10" xfId="0" applyNumberFormat="1" applyFont="1" applyFill="1" applyBorder="1" applyAlignment="1">
      <alignment horizontal="right"/>
    </xf>
    <xf numFmtId="167" fontId="23" fillId="38" borderId="10" xfId="0" applyNumberFormat="1" applyFont="1" applyFill="1" applyBorder="1" applyAlignment="1">
      <alignment horizontal="right"/>
    </xf>
    <xf numFmtId="0" fontId="23" fillId="0" borderId="15" xfId="0" applyFont="1" applyBorder="1"/>
    <xf numFmtId="164" fontId="23" fillId="0" borderId="0" xfId="0" applyNumberFormat="1" applyFont="1" applyBorder="1"/>
    <xf numFmtId="0" fontId="23" fillId="0" borderId="16" xfId="0" applyFont="1" applyBorder="1"/>
    <xf numFmtId="167" fontId="23" fillId="0" borderId="10" xfId="0" applyNumberFormat="1" applyFont="1" applyBorder="1"/>
    <xf numFmtId="10" fontId="23" fillId="0" borderId="14" xfId="0" applyNumberFormat="1" applyFont="1" applyFill="1" applyBorder="1"/>
    <xf numFmtId="167" fontId="23" fillId="2" borderId="10" xfId="0" applyNumberFormat="1" applyFont="1" applyFill="1" applyBorder="1"/>
    <xf numFmtId="167" fontId="23" fillId="0" borderId="10" xfId="0" applyNumberFormat="1" applyFont="1" applyFill="1" applyBorder="1"/>
    <xf numFmtId="0" fontId="23" fillId="0" borderId="17" xfId="0" applyFont="1" applyBorder="1"/>
    <xf numFmtId="10" fontId="23" fillId="0" borderId="14" xfId="0" applyNumberFormat="1" applyFont="1" applyBorder="1"/>
    <xf numFmtId="0" fontId="23" fillId="0" borderId="14" xfId="0" applyFont="1" applyBorder="1"/>
    <xf numFmtId="0" fontId="23" fillId="0" borderId="18" xfId="0" applyFont="1" applyBorder="1"/>
    <xf numFmtId="0" fontId="25" fillId="0" borderId="0" xfId="0" applyFont="1" applyFill="1" applyAlignment="1">
      <alignment horizontal="center"/>
    </xf>
    <xf numFmtId="164" fontId="23" fillId="0" borderId="10" xfId="0" applyNumberFormat="1" applyFont="1" applyBorder="1"/>
    <xf numFmtId="164" fontId="23" fillId="2" borderId="10" xfId="0" applyNumberFormat="1" applyFont="1" applyFill="1" applyBorder="1"/>
    <xf numFmtId="0" fontId="23" fillId="3" borderId="10" xfId="0" applyFont="1" applyFill="1" applyBorder="1"/>
    <xf numFmtId="164" fontId="23" fillId="3" borderId="10" xfId="0" applyNumberFormat="1" applyFont="1" applyFill="1" applyBorder="1"/>
    <xf numFmtId="10" fontId="23" fillId="3" borderId="10" xfId="0" applyNumberFormat="1" applyFont="1" applyFill="1" applyBorder="1"/>
    <xf numFmtId="168" fontId="23" fillId="3" borderId="10" xfId="0" applyNumberFormat="1" applyFont="1" applyFill="1" applyBorder="1"/>
    <xf numFmtId="0" fontId="22" fillId="2" borderId="10" xfId="0" applyFont="1" applyFill="1" applyBorder="1"/>
    <xf numFmtId="0" fontId="22" fillId="3" borderId="10" xfId="0" applyFont="1" applyFill="1" applyBorder="1"/>
    <xf numFmtId="0" fontId="23" fillId="0" borderId="0" xfId="0" applyFont="1" applyFill="1"/>
    <xf numFmtId="167" fontId="23" fillId="3" borderId="10" xfId="0" applyNumberFormat="1" applyFont="1" applyFill="1" applyBorder="1"/>
    <xf numFmtId="0" fontId="22" fillId="0" borderId="10" xfId="0" applyFont="1" applyBorder="1"/>
    <xf numFmtId="0" fontId="22" fillId="3" borderId="0" xfId="0" applyFont="1" applyFill="1" applyBorder="1"/>
    <xf numFmtId="168" fontId="23" fillId="3" borderId="0" xfId="0" applyNumberFormat="1" applyFont="1" applyFill="1" applyBorder="1"/>
    <xf numFmtId="10" fontId="23" fillId="3" borderId="0" xfId="0" applyNumberFormat="1" applyFont="1" applyFill="1" applyBorder="1"/>
    <xf numFmtId="2" fontId="23" fillId="0" borderId="10" xfId="0" applyNumberFormat="1" applyFont="1" applyBorder="1"/>
    <xf numFmtId="0" fontId="23" fillId="2" borderId="10" xfId="0" applyFont="1" applyFill="1" applyBorder="1" applyAlignment="1">
      <alignment vertical="center" wrapText="1"/>
    </xf>
    <xf numFmtId="168" fontId="23" fillId="2" borderId="10" xfId="0" applyNumberFormat="1" applyFont="1" applyFill="1" applyBorder="1" applyAlignment="1">
      <alignment vertical="center" wrapText="1"/>
    </xf>
    <xf numFmtId="2" fontId="23" fillId="2" borderId="10" xfId="0" applyNumberFormat="1" applyFont="1" applyFill="1" applyBorder="1"/>
    <xf numFmtId="168" fontId="23" fillId="0" borderId="0" xfId="0" applyNumberFormat="1" applyFont="1"/>
    <xf numFmtId="0" fontId="22" fillId="0" borderId="0" xfId="0" applyFont="1" applyBorder="1"/>
    <xf numFmtId="168" fontId="23" fillId="0" borderId="0" xfId="0" applyNumberFormat="1" applyFont="1" applyBorder="1"/>
    <xf numFmtId="10" fontId="23" fillId="0" borderId="0" xfId="0" applyNumberFormat="1" applyFont="1" applyBorder="1"/>
    <xf numFmtId="10" fontId="23" fillId="4" borderId="10" xfId="0" applyNumberFormat="1" applyFont="1" applyFill="1" applyBorder="1"/>
    <xf numFmtId="0" fontId="23" fillId="3" borderId="0" xfId="0" applyFont="1" applyFill="1" applyBorder="1" applyAlignment="1">
      <alignment horizontal="left"/>
    </xf>
    <xf numFmtId="0" fontId="22" fillId="0" borderId="10" xfId="0" applyFont="1" applyFill="1" applyBorder="1"/>
    <xf numFmtId="0" fontId="22" fillId="0" borderId="0" xfId="0" applyFont="1" applyFill="1" applyBorder="1"/>
    <xf numFmtId="168" fontId="23" fillId="0" borderId="0" xfId="0" applyNumberFormat="1" applyFont="1" applyFill="1" applyBorder="1"/>
    <xf numFmtId="2" fontId="21" fillId="3" borderId="10" xfId="0" applyNumberFormat="1" applyFont="1" applyFill="1" applyBorder="1"/>
    <xf numFmtId="0" fontId="23" fillId="37" borderId="0" xfId="0" applyFont="1" applyFill="1"/>
    <xf numFmtId="10" fontId="21" fillId="0" borderId="0" xfId="0" applyNumberFormat="1" applyFont="1" applyFill="1" applyBorder="1"/>
    <xf numFmtId="0" fontId="26" fillId="3" borderId="0" xfId="0" applyFont="1" applyFill="1" applyBorder="1" applyAlignment="1">
      <alignment horizontal="center"/>
    </xf>
    <xf numFmtId="0" fontId="23" fillId="0" borderId="0" xfId="0" applyFont="1" applyAlignment="1">
      <alignment horizontal="center" wrapText="1"/>
    </xf>
    <xf numFmtId="0" fontId="23" fillId="0" borderId="0" xfId="0" applyFont="1" applyAlignment="1">
      <alignment horizontal="center"/>
    </xf>
    <xf numFmtId="0" fontId="23" fillId="0" borderId="0" xfId="0" applyFont="1" applyAlignment="1">
      <alignment wrapText="1"/>
    </xf>
    <xf numFmtId="5" fontId="23" fillId="0" borderId="10" xfId="1" applyNumberFormat="1" applyFont="1" applyBorder="1" applyAlignment="1">
      <alignment horizontal="right"/>
    </xf>
    <xf numFmtId="5" fontId="23" fillId="2" borderId="10" xfId="1" applyNumberFormat="1" applyFont="1" applyFill="1" applyBorder="1" applyAlignment="1">
      <alignment horizontal="right"/>
    </xf>
    <xf numFmtId="5" fontId="23" fillId="38" borderId="10" xfId="1" applyNumberFormat="1" applyFont="1" applyFill="1" applyBorder="1" applyAlignment="1">
      <alignment horizontal="right"/>
    </xf>
    <xf numFmtId="5" fontId="23" fillId="0" borderId="10" xfId="1" applyNumberFormat="1" applyFont="1" applyFill="1" applyBorder="1" applyAlignment="1">
      <alignment horizontal="right"/>
    </xf>
    <xf numFmtId="0" fontId="23" fillId="0" borderId="10" xfId="0" applyFont="1" applyBorder="1" applyAlignment="1">
      <alignment horizontal="center"/>
    </xf>
    <xf numFmtId="0" fontId="23" fillId="2" borderId="10" xfId="0" applyFont="1" applyFill="1" applyBorder="1" applyAlignment="1">
      <alignment horizontal="right"/>
    </xf>
    <xf numFmtId="42" fontId="23" fillId="2" borderId="10" xfId="54" applyFont="1" applyFill="1" applyBorder="1" applyAlignment="1">
      <alignment horizontal="right"/>
    </xf>
    <xf numFmtId="168" fontId="23" fillId="2" borderId="10" xfId="54" applyNumberFormat="1" applyFont="1" applyFill="1" applyBorder="1" applyAlignment="1">
      <alignment horizontal="right"/>
    </xf>
    <xf numFmtId="2" fontId="23" fillId="2" borderId="10" xfId="0" applyNumberFormat="1" applyFont="1" applyFill="1" applyBorder="1" applyAlignment="1">
      <alignment horizontal="right"/>
    </xf>
    <xf numFmtId="168" fontId="21" fillId="2" borderId="10" xfId="54" applyNumberFormat="1" applyFont="1" applyFill="1" applyBorder="1" applyAlignment="1">
      <alignment horizontal="right"/>
    </xf>
    <xf numFmtId="2" fontId="23" fillId="0" borderId="10" xfId="0" applyNumberFormat="1" applyFont="1" applyFill="1" applyBorder="1" applyAlignment="1">
      <alignment horizontal="right"/>
    </xf>
    <xf numFmtId="10" fontId="21" fillId="0" borderId="10" xfId="0" applyNumberFormat="1" applyFont="1" applyBorder="1"/>
    <xf numFmtId="10" fontId="21" fillId="2" borderId="10" xfId="0" applyNumberFormat="1" applyFont="1" applyFill="1" applyBorder="1"/>
    <xf numFmtId="10" fontId="21" fillId="0" borderId="10" xfId="0" applyNumberFormat="1" applyFont="1" applyFill="1" applyBorder="1" applyAlignment="1">
      <alignment horizontal="right"/>
    </xf>
    <xf numFmtId="0" fontId="20" fillId="3" borderId="10" xfId="0" applyFont="1" applyFill="1" applyBorder="1" applyAlignment="1">
      <alignment horizontal="center"/>
    </xf>
    <xf numFmtId="171" fontId="20" fillId="3" borderId="10" xfId="1" applyNumberFormat="1" applyFont="1" applyFill="1" applyBorder="1" applyAlignment="1">
      <alignment horizontal="center"/>
    </xf>
    <xf numFmtId="171" fontId="21" fillId="3" borderId="10" xfId="1" applyNumberFormat="1" applyFont="1" applyFill="1" applyBorder="1"/>
    <xf numFmtId="43" fontId="21" fillId="3" borderId="10" xfId="1" applyFont="1" applyFill="1" applyBorder="1"/>
    <xf numFmtId="0" fontId="21" fillId="3" borderId="10" xfId="0" applyFont="1" applyFill="1" applyBorder="1"/>
    <xf numFmtId="171" fontId="20" fillId="3" borderId="10" xfId="1" applyNumberFormat="1" applyFont="1" applyFill="1" applyBorder="1"/>
    <xf numFmtId="179" fontId="21" fillId="3" borderId="10" xfId="1" applyNumberFormat="1" applyFont="1" applyFill="1" applyBorder="1"/>
    <xf numFmtId="167" fontId="21" fillId="3" borderId="10" xfId="0" applyNumberFormat="1" applyFont="1" applyFill="1" applyBorder="1" applyAlignment="1">
      <alignment horizontal="left"/>
    </xf>
    <xf numFmtId="0" fontId="20" fillId="3" borderId="10" xfId="0" applyFont="1" applyFill="1" applyBorder="1" applyAlignment="1">
      <alignment horizontal="left"/>
    </xf>
    <xf numFmtId="0" fontId="20" fillId="3" borderId="10" xfId="0" applyFont="1" applyFill="1" applyBorder="1"/>
    <xf numFmtId="0" fontId="21" fillId="3" borderId="10" xfId="0" applyFont="1" applyFill="1" applyBorder="1" applyAlignment="1">
      <alignment horizontal="left"/>
    </xf>
    <xf numFmtId="179" fontId="23" fillId="3" borderId="10" xfId="1" applyNumberFormat="1" applyFont="1" applyFill="1" applyBorder="1"/>
    <xf numFmtId="0" fontId="21" fillId="3" borderId="10" xfId="0" applyNumberFormat="1" applyFont="1" applyFill="1" applyBorder="1"/>
    <xf numFmtId="167" fontId="20" fillId="2" borderId="10" xfId="0" applyNumberFormat="1" applyFont="1" applyFill="1" applyBorder="1" applyAlignment="1"/>
    <xf numFmtId="0" fontId="20" fillId="2" borderId="10" xfId="0" applyFont="1" applyFill="1" applyBorder="1" applyAlignment="1">
      <alignment horizontal="left"/>
    </xf>
    <xf numFmtId="10" fontId="21" fillId="2" borderId="10" xfId="53" applyNumberFormat="1" applyFont="1" applyFill="1" applyBorder="1"/>
    <xf numFmtId="0" fontId="20" fillId="3" borderId="10" xfId="0" applyFont="1" applyFill="1" applyBorder="1" applyAlignment="1">
      <alignment horizontal="center" wrapText="1"/>
    </xf>
    <xf numFmtId="0" fontId="21" fillId="3" borderId="10" xfId="0" applyFont="1" applyFill="1" applyBorder="1" applyAlignment="1">
      <alignment wrapText="1"/>
    </xf>
    <xf numFmtId="167" fontId="20" fillId="2" borderId="10" xfId="0" applyNumberFormat="1" applyFont="1" applyFill="1" applyBorder="1" applyAlignment="1">
      <alignment wrapText="1"/>
    </xf>
    <xf numFmtId="167" fontId="21" fillId="3" borderId="10" xfId="0" applyNumberFormat="1" applyFont="1" applyFill="1" applyBorder="1" applyAlignment="1">
      <alignment horizontal="left" wrapText="1"/>
    </xf>
    <xf numFmtId="0" fontId="20" fillId="2" borderId="10" xfId="0" applyFont="1" applyFill="1" applyBorder="1" applyAlignment="1">
      <alignment horizontal="left" wrapText="1"/>
    </xf>
    <xf numFmtId="0" fontId="20" fillId="3" borderId="10" xfId="0" applyFont="1" applyFill="1" applyBorder="1" applyAlignment="1">
      <alignment wrapText="1"/>
    </xf>
    <xf numFmtId="0" fontId="20" fillId="3" borderId="10" xfId="0" applyFont="1" applyFill="1" applyBorder="1" applyAlignment="1">
      <alignment horizontal="left" wrapText="1"/>
    </xf>
    <xf numFmtId="0" fontId="21" fillId="3" borderId="10" xfId="0" applyFont="1" applyFill="1" applyBorder="1" applyAlignment="1">
      <alignment horizontal="left" wrapText="1"/>
    </xf>
    <xf numFmtId="0" fontId="20" fillId="2" borderId="10" xfId="0" applyNumberFormat="1" applyFont="1" applyFill="1" applyBorder="1" applyAlignment="1">
      <alignment wrapText="1"/>
    </xf>
    <xf numFmtId="0" fontId="20" fillId="3" borderId="10" xfId="0" applyNumberFormat="1" applyFont="1" applyFill="1" applyBorder="1" applyAlignment="1">
      <alignment wrapText="1"/>
    </xf>
    <xf numFmtId="0" fontId="21" fillId="3" borderId="10" xfId="0" applyNumberFormat="1" applyFont="1" applyFill="1" applyBorder="1" applyAlignment="1">
      <alignment wrapText="1"/>
    </xf>
    <xf numFmtId="0" fontId="21" fillId="3" borderId="0" xfId="0" applyNumberFormat="1" applyFont="1" applyFill="1" applyBorder="1" applyAlignment="1">
      <alignment wrapText="1"/>
    </xf>
    <xf numFmtId="0" fontId="21" fillId="3" borderId="10" xfId="0" applyFont="1" applyFill="1" applyBorder="1" applyAlignment="1"/>
    <xf numFmtId="0" fontId="20" fillId="2" borderId="10" xfId="0" applyFont="1" applyFill="1" applyBorder="1" applyAlignment="1">
      <alignment horizontal="left" vertical="center" wrapText="1"/>
    </xf>
    <xf numFmtId="0" fontId="20" fillId="2" borderId="10" xfId="0" applyNumberFormat="1" applyFont="1" applyFill="1" applyBorder="1" applyAlignment="1">
      <alignment vertical="center" wrapText="1"/>
    </xf>
    <xf numFmtId="179" fontId="21" fillId="3" borderId="0" xfId="0" applyNumberFormat="1" applyFont="1" applyFill="1"/>
    <xf numFmtId="178" fontId="21" fillId="3" borderId="0" xfId="0" applyNumberFormat="1" applyFont="1" applyFill="1"/>
    <xf numFmtId="0" fontId="20" fillId="3" borderId="10" xfId="42" applyFont="1" applyFill="1" applyBorder="1"/>
    <xf numFmtId="171" fontId="21" fillId="3" borderId="0" xfId="0" applyNumberFormat="1" applyFont="1" applyFill="1"/>
    <xf numFmtId="0" fontId="21" fillId="3" borderId="10" xfId="42" applyFont="1" applyFill="1" applyBorder="1"/>
    <xf numFmtId="179" fontId="21" fillId="3" borderId="0" xfId="1" applyNumberFormat="1" applyFont="1" applyFill="1"/>
    <xf numFmtId="41" fontId="21" fillId="3" borderId="0" xfId="52" applyFont="1" applyFill="1"/>
    <xf numFmtId="0" fontId="21" fillId="3" borderId="10" xfId="42" applyFont="1" applyFill="1" applyBorder="1" applyAlignment="1"/>
    <xf numFmtId="169" fontId="21" fillId="3" borderId="0" xfId="44" applyFont="1" applyFill="1"/>
    <xf numFmtId="179" fontId="23" fillId="2" borderId="10" xfId="1" applyNumberFormat="1" applyFont="1" applyFill="1" applyBorder="1"/>
    <xf numFmtId="168" fontId="21" fillId="3" borderId="10" xfId="0" applyNumberFormat="1" applyFont="1" applyFill="1" applyBorder="1" applyAlignment="1">
      <alignment horizontal="left"/>
    </xf>
    <xf numFmtId="168" fontId="21" fillId="3" borderId="10" xfId="1" applyNumberFormat="1" applyFont="1" applyFill="1" applyBorder="1"/>
    <xf numFmtId="168" fontId="21" fillId="2" borderId="10" xfId="1" applyNumberFormat="1" applyFont="1" applyFill="1" applyBorder="1"/>
    <xf numFmtId="168" fontId="20" fillId="3" borderId="10" xfId="1" applyNumberFormat="1" applyFont="1" applyFill="1" applyBorder="1"/>
    <xf numFmtId="168" fontId="21" fillId="3" borderId="10" xfId="0" applyNumberFormat="1" applyFont="1" applyFill="1" applyBorder="1"/>
    <xf numFmtId="168" fontId="20" fillId="3" borderId="10" xfId="0" applyNumberFormat="1" applyFont="1" applyFill="1" applyBorder="1" applyAlignment="1">
      <alignment horizontal="left"/>
    </xf>
    <xf numFmtId="168" fontId="20" fillId="2" borderId="10" xfId="1" applyNumberFormat="1" applyFont="1" applyFill="1" applyBorder="1"/>
    <xf numFmtId="168" fontId="20" fillId="3" borderId="10" xfId="0" applyNumberFormat="1" applyFont="1" applyFill="1" applyBorder="1" applyAlignment="1">
      <alignment horizontal="center"/>
    </xf>
    <xf numFmtId="168" fontId="20" fillId="3" borderId="10" xfId="1" applyNumberFormat="1" applyFont="1" applyFill="1" applyBorder="1" applyAlignment="1">
      <alignment horizontal="center"/>
    </xf>
    <xf numFmtId="168" fontId="21" fillId="3" borderId="10" xfId="42" applyNumberFormat="1" applyFont="1" applyFill="1" applyBorder="1"/>
    <xf numFmtId="179" fontId="21" fillId="3" borderId="0" xfId="1" applyNumberFormat="1" applyFont="1" applyFill="1" applyAlignment="1">
      <alignment horizontal="right"/>
    </xf>
    <xf numFmtId="171" fontId="21" fillId="3" borderId="0" xfId="44" applyNumberFormat="1" applyFont="1" applyFill="1"/>
    <xf numFmtId="171" fontId="20" fillId="3" borderId="0" xfId="44" applyNumberFormat="1" applyFont="1" applyFill="1" applyAlignment="1"/>
    <xf numFmtId="171" fontId="20" fillId="3" borderId="0" xfId="0" applyNumberFormat="1" applyFont="1" applyFill="1"/>
    <xf numFmtId="179" fontId="20" fillId="3" borderId="0" xfId="0" applyNumberFormat="1" applyFont="1" applyFill="1"/>
    <xf numFmtId="0" fontId="20" fillId="2" borderId="10" xfId="0" applyFont="1" applyFill="1" applyBorder="1"/>
    <xf numFmtId="171" fontId="20" fillId="3" borderId="10" xfId="44" applyNumberFormat="1" applyFont="1" applyFill="1" applyBorder="1" applyAlignment="1">
      <alignment horizontal="center"/>
    </xf>
    <xf numFmtId="168" fontId="21" fillId="3" borderId="0" xfId="1" applyNumberFormat="1" applyFont="1" applyFill="1" applyAlignment="1">
      <alignment horizontal="right"/>
    </xf>
    <xf numFmtId="168" fontId="21" fillId="3" borderId="0" xfId="1" applyNumberFormat="1" applyFont="1" applyFill="1"/>
    <xf numFmtId="171" fontId="20" fillId="2" borderId="10" xfId="1" applyNumberFormat="1" applyFont="1" applyFill="1" applyBorder="1"/>
    <xf numFmtId="171" fontId="21" fillId="3" borderId="10" xfId="1" applyNumberFormat="1" applyFont="1" applyFill="1" applyBorder="1" applyAlignment="1">
      <alignment horizontal="center"/>
    </xf>
    <xf numFmtId="168" fontId="21" fillId="3" borderId="10" xfId="44" applyNumberFormat="1" applyFont="1" applyFill="1" applyBorder="1"/>
    <xf numFmtId="168" fontId="20" fillId="3" borderId="10" xfId="44" applyNumberFormat="1" applyFont="1" applyFill="1" applyBorder="1"/>
    <xf numFmtId="168" fontId="21" fillId="3" borderId="10" xfId="2" applyNumberFormat="1" applyFont="1" applyFill="1" applyBorder="1"/>
    <xf numFmtId="168" fontId="20" fillId="3" borderId="10" xfId="2" applyNumberFormat="1" applyFont="1" applyFill="1" applyBorder="1"/>
    <xf numFmtId="168" fontId="20" fillId="3" borderId="0" xfId="1" applyNumberFormat="1" applyFont="1" applyFill="1" applyAlignment="1"/>
    <xf numFmtId="168" fontId="21" fillId="3" borderId="0" xfId="1" applyNumberFormat="1" applyFont="1" applyFill="1" applyAlignment="1"/>
    <xf numFmtId="0" fontId="20" fillId="3" borderId="10" xfId="42" applyFont="1" applyFill="1" applyBorder="1" applyAlignment="1">
      <alignment horizontal="center"/>
    </xf>
    <xf numFmtId="168" fontId="21" fillId="3" borderId="10" xfId="2" applyNumberFormat="1" applyFont="1" applyFill="1" applyBorder="1" applyAlignment="1">
      <alignment horizontal="right"/>
    </xf>
    <xf numFmtId="168" fontId="21" fillId="3" borderId="10" xfId="1" applyNumberFormat="1" applyFont="1" applyFill="1" applyBorder="1" applyAlignment="1" applyProtection="1">
      <alignment horizontal="right" vertical="center" wrapText="1"/>
      <protection locked="0"/>
    </xf>
    <xf numFmtId="168" fontId="20" fillId="3" borderId="10" xfId="2" applyNumberFormat="1" applyFont="1" applyFill="1" applyBorder="1" applyAlignment="1">
      <alignment horizontal="right"/>
    </xf>
    <xf numFmtId="170" fontId="20" fillId="3" borderId="0" xfId="44" applyNumberFormat="1" applyFont="1" applyFill="1" applyAlignment="1"/>
    <xf numFmtId="171" fontId="21" fillId="3" borderId="0" xfId="44" applyNumberFormat="1" applyFont="1" applyFill="1" applyBorder="1" applyAlignment="1">
      <alignment horizontal="left"/>
    </xf>
    <xf numFmtId="171" fontId="20" fillId="3" borderId="0" xfId="44" applyNumberFormat="1" applyFont="1" applyFill="1"/>
    <xf numFmtId="169" fontId="20" fillId="3" borderId="0" xfId="44" applyFont="1" applyFill="1"/>
    <xf numFmtId="172" fontId="21" fillId="3" borderId="0" xfId="0" applyNumberFormat="1" applyFont="1" applyFill="1"/>
    <xf numFmtId="168" fontId="20" fillId="3" borderId="10" xfId="0" applyNumberFormat="1" applyFont="1" applyFill="1" applyBorder="1" applyAlignment="1">
      <alignment horizontal="right"/>
    </xf>
    <xf numFmtId="0" fontId="21" fillId="3" borderId="10" xfId="42" applyNumberFormat="1" applyFont="1" applyFill="1" applyBorder="1"/>
    <xf numFmtId="0" fontId="21" fillId="3" borderId="10" xfId="42" applyFont="1" applyFill="1" applyBorder="1" applyAlignment="1">
      <alignment horizontal="left"/>
    </xf>
    <xf numFmtId="0" fontId="20" fillId="3" borderId="10" xfId="42" applyFont="1" applyFill="1" applyBorder="1" applyAlignment="1">
      <alignment horizontal="left"/>
    </xf>
    <xf numFmtId="170" fontId="20" fillId="3" borderId="10" xfId="44" applyNumberFormat="1" applyFont="1" applyFill="1" applyBorder="1" applyAlignment="1">
      <alignment horizontal="center"/>
    </xf>
    <xf numFmtId="177" fontId="21" fillId="3" borderId="0" xfId="46" applyNumberFormat="1" applyFont="1" applyFill="1"/>
    <xf numFmtId="166" fontId="21" fillId="3" borderId="0" xfId="42" applyNumberFormat="1" applyFont="1" applyFill="1"/>
    <xf numFmtId="172" fontId="21" fillId="3" borderId="0" xfId="42" applyNumberFormat="1" applyFont="1" applyFill="1"/>
    <xf numFmtId="171" fontId="21" fillId="3" borderId="0" xfId="42" applyNumberFormat="1" applyFont="1" applyFill="1"/>
    <xf numFmtId="168" fontId="21" fillId="3" borderId="10" xfId="42" applyNumberFormat="1" applyFont="1" applyFill="1" applyBorder="1" applyAlignment="1">
      <alignment horizontal="right"/>
    </xf>
    <xf numFmtId="173" fontId="21" fillId="3" borderId="0" xfId="42" applyNumberFormat="1" applyFont="1" applyFill="1"/>
    <xf numFmtId="10" fontId="21" fillId="2" borderId="10" xfId="53" applyNumberFormat="1" applyFont="1" applyFill="1" applyBorder="1" applyAlignment="1">
      <alignment vertical="center"/>
    </xf>
    <xf numFmtId="43" fontId="21" fillId="2" borderId="10" xfId="1" applyFont="1" applyFill="1" applyBorder="1"/>
    <xf numFmtId="43" fontId="21" fillId="3" borderId="10" xfId="1" applyFont="1" applyFill="1" applyBorder="1" applyAlignment="1">
      <alignment horizontal="center"/>
    </xf>
    <xf numFmtId="9" fontId="21" fillId="2" borderId="10" xfId="53" applyFont="1" applyFill="1" applyBorder="1"/>
    <xf numFmtId="0" fontId="20" fillId="2" borderId="10" xfId="0" applyFont="1" applyFill="1" applyBorder="1" applyAlignment="1">
      <alignment wrapText="1"/>
    </xf>
    <xf numFmtId="171" fontId="21" fillId="2" borderId="10" xfId="53" applyNumberFormat="1" applyFont="1" applyFill="1" applyBorder="1"/>
    <xf numFmtId="10" fontId="20" fillId="2" borderId="10" xfId="53" applyNumberFormat="1" applyFont="1" applyFill="1" applyBorder="1" applyAlignment="1">
      <alignment vertical="center"/>
    </xf>
    <xf numFmtId="180" fontId="21" fillId="3" borderId="10" xfId="1" applyNumberFormat="1" applyFont="1" applyFill="1" applyBorder="1"/>
    <xf numFmtId="180" fontId="20" fillId="3" borderId="10" xfId="1" applyNumberFormat="1" applyFont="1" applyFill="1" applyBorder="1"/>
    <xf numFmtId="9" fontId="21" fillId="3" borderId="10" xfId="53" applyFont="1" applyFill="1" applyBorder="1"/>
    <xf numFmtId="180" fontId="21" fillId="2" borderId="10" xfId="53" applyNumberFormat="1" applyFont="1" applyFill="1" applyBorder="1"/>
    <xf numFmtId="10" fontId="20" fillId="2" borderId="10" xfId="53" applyNumberFormat="1" applyFont="1" applyFill="1" applyBorder="1"/>
    <xf numFmtId="180" fontId="20" fillId="2" borderId="10" xfId="1" applyNumberFormat="1" applyFont="1" applyFill="1" applyBorder="1"/>
    <xf numFmtId="168" fontId="20" fillId="2" borderId="10" xfId="1" applyNumberFormat="1" applyFont="1" applyFill="1" applyBorder="1" applyAlignment="1">
      <alignment vertical="center"/>
    </xf>
    <xf numFmtId="168" fontId="20" fillId="3" borderId="10" xfId="1" applyNumberFormat="1" applyFont="1" applyFill="1" applyBorder="1" applyAlignment="1">
      <alignment vertical="center"/>
    </xf>
    <xf numFmtId="168" fontId="21" fillId="2" borderId="10" xfId="1" applyNumberFormat="1" applyFont="1" applyFill="1" applyBorder="1" applyAlignment="1"/>
    <xf numFmtId="168" fontId="20" fillId="3" borderId="10" xfId="1" applyNumberFormat="1" applyFont="1" applyFill="1" applyBorder="1" applyAlignment="1"/>
    <xf numFmtId="171" fontId="21" fillId="0" borderId="0" xfId="1" applyNumberFormat="1" applyFont="1" applyFill="1" applyBorder="1"/>
    <xf numFmtId="0" fontId="22" fillId="3" borderId="10" xfId="0" applyFont="1" applyFill="1" applyBorder="1" applyAlignment="1">
      <alignment horizontal="center"/>
    </xf>
    <xf numFmtId="0" fontId="24" fillId="3" borderId="10" xfId="0" applyFont="1" applyFill="1" applyBorder="1"/>
    <xf numFmtId="0" fontId="20" fillId="3" borderId="10" xfId="0" applyFont="1" applyFill="1" applyBorder="1" applyAlignment="1">
      <alignment horizontal="center"/>
    </xf>
    <xf numFmtId="0" fontId="21" fillId="3" borderId="10" xfId="0" applyFont="1" applyFill="1" applyBorder="1" applyAlignment="1">
      <alignment horizontal="left"/>
    </xf>
    <xf numFmtId="179" fontId="21" fillId="3" borderId="10" xfId="1" applyNumberFormat="1" applyFont="1" applyFill="1" applyBorder="1" applyAlignment="1">
      <alignment horizontal="right"/>
    </xf>
    <xf numFmtId="179" fontId="20" fillId="3" borderId="10" xfId="1" applyNumberFormat="1" applyFont="1" applyFill="1" applyBorder="1" applyAlignment="1">
      <alignment horizontal="right"/>
    </xf>
    <xf numFmtId="179" fontId="20" fillId="3" borderId="0" xfId="1" applyNumberFormat="1" applyFont="1" applyFill="1" applyAlignment="1">
      <alignment horizontal="right"/>
    </xf>
    <xf numFmtId="168" fontId="21" fillId="3" borderId="10" xfId="1" applyNumberFormat="1" applyFont="1" applyFill="1" applyBorder="1" applyAlignment="1">
      <alignment horizontal="right"/>
    </xf>
    <xf numFmtId="168" fontId="20" fillId="3" borderId="10" xfId="1" applyNumberFormat="1" applyFont="1" applyFill="1" applyBorder="1" applyAlignment="1">
      <alignment horizontal="right"/>
    </xf>
    <xf numFmtId="0" fontId="20" fillId="3" borderId="10" xfId="0" applyFont="1" applyFill="1" applyBorder="1" applyAlignment="1">
      <alignment horizontal="left"/>
    </xf>
    <xf numFmtId="168" fontId="20" fillId="3" borderId="10" xfId="44" applyNumberFormat="1" applyFont="1" applyFill="1" applyBorder="1" applyAlignment="1">
      <alignment horizontal="right"/>
    </xf>
    <xf numFmtId="168" fontId="21" fillId="3" borderId="10" xfId="44" applyNumberFormat="1" applyFont="1" applyFill="1" applyBorder="1" applyAlignment="1">
      <alignment horizontal="right"/>
    </xf>
    <xf numFmtId="168" fontId="21" fillId="3" borderId="0" xfId="44" applyNumberFormat="1" applyFont="1" applyFill="1" applyAlignment="1">
      <alignment horizontal="right"/>
    </xf>
    <xf numFmtId="168" fontId="20" fillId="3" borderId="0" xfId="44" applyNumberFormat="1" applyFont="1" applyFill="1" applyAlignment="1">
      <alignment horizontal="right"/>
    </xf>
    <xf numFmtId="5" fontId="21" fillId="2" borderId="10" xfId="1" applyNumberFormat="1" applyFont="1" applyFill="1" applyBorder="1" applyAlignment="1">
      <alignment vertical="center"/>
    </xf>
    <xf numFmtId="5" fontId="21" fillId="3" borderId="10" xfId="1" applyNumberFormat="1" applyFont="1" applyFill="1" applyBorder="1" applyAlignment="1">
      <alignment vertical="center"/>
    </xf>
    <xf numFmtId="5" fontId="23" fillId="3" borderId="10" xfId="1" applyNumberFormat="1" applyFont="1" applyFill="1" applyBorder="1" applyAlignment="1">
      <alignment vertical="center"/>
    </xf>
    <xf numFmtId="171" fontId="21" fillId="3" borderId="10" xfId="1" applyNumberFormat="1" applyFont="1" applyFill="1" applyBorder="1" applyAlignment="1">
      <alignment vertical="center"/>
    </xf>
    <xf numFmtId="43" fontId="21" fillId="3" borderId="10" xfId="1" applyFont="1" applyFill="1" applyBorder="1" applyAlignment="1">
      <alignment vertical="center"/>
    </xf>
    <xf numFmtId="168" fontId="21" fillId="3" borderId="10" xfId="0" applyNumberFormat="1" applyFont="1" applyFill="1" applyBorder="1" applyAlignment="1">
      <alignment horizontal="right"/>
    </xf>
    <xf numFmtId="170" fontId="20" fillId="3" borderId="10" xfId="44" applyNumberFormat="1" applyFont="1" applyFill="1" applyBorder="1"/>
    <xf numFmtId="168" fontId="21" fillId="3" borderId="0" xfId="0" applyNumberFormat="1" applyFont="1" applyFill="1" applyAlignment="1">
      <alignment horizontal="right"/>
    </xf>
    <xf numFmtId="164" fontId="21" fillId="3" borderId="0" xfId="0" applyNumberFormat="1" applyFont="1" applyFill="1"/>
    <xf numFmtId="173" fontId="21" fillId="3" borderId="0" xfId="0" applyNumberFormat="1" applyFont="1" applyFill="1"/>
    <xf numFmtId="170" fontId="20" fillId="3" borderId="10" xfId="44" applyNumberFormat="1" applyFont="1" applyFill="1" applyBorder="1" applyAlignment="1">
      <alignment horizontal="left"/>
    </xf>
    <xf numFmtId="167" fontId="20" fillId="3" borderId="10" xfId="0" applyNumberFormat="1" applyFont="1" applyFill="1" applyBorder="1" applyAlignment="1"/>
    <xf numFmtId="168" fontId="20" fillId="3" borderId="10" xfId="42" applyNumberFormat="1" applyFont="1" applyFill="1" applyBorder="1"/>
    <xf numFmtId="0" fontId="20" fillId="3" borderId="10" xfId="0" applyFont="1" applyFill="1" applyBorder="1" applyAlignment="1">
      <alignment horizontal="center"/>
    </xf>
    <xf numFmtId="0" fontId="20" fillId="3" borderId="20" xfId="0" applyFont="1" applyFill="1" applyBorder="1" applyAlignment="1">
      <alignment horizontal="center"/>
    </xf>
    <xf numFmtId="168" fontId="21" fillId="3" borderId="10" xfId="1" applyNumberFormat="1" applyFont="1" applyFill="1" applyBorder="1" applyAlignment="1">
      <alignment horizontal="left"/>
    </xf>
    <xf numFmtId="168" fontId="21" fillId="3" borderId="23" xfId="1" applyNumberFormat="1" applyFont="1" applyFill="1" applyBorder="1" applyAlignment="1">
      <alignment horizontal="right"/>
    </xf>
    <xf numFmtId="168" fontId="21" fillId="3" borderId="24" xfId="1" applyNumberFormat="1" applyFont="1" applyFill="1" applyBorder="1" applyAlignment="1">
      <alignment horizontal="right"/>
    </xf>
    <xf numFmtId="168" fontId="21" fillId="3" borderId="22" xfId="1" applyNumberFormat="1" applyFont="1" applyFill="1" applyBorder="1" applyAlignment="1">
      <alignment horizontal="right"/>
    </xf>
    <xf numFmtId="168" fontId="20" fillId="3" borderId="22" xfId="1" applyNumberFormat="1" applyFont="1" applyFill="1" applyBorder="1" applyAlignment="1">
      <alignment horizontal="right"/>
    </xf>
    <xf numFmtId="168" fontId="21" fillId="3" borderId="25" xfId="1" applyNumberFormat="1" applyFont="1" applyFill="1" applyBorder="1" applyAlignment="1">
      <alignment horizontal="right"/>
    </xf>
    <xf numFmtId="168" fontId="20" fillId="3" borderId="23" xfId="1" applyNumberFormat="1" applyFont="1" applyFill="1" applyBorder="1" applyAlignment="1">
      <alignment horizontal="right"/>
    </xf>
    <xf numFmtId="168" fontId="20" fillId="3" borderId="24" xfId="1" applyNumberFormat="1" applyFont="1" applyFill="1" applyBorder="1" applyAlignment="1">
      <alignment horizontal="right"/>
    </xf>
    <xf numFmtId="0" fontId="20" fillId="3" borderId="0" xfId="0" applyFont="1" applyFill="1" applyBorder="1" applyAlignment="1">
      <alignment horizontal="center"/>
    </xf>
    <xf numFmtId="171" fontId="20" fillId="3" borderId="0" xfId="44" applyNumberFormat="1" applyFont="1" applyFill="1" applyBorder="1" applyAlignment="1"/>
    <xf numFmtId="171" fontId="21" fillId="3" borderId="0" xfId="44" applyNumberFormat="1" applyFont="1" applyFill="1" applyBorder="1" applyAlignment="1"/>
    <xf numFmtId="171" fontId="20" fillId="3" borderId="0" xfId="44" applyNumberFormat="1" applyFont="1" applyFill="1" applyBorder="1" applyAlignment="1">
      <alignment horizontal="center"/>
    </xf>
    <xf numFmtId="170" fontId="20" fillId="3" borderId="0" xfId="44" applyNumberFormat="1" applyFont="1" applyFill="1" applyBorder="1"/>
    <xf numFmtId="0" fontId="21" fillId="3" borderId="0" xfId="42" applyFont="1" applyFill="1" applyBorder="1" applyAlignment="1"/>
    <xf numFmtId="0" fontId="20" fillId="3" borderId="0" xfId="42" applyFont="1" applyFill="1" applyBorder="1"/>
    <xf numFmtId="168" fontId="20" fillId="3" borderId="0" xfId="1" applyNumberFormat="1" applyFont="1" applyFill="1" applyBorder="1" applyAlignment="1">
      <alignment horizontal="right"/>
    </xf>
    <xf numFmtId="168" fontId="21" fillId="3" borderId="0" xfId="1" applyNumberFormat="1" applyFont="1" applyFill="1" applyBorder="1" applyAlignment="1">
      <alignment horizontal="right"/>
    </xf>
    <xf numFmtId="168" fontId="21" fillId="3" borderId="0" xfId="1" applyNumberFormat="1" applyFont="1" applyFill="1" applyBorder="1" applyAlignment="1" applyProtection="1">
      <alignment horizontal="right" vertical="center" wrapText="1"/>
      <protection locked="0"/>
    </xf>
    <xf numFmtId="168" fontId="21" fillId="3" borderId="1" xfId="1" applyNumberFormat="1" applyFont="1" applyFill="1" applyBorder="1" applyAlignment="1">
      <alignment horizontal="right"/>
    </xf>
    <xf numFmtId="168" fontId="20" fillId="3" borderId="10" xfId="1" applyNumberFormat="1" applyFont="1" applyFill="1" applyBorder="1" applyAlignment="1">
      <alignment horizontal="left"/>
    </xf>
    <xf numFmtId="168" fontId="21" fillId="3" borderId="0" xfId="1" applyNumberFormat="1" applyFont="1" applyFill="1" applyBorder="1" applyAlignment="1">
      <alignment horizontal="right" wrapText="1"/>
    </xf>
    <xf numFmtId="168" fontId="21" fillId="3" borderId="1" xfId="1" applyNumberFormat="1" applyFont="1" applyFill="1" applyBorder="1" applyAlignment="1">
      <alignment horizontal="right" wrapText="1"/>
    </xf>
    <xf numFmtId="168" fontId="20" fillId="3" borderId="0" xfId="1" applyNumberFormat="1" applyFont="1" applyFill="1" applyBorder="1" applyAlignment="1">
      <alignment horizontal="right" wrapText="1"/>
    </xf>
    <xf numFmtId="0" fontId="20" fillId="3" borderId="0" xfId="0" applyFont="1" applyFill="1" applyBorder="1" applyAlignment="1">
      <alignment horizontal="center" wrapText="1"/>
    </xf>
    <xf numFmtId="171" fontId="20" fillId="3" borderId="0" xfId="44" applyNumberFormat="1" applyFont="1" applyFill="1" applyBorder="1" applyAlignment="1">
      <alignment wrapText="1"/>
    </xf>
    <xf numFmtId="171" fontId="21" fillId="3" borderId="0" xfId="44" applyNumberFormat="1" applyFont="1" applyFill="1" applyBorder="1" applyAlignment="1">
      <alignment wrapText="1"/>
    </xf>
    <xf numFmtId="171" fontId="20" fillId="3" borderId="0" xfId="44" applyNumberFormat="1" applyFont="1" applyFill="1" applyBorder="1" applyAlignment="1">
      <alignment horizontal="center" wrapText="1"/>
    </xf>
    <xf numFmtId="0" fontId="20" fillId="3" borderId="26" xfId="0" applyFont="1" applyFill="1" applyBorder="1" applyAlignment="1">
      <alignment wrapText="1"/>
    </xf>
    <xf numFmtId="168" fontId="20" fillId="3" borderId="27" xfId="0" applyNumberFormat="1" applyFont="1" applyFill="1" applyBorder="1" applyAlignment="1">
      <alignment wrapText="1"/>
    </xf>
    <xf numFmtId="171" fontId="20" fillId="3" borderId="27" xfId="0" applyNumberFormat="1" applyFont="1" applyFill="1" applyBorder="1" applyAlignment="1">
      <alignment wrapText="1"/>
    </xf>
    <xf numFmtId="0" fontId="20" fillId="3" borderId="17" xfId="0" applyFont="1" applyFill="1" applyBorder="1" applyAlignment="1">
      <alignment wrapText="1"/>
    </xf>
    <xf numFmtId="168" fontId="20" fillId="3" borderId="18" xfId="0" applyNumberFormat="1" applyFont="1" applyFill="1" applyBorder="1" applyAlignment="1">
      <alignment wrapText="1"/>
    </xf>
    <xf numFmtId="171" fontId="20" fillId="3" borderId="29" xfId="44" applyNumberFormat="1" applyFont="1" applyFill="1" applyBorder="1"/>
    <xf numFmtId="0" fontId="20" fillId="3" borderId="19" xfId="0" applyFont="1" applyFill="1" applyBorder="1" applyAlignment="1"/>
    <xf numFmtId="0" fontId="20" fillId="3" borderId="10" xfId="0" applyFont="1" applyFill="1" applyBorder="1" applyAlignment="1"/>
    <xf numFmtId="179" fontId="20" fillId="3" borderId="10" xfId="1" applyNumberFormat="1" applyFont="1" applyFill="1" applyBorder="1" applyAlignment="1"/>
    <xf numFmtId="179" fontId="21" fillId="3" borderId="1" xfId="1" applyNumberFormat="1" applyFont="1" applyFill="1" applyBorder="1"/>
    <xf numFmtId="179" fontId="20" fillId="3" borderId="0" xfId="1" applyNumberFormat="1" applyFont="1" applyFill="1" applyBorder="1" applyAlignment="1">
      <alignment horizontal="right" wrapText="1"/>
    </xf>
    <xf numFmtId="179" fontId="21" fillId="3" borderId="1" xfId="1" applyNumberFormat="1" applyFont="1" applyFill="1" applyBorder="1" applyAlignment="1">
      <alignment horizontal="right" wrapText="1"/>
    </xf>
    <xf numFmtId="179" fontId="20" fillId="3" borderId="29" xfId="1" applyNumberFormat="1" applyFont="1" applyFill="1" applyBorder="1"/>
    <xf numFmtId="179" fontId="20" fillId="3" borderId="27" xfId="1" applyNumberFormat="1" applyFont="1" applyFill="1" applyBorder="1" applyAlignment="1">
      <alignment wrapText="1"/>
    </xf>
    <xf numFmtId="179" fontId="20" fillId="3" borderId="0" xfId="1" applyNumberFormat="1" applyFont="1" applyFill="1"/>
    <xf numFmtId="0" fontId="21" fillId="3" borderId="20" xfId="0" applyFont="1" applyFill="1" applyBorder="1"/>
    <xf numFmtId="168" fontId="25" fillId="3" borderId="0" xfId="1" applyNumberFormat="1" applyFont="1" applyFill="1" applyBorder="1" applyAlignment="1">
      <alignment horizontal="right"/>
    </xf>
    <xf numFmtId="0" fontId="20" fillId="3" borderId="20" xfId="0" applyFont="1" applyFill="1" applyBorder="1" applyAlignment="1">
      <alignment horizontal="left" wrapText="1"/>
    </xf>
    <xf numFmtId="49" fontId="20" fillId="3" borderId="10" xfId="1" applyNumberFormat="1" applyFont="1" applyFill="1" applyBorder="1" applyAlignment="1">
      <alignment horizontal="center"/>
    </xf>
    <xf numFmtId="49" fontId="20" fillId="3" borderId="0" xfId="1" applyNumberFormat="1" applyFont="1" applyFill="1" applyBorder="1" applyAlignment="1">
      <alignment horizontal="center"/>
    </xf>
    <xf numFmtId="168" fontId="21" fillId="3" borderId="30" xfId="1" applyNumberFormat="1" applyFont="1" applyFill="1" applyBorder="1" applyAlignment="1">
      <alignment horizontal="right"/>
    </xf>
    <xf numFmtId="168" fontId="21" fillId="3" borderId="23" xfId="0" applyNumberFormat="1" applyFont="1" applyFill="1" applyBorder="1" applyAlignment="1">
      <alignment horizontal="left"/>
    </xf>
    <xf numFmtId="168" fontId="21" fillId="3" borderId="24" xfId="0" applyNumberFormat="1" applyFont="1" applyFill="1" applyBorder="1"/>
    <xf numFmtId="168" fontId="20" fillId="3" borderId="22" xfId="0" applyNumberFormat="1" applyFont="1" applyFill="1" applyBorder="1"/>
    <xf numFmtId="168" fontId="20" fillId="3" borderId="22" xfId="0" applyNumberFormat="1" applyFont="1" applyFill="1" applyBorder="1" applyAlignment="1">
      <alignment horizontal="left"/>
    </xf>
    <xf numFmtId="168" fontId="21" fillId="3" borderId="25" xfId="0" applyNumberFormat="1" applyFont="1" applyFill="1" applyBorder="1"/>
    <xf numFmtId="168" fontId="20" fillId="3" borderId="24" xfId="0" applyNumberFormat="1" applyFont="1" applyFill="1" applyBorder="1" applyAlignment="1">
      <alignment horizontal="left"/>
    </xf>
    <xf numFmtId="168" fontId="21" fillId="3" borderId="23" xfId="0" applyNumberFormat="1" applyFont="1" applyFill="1" applyBorder="1"/>
    <xf numFmtId="168" fontId="20" fillId="3" borderId="23" xfId="0" applyNumberFormat="1" applyFont="1" applyFill="1" applyBorder="1" applyAlignment="1">
      <alignment horizontal="left"/>
    </xf>
    <xf numFmtId="168" fontId="21" fillId="3" borderId="24" xfId="44" applyNumberFormat="1" applyFont="1" applyFill="1" applyBorder="1" applyAlignment="1">
      <alignment horizontal="right"/>
    </xf>
    <xf numFmtId="168" fontId="21" fillId="3" borderId="30" xfId="44" applyNumberFormat="1" applyFont="1" applyFill="1" applyBorder="1" applyAlignment="1">
      <alignment horizontal="right"/>
    </xf>
    <xf numFmtId="0" fontId="21" fillId="3" borderId="23" xfId="0" applyFont="1" applyFill="1" applyBorder="1"/>
    <xf numFmtId="168" fontId="21" fillId="3" borderId="23" xfId="44" applyNumberFormat="1" applyFont="1" applyFill="1" applyBorder="1" applyAlignment="1">
      <alignment horizontal="right"/>
    </xf>
    <xf numFmtId="0" fontId="21" fillId="3" borderId="24" xfId="0" applyFont="1" applyFill="1" applyBorder="1"/>
    <xf numFmtId="168" fontId="20" fillId="3" borderId="22" xfId="44" applyNumberFormat="1" applyFont="1" applyFill="1" applyBorder="1" applyAlignment="1">
      <alignment horizontal="right"/>
    </xf>
    <xf numFmtId="0" fontId="21" fillId="3" borderId="25" xfId="0" applyFont="1" applyFill="1" applyBorder="1"/>
    <xf numFmtId="168" fontId="21" fillId="3" borderId="25" xfId="44" applyNumberFormat="1" applyFont="1" applyFill="1" applyBorder="1" applyAlignment="1">
      <alignment horizontal="right"/>
    </xf>
    <xf numFmtId="0" fontId="20" fillId="3" borderId="22" xfId="0" applyFont="1" applyFill="1" applyBorder="1"/>
    <xf numFmtId="168" fontId="21" fillId="3" borderId="22" xfId="44" applyNumberFormat="1" applyFont="1" applyFill="1" applyBorder="1" applyAlignment="1">
      <alignment horizontal="right"/>
    </xf>
    <xf numFmtId="0" fontId="20" fillId="3" borderId="23" xfId="0" applyFont="1" applyFill="1" applyBorder="1"/>
    <xf numFmtId="168" fontId="21" fillId="3" borderId="30" xfId="2" applyNumberFormat="1" applyFont="1" applyFill="1" applyBorder="1" applyAlignment="1">
      <alignment horizontal="right"/>
    </xf>
    <xf numFmtId="0" fontId="20" fillId="3" borderId="24" xfId="0" applyFont="1" applyFill="1" applyBorder="1"/>
    <xf numFmtId="168" fontId="20" fillId="3" borderId="24" xfId="44" applyNumberFormat="1" applyFont="1" applyFill="1" applyBorder="1" applyAlignment="1">
      <alignment horizontal="right"/>
    </xf>
    <xf numFmtId="0" fontId="20" fillId="3" borderId="24" xfId="0" applyFont="1" applyFill="1" applyBorder="1" applyAlignment="1">
      <alignment horizontal="center"/>
    </xf>
    <xf numFmtId="0" fontId="20" fillId="3" borderId="29" xfId="0" applyFont="1" applyFill="1" applyBorder="1" applyAlignment="1">
      <alignment wrapText="1"/>
    </xf>
    <xf numFmtId="168" fontId="20" fillId="3" borderId="29" xfId="1" applyNumberFormat="1" applyFont="1" applyFill="1" applyBorder="1" applyAlignment="1">
      <alignment horizontal="right" wrapText="1"/>
    </xf>
    <xf numFmtId="0" fontId="21" fillId="3" borderId="23" xfId="0" applyFont="1" applyFill="1" applyBorder="1" applyAlignment="1">
      <alignment horizontal="left"/>
    </xf>
    <xf numFmtId="0" fontId="20" fillId="3" borderId="10" xfId="0" applyFont="1" applyFill="1" applyBorder="1" applyAlignment="1">
      <alignment horizontal="center"/>
    </xf>
    <xf numFmtId="0" fontId="20" fillId="3" borderId="15" xfId="0" applyFont="1" applyFill="1" applyBorder="1" applyAlignment="1">
      <alignment horizontal="center" wrapText="1"/>
    </xf>
    <xf numFmtId="0" fontId="20" fillId="3" borderId="0" xfId="0" applyFont="1" applyFill="1" applyBorder="1" applyAlignment="1">
      <alignment horizontal="center" wrapText="1"/>
    </xf>
    <xf numFmtId="171" fontId="20" fillId="3" borderId="15" xfId="44" applyNumberFormat="1" applyFont="1" applyFill="1" applyBorder="1" applyAlignment="1">
      <alignment horizontal="center" wrapText="1"/>
    </xf>
    <xf numFmtId="171" fontId="20" fillId="3" borderId="0" xfId="44" applyNumberFormat="1" applyFont="1" applyFill="1" applyBorder="1" applyAlignment="1">
      <alignment horizontal="center" wrapText="1"/>
    </xf>
    <xf numFmtId="0" fontId="20" fillId="3" borderId="10" xfId="0" applyFont="1" applyFill="1" applyBorder="1" applyAlignment="1">
      <alignment horizontal="left" wrapText="1"/>
    </xf>
    <xf numFmtId="0" fontId="20" fillId="3" borderId="10" xfId="0" applyFont="1" applyFill="1" applyBorder="1" applyAlignment="1">
      <alignment horizontal="center" wrapText="1"/>
    </xf>
    <xf numFmtId="0" fontId="20" fillId="3" borderId="20" xfId="0" applyFont="1" applyFill="1" applyBorder="1" applyAlignment="1">
      <alignment horizontal="left" wrapText="1"/>
    </xf>
    <xf numFmtId="0" fontId="20" fillId="3" borderId="10" xfId="0" applyFont="1" applyFill="1" applyBorder="1" applyAlignment="1">
      <alignment horizontal="left"/>
    </xf>
    <xf numFmtId="0" fontId="20" fillId="3" borderId="20" xfId="0" applyFont="1" applyFill="1" applyBorder="1" applyAlignment="1">
      <alignment horizontal="center"/>
    </xf>
    <xf numFmtId="171" fontId="20" fillId="3" borderId="15" xfId="44" applyNumberFormat="1" applyFont="1" applyFill="1" applyBorder="1" applyAlignment="1">
      <alignment wrapText="1"/>
    </xf>
    <xf numFmtId="0" fontId="20" fillId="3" borderId="15" xfId="0" applyFont="1" applyFill="1" applyBorder="1" applyAlignment="1">
      <alignment wrapText="1"/>
    </xf>
    <xf numFmtId="179" fontId="20" fillId="3" borderId="0" xfId="1" applyNumberFormat="1" applyFont="1" applyFill="1" applyBorder="1" applyAlignment="1">
      <alignment wrapText="1"/>
    </xf>
    <xf numFmtId="170" fontId="20" fillId="3" borderId="0" xfId="1" applyNumberFormat="1" applyFont="1" applyFill="1" applyBorder="1" applyAlignment="1">
      <alignment horizontal="center" wrapText="1"/>
    </xf>
    <xf numFmtId="181" fontId="20" fillId="3" borderId="0" xfId="1" applyNumberFormat="1" applyFont="1" applyFill="1" applyBorder="1" applyAlignment="1">
      <alignment horizontal="center" vertical="top" wrapText="1"/>
    </xf>
    <xf numFmtId="43" fontId="20" fillId="3" borderId="0" xfId="1" applyFont="1" applyFill="1" applyBorder="1" applyAlignment="1">
      <alignment horizontal="center" vertical="top" wrapText="1"/>
    </xf>
    <xf numFmtId="170" fontId="20" fillId="3" borderId="0" xfId="55" applyNumberFormat="1" applyFont="1" applyFill="1" applyBorder="1" applyProtection="1">
      <protection hidden="1"/>
    </xf>
    <xf numFmtId="43" fontId="21" fillId="3" borderId="0" xfId="1" applyFont="1" applyFill="1" applyBorder="1" applyAlignment="1" applyProtection="1">
      <alignment horizontal="center"/>
      <protection hidden="1"/>
    </xf>
    <xf numFmtId="170" fontId="21" fillId="3" borderId="0" xfId="55" applyNumberFormat="1" applyFont="1" applyFill="1" applyBorder="1" applyProtection="1">
      <protection hidden="1"/>
    </xf>
    <xf numFmtId="170" fontId="21" fillId="3" borderId="0" xfId="55" applyNumberFormat="1" applyFont="1" applyFill="1" applyBorder="1" applyAlignment="1" applyProtection="1">
      <alignment horizontal="left" indent="1"/>
      <protection hidden="1"/>
    </xf>
    <xf numFmtId="0" fontId="23" fillId="3" borderId="0" xfId="0" applyFont="1" applyFill="1" applyAlignment="1" applyProtection="1">
      <alignment wrapText="1"/>
      <protection locked="0"/>
    </xf>
    <xf numFmtId="0" fontId="23" fillId="3" borderId="0" xfId="0" applyFont="1" applyFill="1" applyProtection="1">
      <protection locked="0"/>
    </xf>
    <xf numFmtId="43" fontId="20" fillId="3" borderId="0" xfId="1" applyFont="1" applyFill="1" applyBorder="1" applyAlignment="1" applyProtection="1">
      <alignment horizontal="center"/>
      <protection hidden="1"/>
    </xf>
    <xf numFmtId="170" fontId="27" fillId="3" borderId="0" xfId="55" applyNumberFormat="1" applyFont="1" applyFill="1" applyBorder="1" applyProtection="1">
      <protection hidden="1"/>
    </xf>
    <xf numFmtId="43" fontId="20" fillId="3" borderId="1" xfId="1" applyFont="1" applyFill="1" applyBorder="1" applyAlignment="1" applyProtection="1">
      <alignment horizontal="center"/>
      <protection hidden="1"/>
    </xf>
    <xf numFmtId="43" fontId="21" fillId="3" borderId="0" xfId="1" applyFont="1" applyFill="1" applyProtection="1">
      <protection hidden="1"/>
    </xf>
    <xf numFmtId="43" fontId="20" fillId="3" borderId="1" xfId="1" applyFont="1" applyFill="1" applyBorder="1" applyAlignment="1">
      <alignment horizontal="center"/>
    </xf>
    <xf numFmtId="168" fontId="21" fillId="3" borderId="23" xfId="1" applyNumberFormat="1" applyFont="1" applyFill="1" applyBorder="1"/>
    <xf numFmtId="168" fontId="21" fillId="3" borderId="24" xfId="1" applyNumberFormat="1" applyFont="1" applyFill="1" applyBorder="1"/>
    <xf numFmtId="168" fontId="21" fillId="3" borderId="22" xfId="1" applyNumberFormat="1" applyFont="1" applyFill="1" applyBorder="1"/>
    <xf numFmtId="168" fontId="20" fillId="3" borderId="22" xfId="1" applyNumberFormat="1" applyFont="1" applyFill="1" applyBorder="1"/>
    <xf numFmtId="0" fontId="20" fillId="3" borderId="24" xfId="0" applyFont="1" applyFill="1" applyBorder="1" applyAlignment="1">
      <alignment horizontal="left"/>
    </xf>
    <xf numFmtId="168" fontId="21" fillId="3" borderId="0" xfId="1" applyNumberFormat="1" applyFont="1" applyFill="1" applyBorder="1"/>
    <xf numFmtId="168" fontId="20" fillId="3" borderId="0" xfId="1" applyNumberFormat="1" applyFont="1" applyFill="1" applyBorder="1"/>
    <xf numFmtId="167" fontId="21" fillId="3" borderId="31" xfId="0" applyNumberFormat="1" applyFont="1" applyFill="1" applyBorder="1" applyAlignment="1">
      <alignment horizontal="left"/>
    </xf>
    <xf numFmtId="168" fontId="21" fillId="3" borderId="28" xfId="1" applyNumberFormat="1" applyFont="1" applyFill="1" applyBorder="1"/>
    <xf numFmtId="168" fontId="21" fillId="3" borderId="1" xfId="1" applyNumberFormat="1" applyFont="1" applyFill="1" applyBorder="1"/>
    <xf numFmtId="168" fontId="21" fillId="3" borderId="30" xfId="1" applyNumberFormat="1" applyFont="1" applyFill="1" applyBorder="1"/>
    <xf numFmtId="168" fontId="20" fillId="3" borderId="24" xfId="1" applyNumberFormat="1" applyFont="1" applyFill="1" applyBorder="1"/>
    <xf numFmtId="168" fontId="21" fillId="3" borderId="25" xfId="1" applyNumberFormat="1" applyFont="1" applyFill="1" applyBorder="1"/>
    <xf numFmtId="0" fontId="20" fillId="3" borderId="22" xfId="0" applyFont="1" applyFill="1" applyBorder="1" applyAlignment="1">
      <alignment horizontal="left"/>
    </xf>
    <xf numFmtId="168" fontId="20" fillId="3" borderId="24" xfId="44" applyNumberFormat="1" applyFont="1" applyFill="1" applyBorder="1"/>
    <xf numFmtId="168" fontId="21" fillId="3" borderId="30" xfId="44" applyNumberFormat="1" applyFont="1" applyFill="1" applyBorder="1"/>
    <xf numFmtId="0" fontId="20" fillId="3" borderId="23" xfId="0" applyFont="1" applyFill="1" applyBorder="1" applyAlignment="1">
      <alignment horizontal="left"/>
    </xf>
    <xf numFmtId="168" fontId="20" fillId="3" borderId="23" xfId="1" applyNumberFormat="1" applyFont="1" applyFill="1" applyBorder="1"/>
    <xf numFmtId="168" fontId="21" fillId="3" borderId="24" xfId="2" applyNumberFormat="1" applyFont="1" applyFill="1" applyBorder="1"/>
    <xf numFmtId="168" fontId="20" fillId="3" borderId="24" xfId="2" applyNumberFormat="1" applyFont="1" applyFill="1" applyBorder="1"/>
    <xf numFmtId="168" fontId="20" fillId="3" borderId="22" xfId="2" applyNumberFormat="1" applyFont="1" applyFill="1" applyBorder="1"/>
    <xf numFmtId="0" fontId="21" fillId="3" borderId="15" xfId="0" applyFont="1" applyFill="1" applyBorder="1" applyAlignment="1">
      <alignment horizontal="left"/>
    </xf>
    <xf numFmtId="168" fontId="21" fillId="3" borderId="16" xfId="44" applyNumberFormat="1" applyFont="1" applyFill="1" applyBorder="1" applyAlignment="1">
      <alignment horizontal="right"/>
    </xf>
    <xf numFmtId="0" fontId="21" fillId="3" borderId="23" xfId="42" applyFont="1" applyFill="1" applyBorder="1"/>
    <xf numFmtId="168" fontId="21" fillId="3" borderId="23" xfId="42" applyNumberFormat="1" applyFont="1" applyFill="1" applyBorder="1" applyAlignment="1">
      <alignment horizontal="right"/>
    </xf>
    <xf numFmtId="168" fontId="21" fillId="3" borderId="24" xfId="0" applyNumberFormat="1" applyFont="1" applyFill="1" applyBorder="1" applyAlignment="1">
      <alignment horizontal="right"/>
    </xf>
    <xf numFmtId="0" fontId="20" fillId="3" borderId="24" xfId="42" applyFont="1" applyFill="1" applyBorder="1" applyAlignment="1">
      <alignment horizontal="left"/>
    </xf>
    <xf numFmtId="0" fontId="21" fillId="3" borderId="23" xfId="42" applyFont="1" applyFill="1" applyBorder="1" applyAlignment="1">
      <alignment horizontal="left"/>
    </xf>
    <xf numFmtId="0" fontId="21" fillId="3" borderId="25" xfId="42" applyFont="1" applyFill="1" applyBorder="1"/>
    <xf numFmtId="168" fontId="21" fillId="3" borderId="25" xfId="42" applyNumberFormat="1" applyFont="1" applyFill="1" applyBorder="1" applyAlignment="1">
      <alignment horizontal="right"/>
    </xf>
    <xf numFmtId="0" fontId="20" fillId="3" borderId="22" xfId="42" applyFont="1" applyFill="1" applyBorder="1" applyAlignment="1">
      <alignment horizontal="left"/>
    </xf>
    <xf numFmtId="0" fontId="21" fillId="3" borderId="25" xfId="0" applyFont="1" applyFill="1" applyBorder="1" applyAlignment="1">
      <alignment horizontal="left"/>
    </xf>
    <xf numFmtId="0" fontId="21" fillId="3" borderId="24" xfId="42" applyFont="1" applyFill="1" applyBorder="1"/>
    <xf numFmtId="168" fontId="21" fillId="3" borderId="24" xfId="42" applyNumberFormat="1" applyFont="1" applyFill="1" applyBorder="1" applyAlignment="1">
      <alignment horizontal="right"/>
    </xf>
    <xf numFmtId="168" fontId="21" fillId="3" borderId="0" xfId="44" applyNumberFormat="1" applyFont="1" applyFill="1" applyBorder="1" applyAlignment="1">
      <alignment horizontal="right"/>
    </xf>
    <xf numFmtId="0" fontId="20" fillId="3" borderId="23" xfId="42" applyFont="1" applyFill="1" applyBorder="1"/>
    <xf numFmtId="0" fontId="20" fillId="3" borderId="24" xfId="42" applyFont="1" applyFill="1" applyBorder="1"/>
    <xf numFmtId="0" fontId="20" fillId="3" borderId="23" xfId="42" applyFont="1" applyFill="1" applyBorder="1" applyAlignment="1">
      <alignment horizontal="left"/>
    </xf>
    <xf numFmtId="0" fontId="20" fillId="3" borderId="22" xfId="42" applyFont="1" applyFill="1" applyBorder="1"/>
    <xf numFmtId="168" fontId="20" fillId="3" borderId="20" xfId="44" applyNumberFormat="1" applyFont="1" applyFill="1" applyBorder="1" applyAlignment="1">
      <alignment horizontal="right"/>
    </xf>
    <xf numFmtId="168" fontId="21" fillId="3" borderId="20" xfId="44" applyNumberFormat="1" applyFont="1" applyFill="1" applyBorder="1" applyAlignment="1">
      <alignment horizontal="right"/>
    </xf>
    <xf numFmtId="168" fontId="21" fillId="3" borderId="32" xfId="44" applyNumberFormat="1" applyFont="1" applyFill="1" applyBorder="1" applyAlignment="1">
      <alignment horizontal="right"/>
    </xf>
    <xf numFmtId="168" fontId="21" fillId="3" borderId="17" xfId="44" applyNumberFormat="1" applyFont="1" applyFill="1" applyBorder="1" applyAlignment="1">
      <alignment horizontal="right"/>
    </xf>
    <xf numFmtId="168" fontId="21" fillId="3" borderId="31" xfId="44" applyNumberFormat="1" applyFont="1" applyFill="1" applyBorder="1" applyAlignment="1">
      <alignment horizontal="right"/>
    </xf>
    <xf numFmtId="168" fontId="21" fillId="3" borderId="26" xfId="44" applyNumberFormat="1" applyFont="1" applyFill="1" applyBorder="1" applyAlignment="1">
      <alignment horizontal="right"/>
    </xf>
    <xf numFmtId="168" fontId="21" fillId="3" borderId="17" xfId="42" applyNumberFormat="1" applyFont="1" applyFill="1" applyBorder="1" applyAlignment="1">
      <alignment horizontal="right"/>
    </xf>
    <xf numFmtId="168" fontId="21" fillId="3" borderId="20" xfId="44" applyNumberFormat="1" applyFont="1" applyFill="1" applyBorder="1" applyAlignment="1" applyProtection="1">
      <alignment horizontal="right" vertical="center" wrapText="1"/>
      <protection locked="0"/>
    </xf>
    <xf numFmtId="168" fontId="20" fillId="3" borderId="31" xfId="44" applyNumberFormat="1" applyFont="1" applyFill="1" applyBorder="1" applyAlignment="1">
      <alignment horizontal="right"/>
    </xf>
    <xf numFmtId="168" fontId="21" fillId="3" borderId="15" xfId="0" applyNumberFormat="1" applyFont="1" applyFill="1" applyBorder="1" applyAlignment="1">
      <alignment horizontal="right"/>
    </xf>
    <xf numFmtId="168" fontId="21" fillId="3" borderId="17" xfId="0" applyNumberFormat="1" applyFont="1" applyFill="1" applyBorder="1" applyAlignment="1">
      <alignment horizontal="right"/>
    </xf>
    <xf numFmtId="168" fontId="21" fillId="3" borderId="20" xfId="2" applyNumberFormat="1" applyFont="1" applyFill="1" applyBorder="1" applyAlignment="1">
      <alignment horizontal="right"/>
    </xf>
    <xf numFmtId="168" fontId="21" fillId="3" borderId="32" xfId="2" applyNumberFormat="1" applyFont="1" applyFill="1" applyBorder="1" applyAlignment="1">
      <alignment horizontal="right"/>
    </xf>
    <xf numFmtId="168" fontId="21" fillId="3" borderId="17" xfId="2" applyNumberFormat="1" applyFont="1" applyFill="1" applyBorder="1" applyAlignment="1">
      <alignment horizontal="right"/>
    </xf>
    <xf numFmtId="168" fontId="21" fillId="3" borderId="20" xfId="42" applyNumberFormat="1" applyFont="1" applyFill="1" applyBorder="1" applyAlignment="1">
      <alignment horizontal="right"/>
    </xf>
    <xf numFmtId="168" fontId="20" fillId="3" borderId="17" xfId="44" applyNumberFormat="1" applyFont="1" applyFill="1" applyBorder="1" applyAlignment="1">
      <alignment horizontal="right"/>
    </xf>
    <xf numFmtId="168" fontId="21" fillId="3" borderId="20" xfId="0" applyNumberFormat="1" applyFont="1" applyFill="1" applyBorder="1" applyAlignment="1">
      <alignment horizontal="right"/>
    </xf>
    <xf numFmtId="168" fontId="20" fillId="3" borderId="0" xfId="44" applyNumberFormat="1" applyFont="1" applyFill="1" applyBorder="1" applyAlignment="1">
      <alignment horizontal="right"/>
    </xf>
    <xf numFmtId="168" fontId="21" fillId="3" borderId="0" xfId="42" applyNumberFormat="1" applyFont="1" applyFill="1" applyBorder="1" applyAlignment="1">
      <alignment horizontal="right"/>
    </xf>
    <xf numFmtId="168" fontId="21" fillId="3" borderId="0" xfId="0" applyNumberFormat="1" applyFont="1" applyFill="1" applyBorder="1" applyAlignment="1">
      <alignment horizontal="right"/>
    </xf>
    <xf numFmtId="168" fontId="21" fillId="3" borderId="0" xfId="2" applyNumberFormat="1" applyFont="1" applyFill="1" applyBorder="1" applyAlignment="1">
      <alignment horizontal="right"/>
    </xf>
    <xf numFmtId="168" fontId="20" fillId="3" borderId="0" xfId="2" applyNumberFormat="1" applyFont="1" applyFill="1" applyBorder="1" applyAlignment="1">
      <alignment horizontal="right"/>
    </xf>
    <xf numFmtId="168" fontId="20" fillId="3" borderId="29" xfId="44" applyNumberFormat="1" applyFont="1" applyFill="1" applyBorder="1" applyAlignment="1">
      <alignment horizontal="right"/>
    </xf>
    <xf numFmtId="168" fontId="20" fillId="3" borderId="26" xfId="44" applyNumberFormat="1" applyFont="1" applyFill="1" applyBorder="1" applyAlignment="1">
      <alignment horizontal="right"/>
    </xf>
    <xf numFmtId="168" fontId="20" fillId="3" borderId="20" xfId="0" applyNumberFormat="1" applyFont="1" applyFill="1" applyBorder="1" applyAlignment="1">
      <alignment horizontal="right"/>
    </xf>
    <xf numFmtId="168" fontId="21" fillId="3" borderId="15" xfId="44" applyNumberFormat="1" applyFont="1" applyFill="1" applyBorder="1" applyAlignment="1">
      <alignment horizontal="right"/>
    </xf>
    <xf numFmtId="168" fontId="20" fillId="3" borderId="0" xfId="0" applyNumberFormat="1" applyFont="1" applyFill="1" applyBorder="1" applyAlignment="1">
      <alignment horizontal="right"/>
    </xf>
    <xf numFmtId="168" fontId="20" fillId="3" borderId="26" xfId="1" applyNumberFormat="1" applyFont="1" applyFill="1" applyBorder="1" applyAlignment="1">
      <alignment horizontal="right"/>
    </xf>
    <xf numFmtId="0" fontId="20" fillId="3" borderId="29" xfId="0" applyFont="1" applyFill="1" applyBorder="1"/>
    <xf numFmtId="168" fontId="20" fillId="3" borderId="29" xfId="1" applyNumberFormat="1" applyFont="1" applyFill="1" applyBorder="1" applyAlignment="1">
      <alignment horizontal="right"/>
    </xf>
    <xf numFmtId="179" fontId="20" fillId="3" borderId="0" xfId="1" applyNumberFormat="1" applyFont="1" applyFill="1" applyBorder="1" applyAlignment="1">
      <alignment horizontal="center" vertical="top" wrapText="1"/>
    </xf>
    <xf numFmtId="179" fontId="21" fillId="3" borderId="0" xfId="1" applyNumberFormat="1" applyFont="1" applyFill="1" applyBorder="1" applyAlignment="1" applyProtection="1">
      <alignment horizontal="center"/>
      <protection hidden="1"/>
    </xf>
    <xf numFmtId="179" fontId="20" fillId="3" borderId="0" xfId="1" applyNumberFormat="1" applyFont="1" applyFill="1" applyBorder="1" applyProtection="1">
      <protection hidden="1"/>
    </xf>
    <xf numFmtId="179" fontId="21" fillId="3" borderId="0" xfId="1" applyNumberFormat="1" applyFont="1" applyFill="1" applyBorder="1" applyProtection="1">
      <protection hidden="1"/>
    </xf>
    <xf numFmtId="179" fontId="21" fillId="3" borderId="0" xfId="1" applyNumberFormat="1" applyFont="1" applyFill="1" applyBorder="1" applyAlignment="1" applyProtection="1">
      <alignment horizontal="left" indent="1"/>
      <protection hidden="1"/>
    </xf>
    <xf numFmtId="179" fontId="23" fillId="3" borderId="0" xfId="1" applyNumberFormat="1" applyFont="1" applyFill="1" applyAlignment="1" applyProtection="1">
      <alignment wrapText="1"/>
      <protection locked="0"/>
    </xf>
    <xf numFmtId="179" fontId="23" fillId="3" borderId="0" xfId="1" applyNumberFormat="1" applyFont="1" applyFill="1" applyProtection="1">
      <protection locked="0"/>
    </xf>
    <xf numFmtId="179" fontId="20" fillId="3" borderId="0" xfId="1" applyNumberFormat="1" applyFont="1" applyFill="1" applyBorder="1" applyAlignment="1" applyProtection="1">
      <alignment horizontal="center"/>
      <protection hidden="1"/>
    </xf>
    <xf numFmtId="179" fontId="20" fillId="3" borderId="1" xfId="1" applyNumberFormat="1" applyFont="1" applyFill="1" applyBorder="1" applyAlignment="1" applyProtection="1">
      <alignment horizontal="center"/>
      <protection hidden="1"/>
    </xf>
    <xf numFmtId="179" fontId="27" fillId="3" borderId="0" xfId="1" applyNumberFormat="1" applyFont="1" applyFill="1" applyBorder="1" applyProtection="1">
      <protection hidden="1"/>
    </xf>
    <xf numFmtId="179" fontId="21" fillId="3" borderId="0" xfId="1" applyNumberFormat="1" applyFont="1" applyFill="1" applyProtection="1">
      <protection hidden="1"/>
    </xf>
    <xf numFmtId="179" fontId="20" fillId="3" borderId="1" xfId="1" applyNumberFormat="1" applyFont="1" applyFill="1" applyBorder="1" applyAlignment="1">
      <alignment horizontal="center"/>
    </xf>
    <xf numFmtId="0" fontId="21" fillId="0" borderId="0" xfId="0" applyFont="1" applyFill="1" applyBorder="1"/>
    <xf numFmtId="0" fontId="21" fillId="0" borderId="0" xfId="0" applyNumberFormat="1" applyFont="1" applyFill="1" applyBorder="1"/>
    <xf numFmtId="0" fontId="21" fillId="0" borderId="0" xfId="0" applyFont="1" applyBorder="1"/>
    <xf numFmtId="0" fontId="21" fillId="0" borderId="0" xfId="0" applyFont="1"/>
    <xf numFmtId="168" fontId="20" fillId="3" borderId="0" xfId="0" applyNumberFormat="1" applyFont="1" applyFill="1" applyBorder="1" applyAlignment="1">
      <alignment wrapText="1"/>
    </xf>
    <xf numFmtId="0" fontId="25" fillId="39" borderId="10" xfId="0" applyFont="1" applyFill="1" applyBorder="1" applyAlignment="1">
      <alignment horizontal="center" vertical="center" wrapText="1"/>
    </xf>
    <xf numFmtId="0" fontId="26" fillId="39" borderId="10" xfId="0" applyFont="1" applyFill="1" applyBorder="1"/>
    <xf numFmtId="49" fontId="25" fillId="39" borderId="10" xfId="1" applyNumberFormat="1" applyFont="1" applyFill="1" applyBorder="1" applyAlignment="1">
      <alignment horizontal="center"/>
    </xf>
    <xf numFmtId="171" fontId="25" fillId="39" borderId="10" xfId="1" applyNumberFormat="1" applyFont="1" applyFill="1" applyBorder="1"/>
    <xf numFmtId="0" fontId="26" fillId="39" borderId="10" xfId="0" applyFont="1" applyFill="1" applyBorder="1" applyAlignment="1">
      <alignment horizontal="left"/>
    </xf>
    <xf numFmtId="0" fontId="25" fillId="39" borderId="10" xfId="0" applyFont="1" applyFill="1" applyBorder="1" applyAlignment="1">
      <alignment horizontal="center"/>
    </xf>
    <xf numFmtId="14" fontId="25" fillId="39" borderId="10" xfId="0" applyNumberFormat="1" applyFont="1" applyFill="1" applyBorder="1" applyAlignment="1">
      <alignment horizontal="center"/>
    </xf>
    <xf numFmtId="0" fontId="25" fillId="39" borderId="10" xfId="0" applyFont="1" applyFill="1" applyBorder="1" applyAlignment="1">
      <alignment horizontal="center" vertical="center"/>
    </xf>
    <xf numFmtId="9" fontId="20" fillId="3" borderId="0" xfId="53" applyFont="1" applyFill="1"/>
    <xf numFmtId="5" fontId="21" fillId="3" borderId="0" xfId="0" applyNumberFormat="1" applyFont="1" applyFill="1" applyBorder="1"/>
    <xf numFmtId="182" fontId="21" fillId="3" borderId="0" xfId="0" applyNumberFormat="1" applyFont="1" applyFill="1" applyBorder="1"/>
    <xf numFmtId="166" fontId="20" fillId="3" borderId="0" xfId="0" applyNumberFormat="1" applyFont="1" applyFill="1" applyBorder="1"/>
    <xf numFmtId="171" fontId="21" fillId="3" borderId="0" xfId="1" applyNumberFormat="1" applyFont="1" applyFill="1" applyBorder="1" applyAlignment="1">
      <alignment horizontal="center" vertical="top" wrapText="1"/>
    </xf>
    <xf numFmtId="0" fontId="22" fillId="3" borderId="0" xfId="0" applyFont="1" applyFill="1"/>
    <xf numFmtId="2" fontId="21" fillId="3" borderId="0" xfId="0" applyNumberFormat="1" applyFont="1" applyFill="1" applyBorder="1"/>
    <xf numFmtId="0" fontId="22" fillId="38" borderId="10" xfId="0" applyFont="1" applyFill="1" applyBorder="1"/>
    <xf numFmtId="5" fontId="22" fillId="38" borderId="10" xfId="1" applyNumberFormat="1" applyFont="1" applyFill="1" applyBorder="1" applyAlignment="1">
      <alignment horizontal="right"/>
    </xf>
    <xf numFmtId="168" fontId="22" fillId="38" borderId="10" xfId="0" applyNumberFormat="1" applyFont="1" applyFill="1" applyBorder="1"/>
    <xf numFmtId="168" fontId="22" fillId="2" borderId="10" xfId="0" applyNumberFormat="1" applyFont="1" applyFill="1" applyBorder="1"/>
    <xf numFmtId="167" fontId="22" fillId="2" borderId="10" xfId="0" applyNumberFormat="1" applyFont="1" applyFill="1" applyBorder="1"/>
    <xf numFmtId="5" fontId="22" fillId="0" borderId="10" xfId="1" applyNumberFormat="1" applyFont="1" applyBorder="1" applyAlignment="1">
      <alignment horizontal="right"/>
    </xf>
    <xf numFmtId="168" fontId="22" fillId="0" borderId="10" xfId="0" applyNumberFormat="1" applyFont="1" applyBorder="1"/>
    <xf numFmtId="167" fontId="22" fillId="3" borderId="10" xfId="0" applyNumberFormat="1" applyFont="1" applyFill="1" applyBorder="1"/>
    <xf numFmtId="5" fontId="22" fillId="2" borderId="10" xfId="1" applyNumberFormat="1" applyFont="1" applyFill="1" applyBorder="1" applyAlignment="1">
      <alignment horizontal="right"/>
    </xf>
    <xf numFmtId="167" fontId="22" fillId="0" borderId="10" xfId="0" applyNumberFormat="1" applyFont="1" applyBorder="1"/>
    <xf numFmtId="168" fontId="21" fillId="0" borderId="0" xfId="0" applyNumberFormat="1" applyFont="1" applyFill="1" applyBorder="1"/>
    <xf numFmtId="167" fontId="23" fillId="0" borderId="0" xfId="0" applyNumberFormat="1" applyFont="1" applyBorder="1"/>
    <xf numFmtId="0" fontId="20" fillId="3" borderId="45" xfId="0" applyFont="1" applyFill="1" applyBorder="1"/>
    <xf numFmtId="0" fontId="20" fillId="3" borderId="47" xfId="0" applyFont="1" applyFill="1" applyBorder="1"/>
    <xf numFmtId="0" fontId="20" fillId="3" borderId="46" xfId="0" applyFont="1" applyFill="1" applyBorder="1"/>
    <xf numFmtId="0" fontId="20" fillId="3" borderId="48" xfId="0" applyFont="1" applyFill="1" applyBorder="1"/>
    <xf numFmtId="0" fontId="20" fillId="3" borderId="49" xfId="0" applyFont="1" applyFill="1" applyBorder="1"/>
    <xf numFmtId="0" fontId="20" fillId="3" borderId="0" xfId="0" applyFont="1" applyFill="1" applyBorder="1" applyProtection="1"/>
    <xf numFmtId="0" fontId="20" fillId="3" borderId="0" xfId="0" quotePrefix="1" applyFont="1" applyFill="1" applyBorder="1" applyAlignment="1" applyProtection="1">
      <alignment horizontal="left"/>
    </xf>
    <xf numFmtId="0" fontId="20" fillId="3" borderId="34" xfId="0" applyFont="1" applyFill="1" applyBorder="1" applyAlignment="1" applyProtection="1">
      <alignment horizontal="centerContinuous" vertical="center"/>
    </xf>
    <xf numFmtId="0" fontId="20" fillId="3" borderId="35" xfId="0" applyFont="1" applyFill="1" applyBorder="1" applyAlignment="1" applyProtection="1">
      <alignment horizontal="centerContinuous" vertical="center"/>
    </xf>
    <xf numFmtId="0" fontId="20" fillId="3" borderId="36" xfId="0" applyFont="1" applyFill="1" applyBorder="1" applyAlignment="1" applyProtection="1">
      <alignment vertical="center"/>
    </xf>
    <xf numFmtId="170" fontId="20" fillId="3" borderId="37" xfId="1" applyNumberFormat="1" applyFont="1" applyFill="1" applyBorder="1" applyAlignment="1" applyProtection="1">
      <alignment vertical="center"/>
    </xf>
    <xf numFmtId="0" fontId="20" fillId="3" borderId="0" xfId="0" quotePrefix="1" applyFont="1" applyFill="1" applyBorder="1" applyAlignment="1">
      <alignment horizontal="left"/>
    </xf>
    <xf numFmtId="0" fontId="20" fillId="3" borderId="36" xfId="0" applyFont="1" applyFill="1" applyBorder="1" applyProtection="1"/>
    <xf numFmtId="0" fontId="20" fillId="3" borderId="38" xfId="0" applyFont="1" applyFill="1" applyBorder="1" applyAlignment="1" applyProtection="1">
      <alignment vertical="center"/>
    </xf>
    <xf numFmtId="170" fontId="20" fillId="3" borderId="39" xfId="1" applyNumberFormat="1" applyFont="1" applyFill="1" applyBorder="1" applyAlignment="1" applyProtection="1">
      <alignment vertical="center"/>
    </xf>
    <xf numFmtId="0" fontId="28" fillId="3" borderId="0" xfId="0" applyFont="1" applyFill="1" applyBorder="1" applyAlignment="1">
      <alignment horizontal="left"/>
    </xf>
    <xf numFmtId="0" fontId="20" fillId="3" borderId="38" xfId="0" applyFont="1" applyFill="1" applyBorder="1" applyProtection="1"/>
    <xf numFmtId="0" fontId="20" fillId="3" borderId="40" xfId="0" applyFont="1" applyFill="1" applyBorder="1" applyAlignment="1" applyProtection="1">
      <alignment horizontal="left" vertical="center"/>
    </xf>
    <xf numFmtId="10" fontId="20" fillId="3" borderId="41" xfId="1" applyNumberFormat="1" applyFont="1" applyFill="1" applyBorder="1" applyAlignment="1" applyProtection="1">
      <alignment vertical="center"/>
    </xf>
    <xf numFmtId="0" fontId="20" fillId="3" borderId="0" xfId="0" applyFont="1" applyFill="1" applyBorder="1" applyAlignment="1" applyProtection="1">
      <alignment vertical="center"/>
    </xf>
    <xf numFmtId="10" fontId="20" fillId="3" borderId="0" xfId="0" applyNumberFormat="1" applyFont="1" applyFill="1" applyBorder="1" applyAlignment="1" applyProtection="1">
      <alignment vertical="center"/>
    </xf>
    <xf numFmtId="0" fontId="20" fillId="3" borderId="42" xfId="0" applyFont="1" applyFill="1" applyBorder="1" applyProtection="1"/>
    <xf numFmtId="0" fontId="20" fillId="3" borderId="40" xfId="0" applyFont="1" applyFill="1" applyBorder="1" applyProtection="1"/>
    <xf numFmtId="0" fontId="20" fillId="3" borderId="38" xfId="0" applyFont="1" applyFill="1" applyBorder="1"/>
    <xf numFmtId="0" fontId="20" fillId="3" borderId="0" xfId="0" applyFont="1" applyFill="1" applyBorder="1" applyAlignment="1">
      <alignment vertical="center"/>
    </xf>
    <xf numFmtId="0" fontId="20" fillId="3" borderId="36" xfId="0" applyFont="1" applyFill="1" applyBorder="1" applyAlignment="1" applyProtection="1">
      <alignment horizontal="centerContinuous" vertical="center"/>
    </xf>
    <xf numFmtId="0" fontId="20" fillId="3" borderId="37" xfId="0" applyFont="1" applyFill="1" applyBorder="1" applyAlignment="1" applyProtection="1">
      <alignment horizontal="centerContinuous" vertical="center"/>
    </xf>
    <xf numFmtId="10" fontId="20" fillId="3" borderId="41" xfId="1" applyNumberFormat="1" applyFont="1" applyFill="1" applyBorder="1" applyAlignment="1" applyProtection="1">
      <alignment horizontal="right" vertical="center"/>
    </xf>
    <xf numFmtId="0" fontId="20" fillId="3" borderId="40" xfId="0" quotePrefix="1" applyFont="1" applyFill="1" applyBorder="1" applyAlignment="1" applyProtection="1">
      <alignment horizontal="centerContinuous" vertical="center"/>
    </xf>
    <xf numFmtId="0" fontId="20" fillId="3" borderId="41" xfId="0" applyFont="1" applyFill="1" applyBorder="1" applyAlignment="1" applyProtection="1">
      <alignment horizontal="centerContinuous" vertical="center"/>
    </xf>
    <xf numFmtId="0" fontId="20" fillId="3" borderId="33" xfId="0" applyFont="1" applyFill="1" applyBorder="1" applyProtection="1"/>
    <xf numFmtId="10" fontId="20" fillId="3" borderId="37" xfId="0" applyNumberFormat="1" applyFont="1" applyFill="1" applyBorder="1" applyAlignment="1" applyProtection="1">
      <alignment horizontal="center" vertical="center"/>
    </xf>
    <xf numFmtId="10" fontId="20" fillId="3" borderId="39" xfId="0" applyNumberFormat="1" applyFont="1" applyFill="1" applyBorder="1" applyAlignment="1" applyProtection="1">
      <alignment horizontal="center" vertical="center"/>
    </xf>
    <xf numFmtId="10" fontId="20" fillId="3" borderId="48" xfId="0" applyNumberFormat="1" applyFont="1" applyFill="1" applyBorder="1"/>
    <xf numFmtId="10" fontId="20" fillId="3" borderId="41" xfId="0" applyNumberFormat="1" applyFont="1" applyFill="1" applyBorder="1" applyAlignment="1" applyProtection="1">
      <alignment horizontal="center" vertical="center"/>
    </xf>
    <xf numFmtId="170" fontId="20" fillId="3" borderId="0" xfId="0" applyNumberFormat="1" applyFont="1" applyFill="1" applyBorder="1"/>
    <xf numFmtId="0" fontId="20" fillId="3" borderId="34" xfId="0" quotePrefix="1" applyFont="1" applyFill="1" applyBorder="1" applyAlignment="1" applyProtection="1">
      <alignment horizontal="centerContinuous" vertical="center"/>
    </xf>
    <xf numFmtId="0" fontId="20" fillId="3" borderId="0" xfId="0" applyFont="1" applyFill="1" applyBorder="1" applyAlignment="1" applyProtection="1">
      <alignment horizontal="centerContinuous" vertical="center"/>
    </xf>
    <xf numFmtId="0" fontId="20" fillId="3" borderId="43" xfId="0" applyFont="1" applyFill="1" applyBorder="1" applyProtection="1"/>
    <xf numFmtId="170" fontId="20" fillId="3" borderId="39" xfId="1" applyNumberFormat="1" applyFont="1" applyFill="1" applyBorder="1" applyAlignment="1" applyProtection="1">
      <alignment horizontal="right" vertical="center"/>
    </xf>
    <xf numFmtId="180" fontId="20" fillId="3" borderId="0" xfId="53" applyNumberFormat="1" applyFont="1" applyFill="1" applyBorder="1" applyAlignment="1">
      <alignment vertical="center"/>
    </xf>
    <xf numFmtId="0" fontId="20" fillId="3" borderId="40" xfId="0" applyFont="1" applyFill="1" applyBorder="1"/>
    <xf numFmtId="170" fontId="20" fillId="3" borderId="0" xfId="1" applyNumberFormat="1" applyFont="1" applyFill="1" applyBorder="1" applyAlignment="1" applyProtection="1">
      <alignment vertical="center"/>
    </xf>
    <xf numFmtId="0" fontId="20" fillId="3" borderId="40" xfId="0" applyFont="1" applyFill="1" applyBorder="1" applyAlignment="1" applyProtection="1">
      <alignment horizontal="centerContinuous" vertical="center"/>
    </xf>
    <xf numFmtId="0" fontId="20" fillId="3" borderId="0" xfId="0" applyFont="1" applyFill="1" applyBorder="1" applyAlignment="1" applyProtection="1">
      <alignment horizontal="left" vertical="center"/>
    </xf>
    <xf numFmtId="10" fontId="20" fillId="3" borderId="0" xfId="1" applyNumberFormat="1" applyFont="1" applyFill="1" applyBorder="1" applyAlignment="1" applyProtection="1">
      <alignment vertical="center"/>
    </xf>
    <xf numFmtId="0" fontId="20" fillId="3" borderId="0" xfId="0" quotePrefix="1" applyFont="1" applyFill="1" applyBorder="1" applyAlignment="1" applyProtection="1">
      <alignment horizontal="centerContinuous" vertical="center"/>
    </xf>
    <xf numFmtId="0" fontId="20" fillId="3" borderId="37" xfId="0" applyFont="1" applyFill="1" applyBorder="1" applyProtection="1"/>
    <xf numFmtId="181" fontId="20" fillId="3" borderId="0" xfId="1" applyNumberFormat="1" applyFont="1" applyFill="1" applyBorder="1" applyAlignment="1" applyProtection="1">
      <alignment vertical="center"/>
    </xf>
    <xf numFmtId="0" fontId="20" fillId="3" borderId="39" xfId="0" applyFont="1" applyFill="1" applyBorder="1" applyProtection="1"/>
    <xf numFmtId="0" fontId="20" fillId="3" borderId="39" xfId="0" applyFont="1" applyFill="1" applyBorder="1"/>
    <xf numFmtId="2" fontId="20" fillId="3" borderId="37" xfId="0" applyNumberFormat="1" applyFont="1" applyFill="1" applyBorder="1" applyAlignment="1" applyProtection="1">
      <alignment horizontal="right" vertical="center"/>
    </xf>
    <xf numFmtId="2" fontId="20" fillId="3" borderId="39" xfId="0" applyNumberFormat="1" applyFont="1" applyFill="1" applyBorder="1" applyAlignment="1" applyProtection="1">
      <alignment horizontal="right" vertical="center"/>
    </xf>
    <xf numFmtId="0" fontId="20" fillId="3" borderId="44" xfId="0" applyFont="1" applyFill="1" applyBorder="1" applyProtection="1"/>
    <xf numFmtId="185" fontId="20" fillId="3" borderId="41" xfId="1" applyNumberFormat="1" applyFont="1" applyFill="1" applyBorder="1" applyAlignment="1" applyProtection="1">
      <alignment vertical="center"/>
    </xf>
    <xf numFmtId="2" fontId="20" fillId="3" borderId="38" xfId="0" applyNumberFormat="1" applyFont="1" applyFill="1" applyBorder="1"/>
    <xf numFmtId="0" fontId="20" fillId="3" borderId="41" xfId="0" applyFont="1" applyFill="1" applyBorder="1" applyProtection="1"/>
    <xf numFmtId="10" fontId="20" fillId="3" borderId="0" xfId="0" applyNumberFormat="1" applyFont="1" applyFill="1" applyBorder="1" applyProtection="1"/>
    <xf numFmtId="170" fontId="20" fillId="3" borderId="0" xfId="0" applyNumberFormat="1" applyFont="1" applyFill="1" applyBorder="1" applyAlignment="1">
      <alignment vertical="center"/>
    </xf>
    <xf numFmtId="170" fontId="20" fillId="3" borderId="37" xfId="0" applyNumberFormat="1" applyFont="1" applyFill="1" applyBorder="1" applyAlignment="1" applyProtection="1">
      <alignment vertical="center"/>
    </xf>
    <xf numFmtId="170" fontId="20" fillId="3" borderId="39" xfId="0" applyNumberFormat="1" applyFont="1" applyFill="1" applyBorder="1" applyAlignment="1" applyProtection="1">
      <alignment vertical="center"/>
    </xf>
    <xf numFmtId="2" fontId="20" fillId="3" borderId="37" xfId="0" applyNumberFormat="1" applyFont="1" applyFill="1" applyBorder="1" applyAlignment="1" applyProtection="1">
      <alignment horizontal="center" vertical="center"/>
    </xf>
    <xf numFmtId="2" fontId="20" fillId="3" borderId="39" xfId="0" applyNumberFormat="1" applyFont="1" applyFill="1" applyBorder="1" applyAlignment="1" applyProtection="1">
      <alignment horizontal="center" vertical="center"/>
    </xf>
    <xf numFmtId="0" fontId="20" fillId="3" borderId="0" xfId="0" applyFont="1" applyFill="1" applyBorder="1" applyAlignment="1" applyProtection="1">
      <alignment horizontal="center" vertical="center"/>
    </xf>
    <xf numFmtId="9" fontId="20" fillId="3" borderId="0" xfId="53" applyFont="1" applyFill="1" applyBorder="1" applyAlignment="1" applyProtection="1">
      <alignment vertical="center"/>
    </xf>
    <xf numFmtId="0" fontId="20" fillId="3" borderId="50" xfId="0" applyFont="1" applyFill="1" applyBorder="1"/>
    <xf numFmtId="0" fontId="20" fillId="3" borderId="1" xfId="0" applyFont="1" applyFill="1" applyBorder="1"/>
    <xf numFmtId="0" fontId="20" fillId="3" borderId="51" xfId="0" applyFont="1" applyFill="1" applyBorder="1"/>
    <xf numFmtId="0" fontId="20" fillId="3" borderId="0" xfId="0" applyFont="1" applyFill="1" applyBorder="1" applyAlignment="1">
      <alignment horizontal="center" vertical="center"/>
    </xf>
    <xf numFmtId="0" fontId="20" fillId="0" borderId="0" xfId="0" applyFont="1" applyBorder="1" applyAlignment="1">
      <alignment vertical="center"/>
    </xf>
    <xf numFmtId="0" fontId="20" fillId="0" borderId="0" xfId="0" applyFont="1" applyBorder="1" applyAlignment="1">
      <alignment horizontal="center" vertical="center"/>
    </xf>
    <xf numFmtId="0" fontId="20" fillId="0" borderId="0" xfId="0" applyFont="1" applyBorder="1" applyAlignment="1">
      <alignment horizontal="center"/>
    </xf>
    <xf numFmtId="0" fontId="23" fillId="0" borderId="0" xfId="0" applyFont="1" applyAlignment="1">
      <alignment vertical="center"/>
    </xf>
    <xf numFmtId="170" fontId="23" fillId="0" borderId="0" xfId="1" applyNumberFormat="1" applyFont="1" applyAlignment="1">
      <alignment vertical="center"/>
    </xf>
    <xf numFmtId="170" fontId="23" fillId="0" borderId="0" xfId="1" applyNumberFormat="1" applyFont="1"/>
    <xf numFmtId="0" fontId="23" fillId="0" borderId="0" xfId="0" applyFont="1" applyAlignment="1">
      <alignment horizontal="left" vertical="center"/>
    </xf>
    <xf numFmtId="170" fontId="23" fillId="0" borderId="33" xfId="1" applyNumberFormat="1" applyFont="1" applyBorder="1" applyAlignment="1">
      <alignment horizontal="left" vertical="center"/>
    </xf>
    <xf numFmtId="0" fontId="23" fillId="0" borderId="0" xfId="0" applyFont="1" applyAlignment="1">
      <alignment horizontal="left"/>
    </xf>
    <xf numFmtId="170" fontId="23" fillId="0" borderId="0" xfId="1" applyNumberFormat="1" applyFont="1" applyAlignment="1">
      <alignment horizontal="left" vertical="center"/>
    </xf>
    <xf numFmtId="170" fontId="29" fillId="0" borderId="0" xfId="1" applyNumberFormat="1" applyFont="1" applyAlignment="1">
      <alignment horizontal="justify" vertical="center"/>
    </xf>
    <xf numFmtId="170" fontId="23" fillId="0" borderId="0" xfId="1" applyNumberFormat="1" applyFont="1" applyAlignment="1">
      <alignment horizontal="justify" vertical="center"/>
    </xf>
    <xf numFmtId="170" fontId="23" fillId="0" borderId="0" xfId="0" applyNumberFormat="1" applyFont="1" applyAlignment="1">
      <alignment horizontal="left"/>
    </xf>
    <xf numFmtId="170" fontId="21" fillId="0" borderId="0" xfId="0" applyNumberFormat="1" applyFont="1" applyBorder="1"/>
    <xf numFmtId="0" fontId="23" fillId="0" borderId="0" xfId="0" applyFont="1" applyAlignment="1">
      <alignment horizontal="justify" vertical="center"/>
    </xf>
    <xf numFmtId="170" fontId="21" fillId="0" borderId="0" xfId="1" applyNumberFormat="1" applyFont="1" applyBorder="1"/>
    <xf numFmtId="0" fontId="20" fillId="0" borderId="0" xfId="0" applyFont="1" applyBorder="1"/>
    <xf numFmtId="0" fontId="21" fillId="0" borderId="1" xfId="0" applyFont="1" applyBorder="1" applyAlignment="1">
      <alignment horizontal="center"/>
    </xf>
    <xf numFmtId="170" fontId="21" fillId="0" borderId="1" xfId="0" applyNumberFormat="1" applyFont="1" applyBorder="1"/>
    <xf numFmtId="0" fontId="21" fillId="0" borderId="0" xfId="0" applyFont="1" applyBorder="1" applyAlignment="1">
      <alignment horizontal="center"/>
    </xf>
    <xf numFmtId="0" fontId="21" fillId="0" borderId="52" xfId="0" applyFont="1" applyBorder="1" applyAlignment="1">
      <alignment horizontal="center"/>
    </xf>
    <xf numFmtId="186" fontId="21" fillId="0" borderId="52" xfId="0" applyNumberFormat="1" applyFont="1" applyBorder="1"/>
    <xf numFmtId="184" fontId="21" fillId="0" borderId="0" xfId="56" applyNumberFormat="1" applyFont="1" applyBorder="1"/>
    <xf numFmtId="187" fontId="21" fillId="0" borderId="0" xfId="0" applyNumberFormat="1" applyFont="1" applyBorder="1"/>
    <xf numFmtId="186" fontId="21" fillId="0" borderId="0" xfId="0" applyNumberFormat="1" applyFont="1" applyBorder="1"/>
    <xf numFmtId="43" fontId="21" fillId="0" borderId="0" xfId="1" applyFont="1" applyBorder="1"/>
    <xf numFmtId="166" fontId="21" fillId="0" borderId="0" xfId="0" applyNumberFormat="1" applyFont="1" applyBorder="1"/>
    <xf numFmtId="170" fontId="21" fillId="0" borderId="1" xfId="0" applyNumberFormat="1" applyFont="1" applyBorder="1" applyAlignment="1">
      <alignment horizontal="center"/>
    </xf>
    <xf numFmtId="186" fontId="21" fillId="0" borderId="46" xfId="0" applyNumberFormat="1" applyFont="1" applyBorder="1" applyAlignment="1">
      <alignment horizontal="center"/>
    </xf>
    <xf numFmtId="9" fontId="21" fillId="0" borderId="0" xfId="53" applyFont="1" applyBorder="1"/>
    <xf numFmtId="170" fontId="23" fillId="0" borderId="0" xfId="1" applyNumberFormat="1" applyFont="1" applyBorder="1" applyAlignment="1">
      <alignment horizontal="left" vertical="center"/>
    </xf>
    <xf numFmtId="186" fontId="21" fillId="0" borderId="0" xfId="0" applyNumberFormat="1" applyFont="1" applyBorder="1" applyAlignment="1">
      <alignment horizontal="center"/>
    </xf>
    <xf numFmtId="188" fontId="21" fillId="0" borderId="0" xfId="0" applyNumberFormat="1" applyFont="1" applyBorder="1" applyAlignment="1">
      <alignment horizontal="center" vertical="top"/>
    </xf>
    <xf numFmtId="0" fontId="21" fillId="0" borderId="0" xfId="0" applyFont="1" applyAlignment="1">
      <alignment vertical="center"/>
    </xf>
    <xf numFmtId="170" fontId="23" fillId="0" borderId="1" xfId="0" applyNumberFormat="1" applyFont="1" applyBorder="1" applyAlignment="1">
      <alignment horizontal="left" vertical="center"/>
    </xf>
    <xf numFmtId="188" fontId="23" fillId="0" borderId="0" xfId="0" applyNumberFormat="1" applyFont="1" applyAlignment="1">
      <alignment horizontal="left" vertical="center"/>
    </xf>
    <xf numFmtId="0" fontId="30" fillId="0" borderId="0" xfId="0" applyFont="1" applyAlignment="1">
      <alignment horizontal="center" vertical="center" wrapText="1"/>
    </xf>
    <xf numFmtId="170" fontId="23" fillId="0" borderId="0" xfId="0" applyNumberFormat="1" applyFont="1" applyAlignment="1">
      <alignment horizontal="left" vertical="center"/>
    </xf>
    <xf numFmtId="170" fontId="21" fillId="0" borderId="0" xfId="0" applyNumberFormat="1" applyFont="1" applyBorder="1" applyAlignment="1">
      <alignment horizontal="center"/>
    </xf>
    <xf numFmtId="184" fontId="21" fillId="0" borderId="0" xfId="56" applyNumberFormat="1" applyFont="1" applyBorder="1" applyAlignment="1">
      <alignment horizontal="center"/>
    </xf>
    <xf numFmtId="10" fontId="21" fillId="0" borderId="0" xfId="53" applyNumberFormat="1" applyFont="1" applyBorder="1"/>
    <xf numFmtId="184" fontId="21" fillId="0" borderId="1" xfId="56" applyNumberFormat="1" applyFont="1" applyBorder="1" applyAlignment="1">
      <alignment horizontal="center"/>
    </xf>
    <xf numFmtId="0" fontId="21" fillId="0" borderId="0" xfId="0" applyFont="1" applyBorder="1" applyAlignment="1">
      <alignment horizontal="left" vertical="center" wrapText="1"/>
    </xf>
    <xf numFmtId="0" fontId="21" fillId="0" borderId="0" xfId="0" applyFont="1" applyBorder="1" applyAlignment="1">
      <alignment vertical="center" wrapText="1"/>
    </xf>
    <xf numFmtId="0" fontId="21" fillId="0" borderId="0" xfId="0" applyFont="1" applyBorder="1" applyAlignment="1">
      <alignment horizontal="left" vertical="center"/>
    </xf>
    <xf numFmtId="0" fontId="0" fillId="3" borderId="0" xfId="0" applyFill="1"/>
    <xf numFmtId="0" fontId="25" fillId="3" borderId="0" xfId="0" applyFont="1" applyFill="1" applyAlignment="1"/>
    <xf numFmtId="0" fontId="25" fillId="3" borderId="0" xfId="0" applyFont="1" applyFill="1" applyAlignment="1">
      <alignment horizontal="center"/>
    </xf>
    <xf numFmtId="1" fontId="23" fillId="3" borderId="0" xfId="1" applyNumberFormat="1" applyFont="1" applyFill="1" applyAlignment="1">
      <alignment horizontal="right"/>
    </xf>
    <xf numFmtId="171" fontId="21" fillId="3" borderId="0" xfId="1" applyNumberFormat="1" applyFont="1" applyFill="1" applyBorder="1" applyAlignment="1">
      <alignment vertical="top" wrapText="1"/>
    </xf>
    <xf numFmtId="0" fontId="21" fillId="3" borderId="0" xfId="0" applyFont="1" applyFill="1" applyBorder="1" applyAlignment="1">
      <alignment vertical="center" wrapText="1"/>
    </xf>
    <xf numFmtId="0" fontId="23" fillId="3" borderId="0" xfId="0" applyFont="1" applyFill="1" applyAlignment="1">
      <alignment vertical="top" wrapText="1"/>
    </xf>
    <xf numFmtId="0" fontId="21" fillId="3" borderId="0" xfId="0" applyFont="1" applyFill="1" applyBorder="1" applyAlignment="1">
      <alignment vertical="top" wrapText="1"/>
    </xf>
    <xf numFmtId="0" fontId="25" fillId="39" borderId="10" xfId="0" applyFont="1" applyFill="1" applyBorder="1" applyAlignment="1">
      <alignment horizontal="center"/>
    </xf>
    <xf numFmtId="0" fontId="25" fillId="39" borderId="10" xfId="0" applyFont="1" applyFill="1" applyBorder="1" applyAlignment="1">
      <alignment horizontal="center"/>
    </xf>
    <xf numFmtId="10" fontId="21" fillId="3" borderId="10" xfId="0" applyNumberFormat="1" applyFont="1" applyFill="1" applyBorder="1" applyAlignment="1">
      <alignment horizontal="center"/>
    </xf>
    <xf numFmtId="2" fontId="21" fillId="3" borderId="10" xfId="0" applyNumberFormat="1" applyFont="1" applyFill="1" applyBorder="1" applyAlignment="1">
      <alignment horizontal="center"/>
    </xf>
    <xf numFmtId="10" fontId="21" fillId="4" borderId="10" xfId="0" applyNumberFormat="1" applyFont="1" applyFill="1" applyBorder="1" applyAlignment="1">
      <alignment horizontal="center"/>
    </xf>
    <xf numFmtId="2" fontId="21" fillId="4" borderId="10" xfId="0" applyNumberFormat="1" applyFont="1" applyFill="1" applyBorder="1" applyAlignment="1">
      <alignment horizontal="center"/>
    </xf>
    <xf numFmtId="0" fontId="25" fillId="39" borderId="10" xfId="0" applyFont="1" applyFill="1" applyBorder="1" applyAlignment="1">
      <alignment horizontal="center"/>
    </xf>
    <xf numFmtId="0" fontId="21" fillId="2" borderId="10" xfId="0" applyFont="1" applyFill="1" applyBorder="1" applyAlignment="1">
      <alignment horizontal="left" wrapText="1"/>
    </xf>
    <xf numFmtId="0" fontId="25" fillId="39" borderId="10" xfId="0" applyFont="1" applyFill="1" applyBorder="1" applyAlignment="1">
      <alignment horizontal="center" wrapText="1"/>
    </xf>
    <xf numFmtId="171" fontId="25" fillId="39" borderId="10" xfId="1" applyNumberFormat="1" applyFont="1" applyFill="1" applyBorder="1" applyAlignment="1">
      <alignment horizontal="center" vertical="center"/>
    </xf>
    <xf numFmtId="10" fontId="23" fillId="0" borderId="10" xfId="53" applyNumberFormat="1" applyFont="1" applyFill="1" applyBorder="1"/>
    <xf numFmtId="0" fontId="23" fillId="40" borderId="10" xfId="0" applyFont="1" applyFill="1" applyBorder="1"/>
    <xf numFmtId="183" fontId="23" fillId="40" borderId="10" xfId="0" applyNumberFormat="1" applyFont="1" applyFill="1" applyBorder="1"/>
    <xf numFmtId="2" fontId="23" fillId="40" borderId="10" xfId="0" applyNumberFormat="1" applyFont="1" applyFill="1" applyBorder="1"/>
    <xf numFmtId="171" fontId="21" fillId="2" borderId="10" xfId="1" applyNumberFormat="1" applyFont="1" applyFill="1" applyBorder="1" applyAlignment="1">
      <alignment horizontal="center" vertical="center"/>
    </xf>
    <xf numFmtId="179" fontId="21" fillId="2" borderId="10" xfId="1" applyNumberFormat="1" applyFont="1" applyFill="1" applyBorder="1" applyAlignment="1">
      <alignment horizontal="center" vertical="center"/>
    </xf>
    <xf numFmtId="179" fontId="21" fillId="3" borderId="10" xfId="1" applyNumberFormat="1" applyFont="1" applyFill="1" applyBorder="1" applyAlignment="1">
      <alignment horizontal="center" vertical="center"/>
    </xf>
    <xf numFmtId="171" fontId="21" fillId="3" borderId="10" xfId="1" applyNumberFormat="1" applyFont="1" applyFill="1" applyBorder="1" applyAlignment="1">
      <alignment horizontal="center" vertical="center"/>
    </xf>
    <xf numFmtId="43" fontId="21" fillId="3" borderId="10" xfId="1" applyFont="1" applyFill="1" applyBorder="1" applyAlignment="1">
      <alignment horizontal="center" vertical="center"/>
    </xf>
    <xf numFmtId="0" fontId="20" fillId="2" borderId="10" xfId="0" applyFont="1" applyFill="1" applyBorder="1" applyAlignment="1">
      <alignment vertical="center" wrapText="1"/>
    </xf>
    <xf numFmtId="0" fontId="31" fillId="3" borderId="10" xfId="0" applyFont="1" applyFill="1" applyBorder="1"/>
    <xf numFmtId="179" fontId="32" fillId="3" borderId="10" xfId="1" applyNumberFormat="1" applyFont="1" applyFill="1" applyBorder="1"/>
    <xf numFmtId="0" fontId="20" fillId="0" borderId="0" xfId="0" applyFont="1"/>
    <xf numFmtId="0" fontId="23" fillId="2" borderId="0" xfId="0" applyFont="1" applyFill="1"/>
    <xf numFmtId="0" fontId="22" fillId="2" borderId="0" xfId="0" applyFont="1" applyFill="1" applyAlignment="1">
      <alignment horizontal="center"/>
    </xf>
    <xf numFmtId="0" fontId="25" fillId="39" borderId="0" xfId="0" applyFont="1" applyFill="1"/>
    <xf numFmtId="179" fontId="23" fillId="2" borderId="0" xfId="1" applyNumberFormat="1" applyFont="1" applyFill="1" applyAlignment="1">
      <alignment horizontal="center"/>
    </xf>
    <xf numFmtId="0" fontId="25" fillId="39" borderId="0" xfId="0" applyFont="1" applyFill="1" applyAlignment="1">
      <alignment horizontal="left"/>
    </xf>
    <xf numFmtId="0" fontId="23" fillId="2" borderId="0" xfId="0" applyFont="1" applyFill="1" applyAlignment="1">
      <alignment horizontal="center"/>
    </xf>
    <xf numFmtId="10" fontId="23" fillId="2" borderId="0" xfId="53" applyNumberFormat="1" applyFont="1" applyFill="1" applyAlignment="1">
      <alignment horizontal="center"/>
    </xf>
    <xf numFmtId="0" fontId="26" fillId="0" borderId="0" xfId="0" applyFont="1"/>
    <xf numFmtId="184" fontId="23" fillId="3" borderId="10" xfId="56" applyNumberFormat="1" applyFont="1" applyFill="1" applyBorder="1"/>
    <xf numFmtId="1" fontId="23" fillId="40" borderId="10" xfId="1" applyNumberFormat="1" applyFont="1" applyFill="1" applyBorder="1" applyAlignment="1">
      <alignment horizontal="right"/>
    </xf>
    <xf numFmtId="0" fontId="33" fillId="3" borderId="0" xfId="0" applyFont="1" applyFill="1"/>
    <xf numFmtId="0" fontId="6" fillId="3" borderId="0" xfId="49" applyFont="1" applyFill="1" applyBorder="1" applyAlignment="1">
      <alignment horizontal="center"/>
    </xf>
    <xf numFmtId="189" fontId="6" fillId="3" borderId="0" xfId="49" applyNumberFormat="1" applyFont="1" applyFill="1" applyBorder="1" applyAlignment="1">
      <alignment horizontal="center"/>
    </xf>
    <xf numFmtId="189" fontId="6" fillId="3" borderId="0" xfId="49" applyNumberFormat="1" applyFont="1" applyFill="1" applyBorder="1" applyAlignment="1">
      <alignment horizontal="right"/>
    </xf>
    <xf numFmtId="0" fontId="6" fillId="3" borderId="0" xfId="49" applyFont="1" applyFill="1" applyBorder="1"/>
    <xf numFmtId="0" fontId="6" fillId="3" borderId="0" xfId="49" applyFont="1" applyFill="1" applyBorder="1" applyAlignment="1">
      <alignment horizontal="right"/>
    </xf>
    <xf numFmtId="10" fontId="6" fillId="3" borderId="0" xfId="49" applyNumberFormat="1" applyFont="1" applyFill="1" applyBorder="1" applyAlignment="1">
      <alignment horizontal="right"/>
    </xf>
    <xf numFmtId="0" fontId="34" fillId="3" borderId="53" xfId="49" applyFont="1" applyFill="1" applyBorder="1" applyAlignment="1">
      <alignment horizontal="center"/>
    </xf>
    <xf numFmtId="0" fontId="34" fillId="3" borderId="54" xfId="49" applyFont="1" applyFill="1" applyBorder="1" applyAlignment="1">
      <alignment horizontal="center"/>
    </xf>
    <xf numFmtId="0" fontId="34" fillId="3" borderId="54" xfId="49" applyFont="1" applyFill="1" applyBorder="1" applyAlignment="1"/>
    <xf numFmtId="0" fontId="34" fillId="3" borderId="55" xfId="49" applyFont="1" applyFill="1" applyBorder="1" applyAlignment="1">
      <alignment horizontal="center"/>
    </xf>
    <xf numFmtId="0" fontId="6" fillId="3" borderId="56" xfId="49" applyFont="1" applyFill="1" applyBorder="1" applyAlignment="1">
      <alignment horizontal="center"/>
    </xf>
    <xf numFmtId="189" fontId="6" fillId="3" borderId="57" xfId="49" applyNumberFormat="1" applyFont="1" applyFill="1" applyBorder="1"/>
    <xf numFmtId="189" fontId="6" fillId="3" borderId="58" xfId="49" applyNumberFormat="1" applyFont="1" applyFill="1" applyBorder="1"/>
    <xf numFmtId="0" fontId="6" fillId="3" borderId="59" xfId="49" applyFont="1" applyFill="1" applyBorder="1" applyAlignment="1">
      <alignment horizontal="center"/>
    </xf>
    <xf numFmtId="189" fontId="6" fillId="3" borderId="60" xfId="49" applyNumberFormat="1" applyFont="1" applyFill="1" applyBorder="1"/>
    <xf numFmtId="189" fontId="6" fillId="3" borderId="61" xfId="49" applyNumberFormat="1" applyFont="1" applyFill="1" applyBorder="1"/>
    <xf numFmtId="0" fontId="6" fillId="3" borderId="62" xfId="49" applyFont="1" applyFill="1" applyBorder="1" applyAlignment="1">
      <alignment horizontal="center"/>
    </xf>
    <xf numFmtId="189" fontId="6" fillId="3" borderId="63" xfId="49" applyNumberFormat="1" applyFont="1" applyFill="1" applyBorder="1"/>
    <xf numFmtId="189" fontId="6" fillId="3" borderId="64" xfId="49" applyNumberFormat="1" applyFont="1" applyFill="1" applyBorder="1"/>
    <xf numFmtId="2" fontId="23" fillId="0" borderId="10" xfId="56" applyNumberFormat="1" applyFont="1" applyFill="1" applyBorder="1"/>
    <xf numFmtId="1" fontId="23" fillId="0" borderId="10" xfId="56" applyNumberFormat="1" applyFont="1" applyFill="1" applyBorder="1"/>
    <xf numFmtId="171" fontId="21" fillId="3" borderId="0" xfId="1" applyNumberFormat="1" applyFont="1" applyFill="1" applyBorder="1" applyAlignment="1">
      <alignment horizontal="left" vertical="top" wrapText="1"/>
    </xf>
    <xf numFmtId="170" fontId="25" fillId="39" borderId="10" xfId="1" applyNumberFormat="1" applyFont="1" applyFill="1" applyBorder="1" applyAlignment="1">
      <alignment horizontal="center" wrapText="1"/>
    </xf>
    <xf numFmtId="170" fontId="25" fillId="39" borderId="10" xfId="1" applyNumberFormat="1" applyFont="1" applyFill="1" applyBorder="1" applyAlignment="1">
      <alignment horizontal="center"/>
    </xf>
    <xf numFmtId="0" fontId="25" fillId="39" borderId="10" xfId="0" applyFont="1" applyFill="1" applyBorder="1" applyAlignment="1">
      <alignment horizontal="center"/>
    </xf>
    <xf numFmtId="0" fontId="20" fillId="3" borderId="10" xfId="0" applyFont="1" applyFill="1" applyBorder="1" applyAlignment="1">
      <alignment horizontal="center"/>
    </xf>
    <xf numFmtId="0" fontId="21" fillId="3" borderId="0" xfId="0" applyFont="1" applyFill="1" applyBorder="1" applyAlignment="1">
      <alignment horizontal="left" vertical="top" wrapText="1"/>
    </xf>
    <xf numFmtId="0" fontId="21" fillId="3" borderId="0" xfId="0" applyFont="1" applyFill="1" applyBorder="1" applyAlignment="1">
      <alignment horizontal="left" vertical="center" wrapText="1"/>
    </xf>
    <xf numFmtId="170" fontId="25" fillId="39" borderId="20" xfId="1" applyNumberFormat="1" applyFont="1" applyFill="1" applyBorder="1" applyAlignment="1">
      <alignment horizontal="center" wrapText="1"/>
    </xf>
    <xf numFmtId="170" fontId="25" fillId="39" borderId="19" xfId="1" applyNumberFormat="1" applyFont="1" applyFill="1" applyBorder="1" applyAlignment="1">
      <alignment horizontal="center" wrapText="1"/>
    </xf>
    <xf numFmtId="170" fontId="25" fillId="39" borderId="21" xfId="1" applyNumberFormat="1" applyFont="1" applyFill="1" applyBorder="1" applyAlignment="1">
      <alignment horizontal="center" wrapText="1"/>
    </xf>
    <xf numFmtId="170" fontId="25" fillId="39" borderId="15" xfId="1" applyNumberFormat="1" applyFont="1" applyFill="1" applyBorder="1" applyAlignment="1">
      <alignment horizontal="center"/>
    </xf>
    <xf numFmtId="170" fontId="25" fillId="39" borderId="0" xfId="1" applyNumberFormat="1" applyFont="1" applyFill="1" applyBorder="1" applyAlignment="1">
      <alignment horizontal="center"/>
    </xf>
    <xf numFmtId="0" fontId="23" fillId="3" borderId="0" xfId="0" applyFont="1" applyFill="1" applyAlignment="1">
      <alignment horizontal="left" vertical="top" wrapText="1"/>
    </xf>
    <xf numFmtId="0" fontId="25" fillId="39" borderId="10" xfId="0" applyFont="1" applyFill="1" applyBorder="1" applyAlignment="1">
      <alignment horizontal="center" vertical="center"/>
    </xf>
    <xf numFmtId="170" fontId="25" fillId="39" borderId="10" xfId="1" applyNumberFormat="1" applyFont="1" applyFill="1" applyBorder="1" applyAlignment="1">
      <alignment horizontal="center" vertical="center"/>
    </xf>
    <xf numFmtId="0" fontId="21" fillId="3" borderId="0" xfId="0" applyFont="1" applyFill="1" applyAlignment="1">
      <alignment horizontal="left" vertical="top" wrapText="1"/>
    </xf>
    <xf numFmtId="0" fontId="25" fillId="39" borderId="0" xfId="0" applyFont="1" applyFill="1" applyAlignment="1">
      <alignment horizontal="center"/>
    </xf>
    <xf numFmtId="10" fontId="21" fillId="3" borderId="10" xfId="0" applyNumberFormat="1" applyFont="1" applyFill="1" applyBorder="1" applyAlignment="1">
      <alignment horizontal="center"/>
    </xf>
    <xf numFmtId="0" fontId="21" fillId="3" borderId="10" xfId="0" applyFont="1" applyFill="1" applyBorder="1" applyAlignment="1">
      <alignment horizontal="center"/>
    </xf>
    <xf numFmtId="10" fontId="21" fillId="4" borderId="10" xfId="0" applyNumberFormat="1" applyFont="1" applyFill="1" applyBorder="1" applyAlignment="1">
      <alignment horizontal="center"/>
    </xf>
    <xf numFmtId="0" fontId="21" fillId="4" borderId="10" xfId="0" applyFont="1" applyFill="1" applyBorder="1" applyAlignment="1">
      <alignment horizontal="center"/>
    </xf>
    <xf numFmtId="2" fontId="21" fillId="4" borderId="10" xfId="0" applyNumberFormat="1" applyFont="1" applyFill="1" applyBorder="1" applyAlignment="1">
      <alignment horizontal="center"/>
    </xf>
    <xf numFmtId="2" fontId="21" fillId="3" borderId="10" xfId="0" applyNumberFormat="1" applyFont="1" applyFill="1" applyBorder="1" applyAlignment="1">
      <alignment horizontal="center"/>
    </xf>
    <xf numFmtId="0" fontId="21" fillId="3" borderId="10" xfId="0" applyFont="1" applyFill="1" applyBorder="1" applyAlignment="1">
      <alignment horizontal="left"/>
    </xf>
    <xf numFmtId="0" fontId="21" fillId="4" borderId="10" xfId="0" applyFont="1" applyFill="1" applyBorder="1" applyAlignment="1">
      <alignment horizontal="left"/>
    </xf>
    <xf numFmtId="0" fontId="20" fillId="3" borderId="46" xfId="0" applyFont="1" applyFill="1" applyBorder="1" applyAlignment="1" applyProtection="1">
      <alignment horizontal="left"/>
    </xf>
    <xf numFmtId="0" fontId="25" fillId="39" borderId="0" xfId="0" applyFont="1" applyFill="1" applyBorder="1" applyAlignment="1" applyProtection="1">
      <alignment horizontal="center"/>
    </xf>
    <xf numFmtId="0" fontId="20" fillId="3" borderId="36" xfId="0" applyFont="1" applyFill="1" applyBorder="1" applyAlignment="1" applyProtection="1">
      <alignment horizontal="center" vertical="center"/>
    </xf>
    <xf numFmtId="0" fontId="20" fillId="3" borderId="37" xfId="0" applyFont="1" applyFill="1" applyBorder="1" applyAlignment="1" applyProtection="1">
      <alignment horizontal="center" vertical="center"/>
    </xf>
    <xf numFmtId="0" fontId="20" fillId="3" borderId="34" xfId="0" applyFont="1" applyFill="1" applyBorder="1" applyAlignment="1">
      <alignment horizontal="center"/>
    </xf>
    <xf numFmtId="0" fontId="20" fillId="3" borderId="35" xfId="0" applyFont="1" applyFill="1" applyBorder="1" applyAlignment="1">
      <alignment horizontal="center"/>
    </xf>
    <xf numFmtId="0" fontId="20" fillId="3" borderId="34" xfId="0" applyFont="1" applyFill="1" applyBorder="1" applyAlignment="1" applyProtection="1">
      <alignment horizontal="center" vertical="center"/>
    </xf>
    <xf numFmtId="0" fontId="20" fillId="3" borderId="35" xfId="0" applyFont="1" applyFill="1" applyBorder="1" applyAlignment="1" applyProtection="1">
      <alignment horizontal="center" vertical="center"/>
    </xf>
    <xf numFmtId="0" fontId="21" fillId="3" borderId="34" xfId="0" applyFont="1" applyFill="1" applyBorder="1" applyAlignment="1">
      <alignment horizontal="center"/>
    </xf>
    <xf numFmtId="0" fontId="21" fillId="3" borderId="35" xfId="0" applyFont="1" applyFill="1" applyBorder="1" applyAlignment="1">
      <alignment horizontal="center"/>
    </xf>
    <xf numFmtId="0" fontId="25" fillId="5" borderId="0" xfId="0" applyFont="1" applyFill="1" applyBorder="1" applyAlignment="1" applyProtection="1">
      <alignment horizontal="center"/>
    </xf>
    <xf numFmtId="0" fontId="25" fillId="5" borderId="0" xfId="0" applyFont="1" applyFill="1" applyAlignment="1">
      <alignment horizontal="center"/>
    </xf>
    <xf numFmtId="0" fontId="21" fillId="40" borderId="0" xfId="0" applyFont="1" applyFill="1" applyBorder="1" applyAlignment="1">
      <alignment horizontal="left" vertical="center" wrapText="1"/>
    </xf>
    <xf numFmtId="0" fontId="25" fillId="39" borderId="0" xfId="0" applyFont="1" applyFill="1" applyAlignment="1">
      <alignment horizontal="center" vertical="center"/>
    </xf>
    <xf numFmtId="0" fontId="25" fillId="39" borderId="0" xfId="0" applyFont="1" applyFill="1" applyBorder="1" applyAlignment="1">
      <alignment horizontal="center"/>
    </xf>
    <xf numFmtId="0" fontId="20" fillId="0" borderId="0" xfId="0" applyFont="1" applyBorder="1" applyAlignment="1">
      <alignment horizontal="center" vertical="center"/>
    </xf>
    <xf numFmtId="0" fontId="25" fillId="39" borderId="0" xfId="0" applyFont="1" applyFill="1" applyBorder="1" applyAlignment="1">
      <alignment horizontal="center" vertical="center"/>
    </xf>
    <xf numFmtId="0" fontId="21" fillId="40" borderId="0" xfId="0" applyFont="1" applyFill="1" applyBorder="1" applyAlignment="1">
      <alignment horizontal="left" vertical="center"/>
    </xf>
    <xf numFmtId="0" fontId="21" fillId="0" borderId="0" xfId="0" applyFont="1" applyAlignment="1">
      <alignment horizontal="center" wrapText="1"/>
    </xf>
    <xf numFmtId="0" fontId="35" fillId="3" borderId="0" xfId="49" applyFont="1" applyFill="1" applyBorder="1" applyAlignment="1">
      <alignment horizontal="center"/>
    </xf>
    <xf numFmtId="0" fontId="25" fillId="39" borderId="38" xfId="0" applyFont="1" applyFill="1" applyBorder="1" applyAlignment="1">
      <alignment horizontal="center" vertical="center"/>
    </xf>
    <xf numFmtId="0" fontId="23" fillId="40" borderId="0" xfId="0" applyFont="1" applyFill="1" applyAlignment="1">
      <alignment horizontal="left" vertical="top" wrapText="1"/>
    </xf>
    <xf numFmtId="171" fontId="21" fillId="40" borderId="0" xfId="1" applyNumberFormat="1" applyFont="1" applyFill="1" applyBorder="1" applyAlignment="1">
      <alignment horizontal="left" vertical="top" wrapText="1"/>
    </xf>
    <xf numFmtId="0" fontId="21" fillId="40" borderId="0" xfId="0" applyFont="1" applyFill="1" applyBorder="1" applyAlignment="1">
      <alignment horizontal="left" vertical="top" wrapText="1"/>
    </xf>
    <xf numFmtId="170" fontId="20" fillId="3" borderId="0" xfId="1" applyNumberFormat="1" applyFont="1" applyFill="1" applyBorder="1" applyAlignment="1">
      <alignment horizontal="center" wrapText="1"/>
    </xf>
    <xf numFmtId="170" fontId="20" fillId="3" borderId="0" xfId="1" applyNumberFormat="1" applyFont="1" applyFill="1" applyBorder="1" applyAlignment="1">
      <alignment horizontal="center"/>
    </xf>
    <xf numFmtId="181" fontId="20" fillId="3" borderId="0" xfId="1" applyNumberFormat="1" applyFont="1" applyFill="1" applyBorder="1" applyAlignment="1">
      <alignment horizontal="center" vertical="top" wrapText="1"/>
    </xf>
    <xf numFmtId="179" fontId="20" fillId="3" borderId="0" xfId="1" applyNumberFormat="1" applyFont="1" applyFill="1" applyBorder="1" applyAlignment="1">
      <alignment horizontal="center" vertical="top" wrapText="1"/>
    </xf>
    <xf numFmtId="179" fontId="20" fillId="3" borderId="0" xfId="1" applyNumberFormat="1" applyFont="1" applyFill="1" applyBorder="1" applyAlignment="1">
      <alignment horizontal="center" wrapText="1"/>
    </xf>
    <xf numFmtId="179" fontId="20" fillId="3" borderId="0" xfId="1" applyNumberFormat="1" applyFont="1" applyFill="1" applyBorder="1" applyAlignment="1">
      <alignment horizontal="center"/>
    </xf>
    <xf numFmtId="0" fontId="23" fillId="2" borderId="0" xfId="0" applyFont="1" applyFill="1" applyAlignment="1">
      <alignment horizontal="left" vertical="top" wrapText="1"/>
    </xf>
    <xf numFmtId="0" fontId="23" fillId="4" borderId="10" xfId="0" applyFont="1" applyFill="1" applyBorder="1" applyAlignment="1">
      <alignment horizontal="left"/>
    </xf>
    <xf numFmtId="0" fontId="26" fillId="39" borderId="0" xfId="0" applyFont="1" applyFill="1" applyAlignment="1">
      <alignment horizontal="center"/>
    </xf>
    <xf numFmtId="0" fontId="25" fillId="39" borderId="13" xfId="0" applyFont="1" applyFill="1" applyBorder="1" applyAlignment="1">
      <alignment horizontal="center"/>
    </xf>
    <xf numFmtId="0" fontId="25" fillId="39" borderId="11" xfId="0" applyFont="1" applyFill="1" applyBorder="1" applyAlignment="1">
      <alignment horizontal="center"/>
    </xf>
    <xf numFmtId="0" fontId="25" fillId="39" borderId="12" xfId="0" applyFont="1" applyFill="1" applyBorder="1" applyAlignment="1">
      <alignment horizontal="center"/>
    </xf>
    <xf numFmtId="0" fontId="23" fillId="3" borderId="10" xfId="0" applyFont="1" applyFill="1" applyBorder="1" applyAlignment="1">
      <alignment horizontal="left" wrapText="1"/>
    </xf>
    <xf numFmtId="0" fontId="23" fillId="0" borderId="10" xfId="0" applyFont="1" applyBorder="1" applyAlignment="1">
      <alignment horizontal="left"/>
    </xf>
    <xf numFmtId="0" fontId="23" fillId="0" borderId="20" xfId="0" applyFont="1" applyBorder="1" applyAlignment="1">
      <alignment horizontal="left" wrapText="1"/>
    </xf>
    <xf numFmtId="0" fontId="23" fillId="0" borderId="19" xfId="0" applyFont="1" applyBorder="1" applyAlignment="1">
      <alignment horizontal="left" wrapText="1"/>
    </xf>
    <xf numFmtId="0" fontId="23" fillId="0" borderId="21" xfId="0" applyFont="1" applyBorder="1" applyAlignment="1">
      <alignment horizontal="left" wrapText="1"/>
    </xf>
    <xf numFmtId="0" fontId="23" fillId="2" borderId="10" xfId="0" applyFont="1" applyFill="1" applyBorder="1" applyAlignment="1">
      <alignment horizontal="left"/>
    </xf>
    <xf numFmtId="0" fontId="23" fillId="0" borderId="20" xfId="0" applyFont="1" applyBorder="1" applyAlignment="1">
      <alignment horizontal="center"/>
    </xf>
    <xf numFmtId="0" fontId="23" fillId="0" borderId="19" xfId="0" applyFont="1" applyBorder="1" applyAlignment="1">
      <alignment horizontal="center"/>
    </xf>
    <xf numFmtId="0" fontId="23" fillId="0" borderId="21" xfId="0" applyFont="1" applyBorder="1" applyAlignment="1">
      <alignment horizontal="center"/>
    </xf>
    <xf numFmtId="0" fontId="23" fillId="0" borderId="10" xfId="0" applyFont="1" applyBorder="1" applyAlignment="1">
      <alignment horizontal="center"/>
    </xf>
    <xf numFmtId="0" fontId="23" fillId="3" borderId="0" xfId="0" applyFont="1" applyFill="1" applyBorder="1" applyAlignment="1">
      <alignment horizontal="left"/>
    </xf>
    <xf numFmtId="0" fontId="23" fillId="0" borderId="0" xfId="0" applyFont="1" applyAlignment="1">
      <alignment horizontal="left" vertical="center" wrapText="1"/>
    </xf>
    <xf numFmtId="0" fontId="23" fillId="0" borderId="0" xfId="0" applyFont="1" applyAlignment="1">
      <alignment horizontal="left" wrapText="1"/>
    </xf>
    <xf numFmtId="0" fontId="25" fillId="5" borderId="0" xfId="0" applyFont="1" applyFill="1" applyBorder="1" applyAlignment="1">
      <alignment horizontal="center" vertical="center"/>
    </xf>
    <xf numFmtId="170" fontId="20" fillId="3" borderId="0" xfId="44" applyNumberFormat="1" applyFont="1" applyFill="1" applyAlignment="1">
      <alignment horizontal="center" vertical="center" wrapText="1"/>
    </xf>
    <xf numFmtId="170" fontId="20" fillId="3" borderId="0" xfId="44" applyNumberFormat="1" applyFont="1" applyFill="1" applyAlignment="1">
      <alignment horizontal="center"/>
    </xf>
    <xf numFmtId="0" fontId="20" fillId="3" borderId="15" xfId="0" applyFont="1" applyFill="1" applyBorder="1" applyAlignment="1">
      <alignment horizontal="center" vertical="center"/>
    </xf>
    <xf numFmtId="0" fontId="20" fillId="3" borderId="0" xfId="0" applyFont="1" applyFill="1" applyBorder="1" applyAlignment="1">
      <alignment horizontal="center" vertical="center"/>
    </xf>
    <xf numFmtId="0" fontId="20" fillId="3" borderId="15" xfId="0" applyFont="1" applyFill="1" applyBorder="1" applyAlignment="1">
      <alignment horizontal="center" wrapText="1"/>
    </xf>
    <xf numFmtId="0" fontId="20" fillId="3" borderId="0" xfId="0" applyFont="1" applyFill="1" applyBorder="1" applyAlignment="1">
      <alignment horizontal="center" wrapText="1"/>
    </xf>
    <xf numFmtId="0" fontId="20" fillId="3" borderId="10" xfId="0" applyFont="1" applyFill="1" applyBorder="1" applyAlignment="1">
      <alignment horizontal="left" wrapText="1"/>
    </xf>
    <xf numFmtId="0" fontId="20" fillId="3" borderId="10" xfId="0" applyFont="1" applyFill="1" applyBorder="1" applyAlignment="1">
      <alignment horizontal="center" wrapText="1"/>
    </xf>
    <xf numFmtId="0" fontId="20" fillId="3" borderId="20" xfId="0" applyFont="1" applyFill="1" applyBorder="1" applyAlignment="1">
      <alignment horizontal="left" wrapText="1"/>
    </xf>
    <xf numFmtId="0" fontId="20" fillId="3" borderId="19" xfId="0" applyFont="1" applyFill="1" applyBorder="1" applyAlignment="1">
      <alignment horizontal="left" wrapText="1"/>
    </xf>
    <xf numFmtId="179" fontId="21" fillId="3" borderId="10" xfId="1" applyNumberFormat="1" applyFont="1" applyFill="1" applyBorder="1" applyAlignment="1">
      <alignment horizontal="left"/>
    </xf>
    <xf numFmtId="179" fontId="20" fillId="3" borderId="10" xfId="1" applyNumberFormat="1" applyFont="1" applyFill="1" applyBorder="1" applyAlignment="1">
      <alignment horizontal="left"/>
    </xf>
    <xf numFmtId="179" fontId="21" fillId="3" borderId="10" xfId="1" applyNumberFormat="1" applyFont="1" applyFill="1" applyBorder="1" applyAlignment="1">
      <alignment horizontal="right"/>
    </xf>
    <xf numFmtId="179" fontId="20" fillId="3" borderId="0" xfId="1" applyNumberFormat="1" applyFont="1" applyFill="1" applyAlignment="1">
      <alignment horizontal="right"/>
    </xf>
    <xf numFmtId="170" fontId="20" fillId="3" borderId="10" xfId="44" applyNumberFormat="1" applyFont="1" applyFill="1" applyBorder="1" applyAlignment="1">
      <alignment horizontal="center" wrapText="1"/>
    </xf>
    <xf numFmtId="170" fontId="20" fillId="3" borderId="10" xfId="44" applyNumberFormat="1" applyFont="1" applyFill="1" applyBorder="1" applyAlignment="1">
      <alignment horizontal="center"/>
    </xf>
    <xf numFmtId="168" fontId="20" fillId="3" borderId="10" xfId="44" applyNumberFormat="1" applyFont="1" applyFill="1" applyBorder="1" applyAlignment="1">
      <alignment horizontal="center" wrapText="1"/>
    </xf>
    <xf numFmtId="168" fontId="20" fillId="3" borderId="10" xfId="44" applyNumberFormat="1" applyFont="1" applyFill="1" applyBorder="1" applyAlignment="1">
      <alignment horizontal="center"/>
    </xf>
    <xf numFmtId="168" fontId="20" fillId="3" borderId="10" xfId="0" applyNumberFormat="1" applyFont="1" applyFill="1" applyBorder="1" applyAlignment="1">
      <alignment horizontal="center"/>
    </xf>
    <xf numFmtId="167" fontId="20" fillId="3" borderId="20" xfId="0" applyNumberFormat="1" applyFont="1" applyFill="1" applyBorder="1" applyAlignment="1">
      <alignment horizontal="left"/>
    </xf>
    <xf numFmtId="167" fontId="20" fillId="3" borderId="19" xfId="0" applyNumberFormat="1" applyFont="1" applyFill="1" applyBorder="1" applyAlignment="1">
      <alignment horizontal="left"/>
    </xf>
    <xf numFmtId="167" fontId="20" fillId="3" borderId="21" xfId="0" applyNumberFormat="1" applyFont="1" applyFill="1" applyBorder="1" applyAlignment="1">
      <alignment horizontal="left"/>
    </xf>
    <xf numFmtId="168" fontId="20" fillId="3" borderId="20" xfId="0" applyNumberFormat="1" applyFont="1" applyFill="1" applyBorder="1" applyAlignment="1">
      <alignment horizontal="left"/>
    </xf>
    <xf numFmtId="168" fontId="20" fillId="3" borderId="19" xfId="0" applyNumberFormat="1" applyFont="1" applyFill="1" applyBorder="1" applyAlignment="1">
      <alignment horizontal="left"/>
    </xf>
    <xf numFmtId="168" fontId="20" fillId="3" borderId="21" xfId="0" applyNumberFormat="1" applyFont="1" applyFill="1" applyBorder="1" applyAlignment="1">
      <alignment horizontal="left"/>
    </xf>
    <xf numFmtId="168" fontId="20" fillId="3" borderId="20" xfId="0" applyNumberFormat="1" applyFont="1" applyFill="1" applyBorder="1" applyAlignment="1">
      <alignment horizontal="left" wrapText="1"/>
    </xf>
    <xf numFmtId="168" fontId="20" fillId="3" borderId="19" xfId="0" applyNumberFormat="1" applyFont="1" applyFill="1" applyBorder="1" applyAlignment="1">
      <alignment horizontal="left" wrapText="1"/>
    </xf>
    <xf numFmtId="168" fontId="20" fillId="3" borderId="21" xfId="0" applyNumberFormat="1" applyFont="1" applyFill="1" applyBorder="1" applyAlignment="1">
      <alignment horizontal="left" wrapText="1"/>
    </xf>
    <xf numFmtId="168" fontId="20" fillId="3" borderId="0" xfId="0" applyNumberFormat="1" applyFont="1" applyFill="1" applyBorder="1" applyAlignment="1">
      <alignment horizontal="left"/>
    </xf>
    <xf numFmtId="168" fontId="20" fillId="3" borderId="26" xfId="0" applyNumberFormat="1" applyFont="1" applyFill="1" applyBorder="1" applyAlignment="1">
      <alignment horizontal="left"/>
    </xf>
    <xf numFmtId="168" fontId="20" fillId="3" borderId="27" xfId="0" applyNumberFormat="1" applyFont="1" applyFill="1" applyBorder="1" applyAlignment="1">
      <alignment horizontal="left"/>
    </xf>
    <xf numFmtId="168" fontId="20" fillId="3" borderId="20" xfId="42" applyNumberFormat="1" applyFont="1" applyFill="1" applyBorder="1" applyAlignment="1">
      <alignment horizontal="left"/>
    </xf>
    <xf numFmtId="168" fontId="20" fillId="3" borderId="19" xfId="42" applyNumberFormat="1" applyFont="1" applyFill="1" applyBorder="1" applyAlignment="1">
      <alignment horizontal="left"/>
    </xf>
    <xf numFmtId="168" fontId="20" fillId="3" borderId="21" xfId="42" applyNumberFormat="1" applyFont="1" applyFill="1" applyBorder="1" applyAlignment="1">
      <alignment horizontal="left"/>
    </xf>
    <xf numFmtId="0" fontId="20" fillId="3" borderId="20" xfId="0" applyFont="1" applyFill="1" applyBorder="1" applyAlignment="1">
      <alignment horizontal="center"/>
    </xf>
    <xf numFmtId="0" fontId="20" fillId="3" borderId="19" xfId="0" applyFont="1" applyFill="1" applyBorder="1" applyAlignment="1">
      <alignment horizontal="center"/>
    </xf>
    <xf numFmtId="0" fontId="20" fillId="3" borderId="21" xfId="0" applyFont="1" applyFill="1" applyBorder="1" applyAlignment="1">
      <alignment horizontal="center"/>
    </xf>
    <xf numFmtId="0" fontId="20" fillId="3" borderId="10" xfId="0" applyFont="1" applyFill="1" applyBorder="1" applyAlignment="1">
      <alignment horizontal="center" vertical="center"/>
    </xf>
    <xf numFmtId="168" fontId="20" fillId="3" borderId="10" xfId="1" applyNumberFormat="1" applyFont="1" applyFill="1" applyBorder="1" applyAlignment="1">
      <alignment horizontal="left"/>
    </xf>
    <xf numFmtId="171" fontId="20" fillId="3" borderId="10" xfId="44" applyNumberFormat="1" applyFont="1" applyFill="1" applyBorder="1" applyAlignment="1">
      <alignment horizontal="center"/>
    </xf>
    <xf numFmtId="0" fontId="20" fillId="3" borderId="17" xfId="0" applyFont="1" applyFill="1" applyBorder="1" applyAlignment="1">
      <alignment horizontal="left" vertical="top" wrapText="1"/>
    </xf>
    <xf numFmtId="0" fontId="20" fillId="3" borderId="18" xfId="0" applyFont="1" applyFill="1" applyBorder="1" applyAlignment="1">
      <alignment horizontal="left" vertical="top" wrapText="1"/>
    </xf>
    <xf numFmtId="0" fontId="20" fillId="3" borderId="26" xfId="0" applyFont="1" applyFill="1" applyBorder="1" applyAlignment="1">
      <alignment horizontal="left"/>
    </xf>
    <xf numFmtId="0" fontId="20" fillId="3" borderId="27" xfId="0" applyFont="1" applyFill="1" applyBorder="1" applyAlignment="1">
      <alignment horizontal="left"/>
    </xf>
    <xf numFmtId="0" fontId="20" fillId="3" borderId="10" xfId="0" applyFont="1" applyFill="1" applyBorder="1" applyAlignment="1">
      <alignment horizontal="left"/>
    </xf>
    <xf numFmtId="0" fontId="20" fillId="3" borderId="20" xfId="0" applyFont="1" applyFill="1" applyBorder="1" applyAlignment="1">
      <alignment horizontal="left"/>
    </xf>
    <xf numFmtId="0" fontId="20" fillId="3" borderId="19" xfId="0" applyFont="1" applyFill="1" applyBorder="1" applyAlignment="1">
      <alignment horizontal="left"/>
    </xf>
    <xf numFmtId="0" fontId="20" fillId="3" borderId="21" xfId="0" applyFont="1" applyFill="1" applyBorder="1" applyAlignment="1">
      <alignment horizontal="left"/>
    </xf>
    <xf numFmtId="168" fontId="21" fillId="3" borderId="10" xfId="1" applyNumberFormat="1" applyFont="1" applyFill="1" applyBorder="1" applyAlignment="1">
      <alignment horizontal="left"/>
    </xf>
    <xf numFmtId="168" fontId="21" fillId="3" borderId="10" xfId="44" applyNumberFormat="1" applyFont="1" applyFill="1" applyBorder="1" applyAlignment="1">
      <alignment horizontal="left"/>
    </xf>
    <xf numFmtId="168" fontId="20" fillId="3" borderId="10" xfId="44" applyNumberFormat="1" applyFont="1" applyFill="1" applyBorder="1" applyAlignment="1">
      <alignment horizontal="left"/>
    </xf>
    <xf numFmtId="168" fontId="20" fillId="3" borderId="0" xfId="1" applyNumberFormat="1" applyFont="1" applyFill="1" applyAlignment="1">
      <alignment horizontal="left"/>
    </xf>
    <xf numFmtId="170" fontId="20" fillId="3" borderId="10" xfId="1" applyNumberFormat="1" applyFont="1" applyFill="1" applyBorder="1" applyAlignment="1">
      <alignment horizontal="center" wrapText="1"/>
    </xf>
    <xf numFmtId="170" fontId="20" fillId="3" borderId="10" xfId="1" applyNumberFormat="1" applyFont="1" applyFill="1" applyBorder="1" applyAlignment="1">
      <alignment horizontal="center"/>
    </xf>
    <xf numFmtId="0" fontId="20" fillId="3" borderId="18" xfId="0" applyFont="1" applyFill="1" applyBorder="1" applyAlignment="1">
      <alignment horizontal="left"/>
    </xf>
    <xf numFmtId="0" fontId="20" fillId="3" borderId="20" xfId="42" applyFont="1" applyFill="1" applyBorder="1" applyAlignment="1">
      <alignment horizontal="left"/>
    </xf>
    <xf numFmtId="0" fontId="20" fillId="3" borderId="19" xfId="42" applyFont="1" applyFill="1" applyBorder="1" applyAlignment="1">
      <alignment horizontal="left"/>
    </xf>
    <xf numFmtId="0" fontId="20" fillId="3" borderId="21" xfId="42" applyFont="1" applyFill="1" applyBorder="1" applyAlignment="1">
      <alignment horizontal="left"/>
    </xf>
    <xf numFmtId="171" fontId="20" fillId="3" borderId="10" xfId="1" applyNumberFormat="1" applyFont="1" applyFill="1" applyBorder="1" applyAlignment="1">
      <alignment horizontal="center"/>
    </xf>
    <xf numFmtId="168" fontId="21" fillId="3" borderId="10" xfId="44" applyNumberFormat="1" applyFont="1" applyFill="1" applyBorder="1" applyAlignment="1"/>
    <xf numFmtId="168" fontId="21" fillId="3" borderId="0" xfId="44" applyNumberFormat="1" applyFont="1" applyFill="1" applyAlignment="1">
      <alignment horizontal="right"/>
    </xf>
    <xf numFmtId="168" fontId="20" fillId="3" borderId="0" xfId="44" applyNumberFormat="1" applyFont="1" applyFill="1" applyAlignment="1">
      <alignment horizontal="right"/>
    </xf>
    <xf numFmtId="170" fontId="20" fillId="3" borderId="20" xfId="44" applyNumberFormat="1" applyFont="1" applyFill="1" applyBorder="1" applyAlignment="1">
      <alignment horizontal="center" vertical="center" wrapText="1"/>
    </xf>
    <xf numFmtId="170" fontId="20" fillId="3" borderId="19" xfId="44" applyNumberFormat="1" applyFont="1" applyFill="1" applyBorder="1" applyAlignment="1">
      <alignment horizontal="center" vertical="center" wrapText="1"/>
    </xf>
    <xf numFmtId="170" fontId="20" fillId="3" borderId="21" xfId="44" applyNumberFormat="1" applyFont="1" applyFill="1" applyBorder="1" applyAlignment="1">
      <alignment horizontal="center" vertical="center" wrapText="1"/>
    </xf>
    <xf numFmtId="168" fontId="20" fillId="3" borderId="10" xfId="44" applyNumberFormat="1" applyFont="1" applyFill="1" applyBorder="1" applyAlignment="1"/>
    <xf numFmtId="0" fontId="20" fillId="3" borderId="22" xfId="0" applyFont="1" applyFill="1" applyBorder="1" applyAlignment="1">
      <alignment horizontal="left"/>
    </xf>
    <xf numFmtId="168" fontId="20" fillId="3" borderId="20" xfId="44" applyNumberFormat="1" applyFont="1" applyFill="1" applyBorder="1" applyAlignment="1">
      <alignment horizontal="left"/>
    </xf>
    <xf numFmtId="168" fontId="20" fillId="3" borderId="21" xfId="44" applyNumberFormat="1" applyFont="1" applyFill="1" applyBorder="1" applyAlignment="1">
      <alignment horizontal="left"/>
    </xf>
    <xf numFmtId="168" fontId="21" fillId="3" borderId="10" xfId="44" applyNumberFormat="1" applyFont="1" applyFill="1" applyBorder="1" applyAlignment="1">
      <alignment horizontal="right"/>
    </xf>
    <xf numFmtId="168" fontId="20" fillId="3" borderId="10" xfId="44" applyNumberFormat="1" applyFont="1" applyFill="1" applyBorder="1" applyAlignment="1">
      <alignment horizontal="right"/>
    </xf>
    <xf numFmtId="0" fontId="20" fillId="3" borderId="10" xfId="42" applyFont="1" applyFill="1" applyBorder="1" applyAlignment="1">
      <alignment horizontal="center"/>
    </xf>
    <xf numFmtId="167" fontId="20" fillId="3" borderId="20" xfId="42" applyNumberFormat="1" applyFont="1" applyFill="1" applyBorder="1" applyAlignment="1">
      <alignment horizontal="left"/>
    </xf>
    <xf numFmtId="167" fontId="20" fillId="3" borderId="19" xfId="42" applyNumberFormat="1" applyFont="1" applyFill="1" applyBorder="1" applyAlignment="1">
      <alignment horizontal="left"/>
    </xf>
    <xf numFmtId="167" fontId="20" fillId="3" borderId="21" xfId="42" applyNumberFormat="1" applyFont="1" applyFill="1" applyBorder="1" applyAlignment="1">
      <alignment horizontal="left"/>
    </xf>
    <xf numFmtId="0" fontId="20" fillId="3" borderId="18" xfId="42" applyFont="1" applyFill="1" applyBorder="1" applyAlignment="1">
      <alignment horizontal="left"/>
    </xf>
    <xf numFmtId="0" fontId="20" fillId="3" borderId="26" xfId="42" applyFont="1" applyFill="1" applyBorder="1" applyAlignment="1">
      <alignment horizontal="left"/>
    </xf>
    <xf numFmtId="0" fontId="20" fillId="3" borderId="27" xfId="42" applyFont="1" applyFill="1" applyBorder="1" applyAlignment="1">
      <alignment horizontal="left"/>
    </xf>
    <xf numFmtId="170" fontId="20" fillId="3" borderId="24" xfId="44" applyNumberFormat="1" applyFont="1" applyFill="1" applyBorder="1" applyAlignment="1">
      <alignment horizontal="center" wrapText="1"/>
    </xf>
    <xf numFmtId="0" fontId="20" fillId="3" borderId="22" xfId="42" applyFont="1" applyFill="1" applyBorder="1" applyAlignment="1">
      <alignment horizontal="left"/>
    </xf>
    <xf numFmtId="0" fontId="20" fillId="3" borderId="10" xfId="42" applyFont="1" applyFill="1" applyBorder="1" applyAlignment="1">
      <alignment horizontal="left"/>
    </xf>
  </cellXfs>
  <cellStyles count="61">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4" xfId="6"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10" builtinId="20" customBuiltin="1"/>
    <cellStyle name="Euro" xfId="43"/>
    <cellStyle name="Incorrecto" xfId="8" builtinId="27" customBuiltin="1"/>
    <cellStyle name="Millares" xfId="1" builtinId="3"/>
    <cellStyle name="Millares [0]" xfId="52" builtinId="6"/>
    <cellStyle name="Millares 2" xfId="2"/>
    <cellStyle name="Millares 2 2" xfId="45"/>
    <cellStyle name="Millares 3" xfId="44"/>
    <cellStyle name="Millares 4" xfId="57"/>
    <cellStyle name="Millares 5" xfId="58"/>
    <cellStyle name="Millares 6" xfId="60"/>
    <cellStyle name="Millares 7" xfId="59"/>
    <cellStyle name="Millares_Modelo Financiero ACME Final" xfId="55"/>
    <cellStyle name="Moneda" xfId="56" builtinId="4"/>
    <cellStyle name="Moneda [0]" xfId="54" builtinId="7"/>
    <cellStyle name="Moneda 2" xfId="47"/>
    <cellStyle name="Moneda 2 2" xfId="48"/>
    <cellStyle name="Moneda 3" xfId="46"/>
    <cellStyle name="Neutral" xfId="9" builtinId="28" customBuiltin="1"/>
    <cellStyle name="Normal" xfId="0" builtinId="0"/>
    <cellStyle name="Normal 2" xfId="49"/>
    <cellStyle name="Normal 3" xfId="50"/>
    <cellStyle name="Normal 4" xfId="42"/>
    <cellStyle name="Notas 2" xfId="51"/>
    <cellStyle name="Porcentaje" xfId="53" builtinId="5"/>
    <cellStyle name="Salida" xfId="11" builtinId="21" customBuiltin="1"/>
    <cellStyle name="Texto de advertencia" xfId="15" builtinId="11" customBuiltin="1"/>
    <cellStyle name="Texto explicativo" xfId="16" builtinId="53" customBuiltin="1"/>
    <cellStyle name="Título" xfId="3" builtinId="15" customBuiltin="1"/>
    <cellStyle name="Título 2" xfId="4" builtinId="17" customBuiltin="1"/>
    <cellStyle name="Título 3" xfId="5" builtinId="18" customBuiltin="1"/>
    <cellStyle name="Total" xfId="17" builtinId="25" customBuiltin="1"/>
  </cellStyles>
  <dxfs count="0"/>
  <tableStyles count="0" defaultTableStyle="TableStyleMedium2" defaultPivotStyle="PivotStyleLight16"/>
  <colors>
    <mruColors>
      <color rgb="FFB5C6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0.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11.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_rels/chart12.xml.rels><?xml version="1.0" encoding="UTF-8" standalone="yes"?>
<Relationships xmlns="http://schemas.openxmlformats.org/package/2006/relationships"><Relationship Id="rId2" Type="http://schemas.microsoft.com/office/2011/relationships/chartColorStyle" Target="colors12.xml"/><Relationship Id="rId1" Type="http://schemas.microsoft.com/office/2011/relationships/chartStyle" Target="style12.xml"/></Relationships>
</file>

<file path=xl/charts/_rels/chart13.xml.rels><?xml version="1.0" encoding="UTF-8" standalone="yes"?>
<Relationships xmlns="http://schemas.openxmlformats.org/package/2006/relationships"><Relationship Id="rId2" Type="http://schemas.microsoft.com/office/2011/relationships/chartColorStyle" Target="colors13.xml"/><Relationship Id="rId1" Type="http://schemas.microsoft.com/office/2011/relationships/chartStyle" Target="style13.xml"/></Relationships>
</file>

<file path=xl/charts/_rels/chart14.xml.rels><?xml version="1.0" encoding="UTF-8" standalone="yes"?>
<Relationships xmlns="http://schemas.openxmlformats.org/package/2006/relationships"><Relationship Id="rId2" Type="http://schemas.microsoft.com/office/2011/relationships/chartColorStyle" Target="colors14.xml"/><Relationship Id="rId1" Type="http://schemas.microsoft.com/office/2011/relationships/chartStyle" Target="style14.xml"/></Relationships>
</file>

<file path=xl/charts/_rels/chart15.xml.rels><?xml version="1.0" encoding="UTF-8" standalone="yes"?>
<Relationships xmlns="http://schemas.openxmlformats.org/package/2006/relationships"><Relationship Id="rId2" Type="http://schemas.microsoft.com/office/2011/relationships/chartColorStyle" Target="colors15.xml"/><Relationship Id="rId1" Type="http://schemas.microsoft.com/office/2011/relationships/chartStyle" Target="style15.xml"/></Relationships>
</file>

<file path=xl/charts/_rels/chart16.xml.rels><?xml version="1.0" encoding="UTF-8" standalone="yes"?>
<Relationships xmlns="http://schemas.openxmlformats.org/package/2006/relationships"><Relationship Id="rId2" Type="http://schemas.microsoft.com/office/2011/relationships/chartColorStyle" Target="colors16.xml"/><Relationship Id="rId1" Type="http://schemas.microsoft.com/office/2011/relationships/chartStyle" Target="style16.xml"/></Relationships>
</file>

<file path=xl/charts/_rels/chart17.xml.rels><?xml version="1.0" encoding="UTF-8" standalone="yes"?>
<Relationships xmlns="http://schemas.openxmlformats.org/package/2006/relationships"><Relationship Id="rId2" Type="http://schemas.microsoft.com/office/2011/relationships/chartColorStyle" Target="colors17.xml"/><Relationship Id="rId1" Type="http://schemas.microsoft.com/office/2011/relationships/chartStyle" Target="style17.xml"/></Relationships>
</file>

<file path=xl/charts/_rels/chart18.xml.rels><?xml version="1.0" encoding="UTF-8" standalone="yes"?>
<Relationships xmlns="http://schemas.openxmlformats.org/package/2006/relationships"><Relationship Id="rId2" Type="http://schemas.microsoft.com/office/2011/relationships/chartColorStyle" Target="colors18.xml"/><Relationship Id="rId1" Type="http://schemas.microsoft.com/office/2011/relationships/chartStyle" Target="style18.xml"/></Relationships>
</file>

<file path=xl/charts/_rels/chart19.xml.rels><?xml version="1.0" encoding="UTF-8" standalone="yes"?>
<Relationships xmlns="http://schemas.openxmlformats.org/package/2006/relationships"><Relationship Id="rId2" Type="http://schemas.microsoft.com/office/2011/relationships/chartColorStyle" Target="colors19.xml"/><Relationship Id="rId1" Type="http://schemas.microsoft.com/office/2011/relationships/chartStyle" Target="style19.xml"/></Relationships>
</file>

<file path=xl/charts/_rels/chart20.xml.rels><?xml version="1.0" encoding="UTF-8" standalone="yes"?>
<Relationships xmlns="http://schemas.openxmlformats.org/package/2006/relationships"><Relationship Id="rId2" Type="http://schemas.microsoft.com/office/2011/relationships/chartColorStyle" Target="colors20.xml"/><Relationship Id="rId1" Type="http://schemas.microsoft.com/office/2011/relationships/chartStyle" Target="style20.xml"/></Relationships>
</file>

<file path=xl/charts/_rels/chart21.xml.rels><?xml version="1.0" encoding="UTF-8" standalone="yes"?>
<Relationships xmlns="http://schemas.openxmlformats.org/package/2006/relationships"><Relationship Id="rId2" Type="http://schemas.microsoft.com/office/2011/relationships/chartColorStyle" Target="colors21.xml"/><Relationship Id="rId1" Type="http://schemas.microsoft.com/office/2011/relationships/chartStyle" Target="style21.xml"/></Relationships>
</file>

<file path=xl/charts/_rels/chart22.xml.rels><?xml version="1.0" encoding="UTF-8" standalone="yes"?>
<Relationships xmlns="http://schemas.openxmlformats.org/package/2006/relationships"><Relationship Id="rId2" Type="http://schemas.microsoft.com/office/2011/relationships/chartColorStyle" Target="colors22.xml"/><Relationship Id="rId1" Type="http://schemas.microsoft.com/office/2011/relationships/chartStyle" Target="style22.xml"/></Relationships>
</file>

<file path=xl/charts/_rels/chart23.xml.rels><?xml version="1.0" encoding="UTF-8" standalone="yes"?>
<Relationships xmlns="http://schemas.openxmlformats.org/package/2006/relationships"><Relationship Id="rId2" Type="http://schemas.microsoft.com/office/2011/relationships/chartColorStyle" Target="colors23.xml"/><Relationship Id="rId1" Type="http://schemas.microsoft.com/office/2011/relationships/chartStyle" Target="style23.xml"/></Relationships>
</file>

<file path=xl/charts/_rels/chart24.xml.rels><?xml version="1.0" encoding="UTF-8" standalone="yes"?>
<Relationships xmlns="http://schemas.openxmlformats.org/package/2006/relationships"><Relationship Id="rId2" Type="http://schemas.microsoft.com/office/2011/relationships/chartColorStyle" Target="colors24.xml"/><Relationship Id="rId1" Type="http://schemas.microsoft.com/office/2011/relationships/chartStyle" Target="style24.xml"/></Relationships>
</file>

<file path=xl/charts/_rels/chart25.xml.rels><?xml version="1.0" encoding="UTF-8" standalone="yes"?>
<Relationships xmlns="http://schemas.openxmlformats.org/package/2006/relationships"><Relationship Id="rId2" Type="http://schemas.microsoft.com/office/2011/relationships/chartColorStyle" Target="colors25.xml"/><Relationship Id="rId1" Type="http://schemas.microsoft.com/office/2011/relationships/chartStyle" Target="style25.xml"/></Relationships>
</file>

<file path=xl/charts/_rels/chart26.xml.rels><?xml version="1.0" encoding="UTF-8" standalone="yes"?>
<Relationships xmlns="http://schemas.openxmlformats.org/package/2006/relationships"><Relationship Id="rId2" Type="http://schemas.microsoft.com/office/2011/relationships/chartColorStyle" Target="colors26.xml"/><Relationship Id="rId1" Type="http://schemas.microsoft.com/office/2011/relationships/chartStyle" Target="style26.xml"/></Relationships>
</file>

<file path=xl/charts/_rels/chart27.xml.rels><?xml version="1.0" encoding="UTF-8" standalone="yes"?>
<Relationships xmlns="http://schemas.openxmlformats.org/package/2006/relationships"><Relationship Id="rId2" Type="http://schemas.microsoft.com/office/2011/relationships/chartColorStyle" Target="colors27.xml"/><Relationship Id="rId1" Type="http://schemas.microsoft.com/office/2011/relationships/chartStyle" Target="style27.xml"/></Relationships>
</file>

<file path=xl/charts/_rels/chart28.xml.rels><?xml version="1.0" encoding="UTF-8" standalone="yes"?>
<Relationships xmlns="http://schemas.openxmlformats.org/package/2006/relationships"><Relationship Id="rId2" Type="http://schemas.microsoft.com/office/2011/relationships/chartColorStyle" Target="colors28.xml"/><Relationship Id="rId1" Type="http://schemas.microsoft.com/office/2011/relationships/chartStyle" Target="style28.xml"/></Relationships>
</file>

<file path=xl/charts/_rels/chart29.xml.rels><?xml version="1.0" encoding="UTF-8" standalone="yes"?>
<Relationships xmlns="http://schemas.openxmlformats.org/package/2006/relationships"><Relationship Id="rId2" Type="http://schemas.microsoft.com/office/2011/relationships/chartColorStyle" Target="colors29.xml"/><Relationship Id="rId1" Type="http://schemas.microsoft.com/office/2011/relationships/chartStyle" Target="style29.xml"/></Relationships>
</file>

<file path=xl/charts/_rels/chart30.xml.rels><?xml version="1.0" encoding="UTF-8" standalone="yes"?>
<Relationships xmlns="http://schemas.openxmlformats.org/package/2006/relationships"><Relationship Id="rId2" Type="http://schemas.microsoft.com/office/2011/relationships/chartColorStyle" Target="colors30.xml"/><Relationship Id="rId1" Type="http://schemas.microsoft.com/office/2011/relationships/chartStyle" Target="style30.xml"/></Relationships>
</file>

<file path=xl/charts/_rels/chart34.xml.rels><?xml version="1.0" encoding="UTF-8" standalone="yes"?>
<Relationships xmlns="http://schemas.openxmlformats.org/package/2006/relationships"><Relationship Id="rId2" Type="http://schemas.microsoft.com/office/2011/relationships/chartColorStyle" Target="colors31.xml"/><Relationship Id="rId1" Type="http://schemas.microsoft.com/office/2011/relationships/chartStyle" Target="style31.xml"/></Relationships>
</file>

<file path=xl/charts/_rels/chart38.xml.rels><?xml version="1.0" encoding="UTF-8" standalone="yes"?>
<Relationships xmlns="http://schemas.openxmlformats.org/package/2006/relationships"><Relationship Id="rId2" Type="http://schemas.microsoft.com/office/2011/relationships/chartColorStyle" Target="colors32.xml"/><Relationship Id="rId1" Type="http://schemas.microsoft.com/office/2011/relationships/chartStyle" Target="style32.xml"/></Relationships>
</file>

<file path=xl/charts/_rels/chart39.xml.rels><?xml version="1.0" encoding="UTF-8" standalone="yes"?>
<Relationships xmlns="http://schemas.openxmlformats.org/package/2006/relationships"><Relationship Id="rId2" Type="http://schemas.microsoft.com/office/2011/relationships/chartColorStyle" Target="colors33.xml"/><Relationship Id="rId1" Type="http://schemas.microsoft.com/office/2011/relationships/chartStyle" Target="style33.xml"/></Relationships>
</file>

<file path=xl/charts/_rels/chart40.xml.rels><?xml version="1.0" encoding="UTF-8" standalone="yes"?>
<Relationships xmlns="http://schemas.openxmlformats.org/package/2006/relationships"><Relationship Id="rId2" Type="http://schemas.microsoft.com/office/2011/relationships/chartColorStyle" Target="colors34.xml"/><Relationship Id="rId1" Type="http://schemas.microsoft.com/office/2011/relationships/chartStyle" Target="style34.xml"/></Relationships>
</file>

<file path=xl/charts/_rels/chart41.xml.rels><?xml version="1.0" encoding="UTF-8" standalone="yes"?>
<Relationships xmlns="http://schemas.openxmlformats.org/package/2006/relationships"><Relationship Id="rId2" Type="http://schemas.microsoft.com/office/2011/relationships/chartColorStyle" Target="colors35.xml"/><Relationship Id="rId1" Type="http://schemas.microsoft.com/office/2011/relationships/chartStyle" Target="style35.xml"/></Relationships>
</file>

<file path=xl/charts/_rels/chart47.xml.rels><?xml version="1.0" encoding="UTF-8" standalone="yes"?>
<Relationships xmlns="http://schemas.openxmlformats.org/package/2006/relationships"><Relationship Id="rId2" Type="http://schemas.microsoft.com/office/2011/relationships/chartColorStyle" Target="colors36.xml"/><Relationship Id="rId1" Type="http://schemas.microsoft.com/office/2011/relationships/chartStyle" Target="style36.xml"/></Relationships>
</file>

<file path=xl/charts/_rels/chart48.xml.rels><?xml version="1.0" encoding="UTF-8" standalone="yes"?>
<Relationships xmlns="http://schemas.openxmlformats.org/package/2006/relationships"><Relationship Id="rId2" Type="http://schemas.microsoft.com/office/2011/relationships/chartColorStyle" Target="colors37.xml"/><Relationship Id="rId1" Type="http://schemas.microsoft.com/office/2011/relationships/chartStyle" Target="style37.xml"/></Relationships>
</file>

<file path=xl/charts/_rels/chart56.xml.rels><?xml version="1.0" encoding="UTF-8" standalone="yes"?>
<Relationships xmlns="http://schemas.openxmlformats.org/package/2006/relationships"><Relationship Id="rId2" Type="http://schemas.microsoft.com/office/2011/relationships/chartColorStyle" Target="colors38.xml"/><Relationship Id="rId1" Type="http://schemas.microsoft.com/office/2011/relationships/chartStyle" Target="style38.xml"/></Relationships>
</file>

<file path=xl/charts/_rels/chart57.xml.rels><?xml version="1.0" encoding="UTF-8" standalone="yes"?>
<Relationships xmlns="http://schemas.openxmlformats.org/package/2006/relationships"><Relationship Id="rId2" Type="http://schemas.microsoft.com/office/2011/relationships/chartColorStyle" Target="colors39.xml"/><Relationship Id="rId1" Type="http://schemas.microsoft.com/office/2011/relationships/chartStyle" Target="style39.xml"/></Relationships>
</file>

<file path=xl/charts/_rels/chart58.xml.rels><?xml version="1.0" encoding="UTF-8" standalone="yes"?>
<Relationships xmlns="http://schemas.openxmlformats.org/package/2006/relationships"><Relationship Id="rId2" Type="http://schemas.microsoft.com/office/2011/relationships/chartColorStyle" Target="colors40.xml"/><Relationship Id="rId1" Type="http://schemas.microsoft.com/office/2011/relationships/chartStyle" Target="style40.xml"/></Relationships>
</file>

<file path=xl/charts/_rels/chart59.xml.rels><?xml version="1.0" encoding="UTF-8" standalone="yes"?>
<Relationships xmlns="http://schemas.openxmlformats.org/package/2006/relationships"><Relationship Id="rId2" Type="http://schemas.microsoft.com/office/2011/relationships/chartColorStyle" Target="colors41.xml"/><Relationship Id="rId1" Type="http://schemas.microsoft.com/office/2011/relationships/chartStyle" Target="style41.xml"/></Relationships>
</file>

<file path=xl/charts/_rels/chart63.xml.rels><?xml version="1.0" encoding="UTF-8" standalone="yes"?>
<Relationships xmlns="http://schemas.openxmlformats.org/package/2006/relationships"><Relationship Id="rId2" Type="http://schemas.microsoft.com/office/2011/relationships/chartColorStyle" Target="colors42.xml"/><Relationship Id="rId1" Type="http://schemas.microsoft.com/office/2011/relationships/chartStyle" Target="style42.xml"/></Relationships>
</file>

<file path=xl/charts/_rels/chart67.xml.rels><?xml version="1.0" encoding="UTF-8" standalone="yes"?>
<Relationships xmlns="http://schemas.openxmlformats.org/package/2006/relationships"><Relationship Id="rId2" Type="http://schemas.microsoft.com/office/2011/relationships/chartColorStyle" Target="colors43.xml"/><Relationship Id="rId1" Type="http://schemas.microsoft.com/office/2011/relationships/chartStyle" Target="style43.xml"/></Relationships>
</file>

<file path=xl/charts/_rels/chart71.xml.rels><?xml version="1.0" encoding="UTF-8" standalone="yes"?>
<Relationships xmlns="http://schemas.openxmlformats.org/package/2006/relationships"><Relationship Id="rId2" Type="http://schemas.microsoft.com/office/2011/relationships/chartColorStyle" Target="colors44.xml"/><Relationship Id="rId1" Type="http://schemas.microsoft.com/office/2011/relationships/chartStyle" Target="style44.xml"/></Relationships>
</file>

<file path=xl/charts/_rels/chart74.xml.rels><?xml version="1.0" encoding="UTF-8" standalone="yes"?>
<Relationships xmlns="http://schemas.openxmlformats.org/package/2006/relationships"><Relationship Id="rId2" Type="http://schemas.microsoft.com/office/2011/relationships/chartColorStyle" Target="colors45.xml"/><Relationship Id="rId1" Type="http://schemas.microsoft.com/office/2011/relationships/chartStyle" Target="style45.xml"/></Relationships>
</file>

<file path=xl/charts/_rels/chart75.xml.rels><?xml version="1.0" encoding="UTF-8" standalone="yes"?>
<Relationships xmlns="http://schemas.openxmlformats.org/package/2006/relationships"><Relationship Id="rId2" Type="http://schemas.microsoft.com/office/2011/relationships/chartColorStyle" Target="colors46.xml"/><Relationship Id="rId1" Type="http://schemas.microsoft.com/office/2011/relationships/chartStyle" Target="style46.xml"/></Relationships>
</file>

<file path=xl/charts/_rels/chart76.xml.rels><?xml version="1.0" encoding="UTF-8" standalone="yes"?>
<Relationships xmlns="http://schemas.openxmlformats.org/package/2006/relationships"><Relationship Id="rId2" Type="http://schemas.microsoft.com/office/2011/relationships/chartColorStyle" Target="colors47.xml"/><Relationship Id="rId1" Type="http://schemas.microsoft.com/office/2011/relationships/chartStyle" Target="style47.xml"/></Relationships>
</file>

<file path=xl/charts/_rels/chart77.xml.rels><?xml version="1.0" encoding="UTF-8" standalone="yes"?>
<Relationships xmlns="http://schemas.openxmlformats.org/package/2006/relationships"><Relationship Id="rId2" Type="http://schemas.microsoft.com/office/2011/relationships/chartColorStyle" Target="colors48.xml"/><Relationship Id="rId1" Type="http://schemas.microsoft.com/office/2011/relationships/chartStyle" Target="style48.xml"/></Relationships>
</file>

<file path=xl/charts/_rels/chart78.xml.rels><?xml version="1.0" encoding="UTF-8" standalone="yes"?>
<Relationships xmlns="http://schemas.openxmlformats.org/package/2006/relationships"><Relationship Id="rId2" Type="http://schemas.microsoft.com/office/2011/relationships/chartColorStyle" Target="colors49.xml"/><Relationship Id="rId1" Type="http://schemas.microsoft.com/office/2011/relationships/chartStyle" Target="style49.xml"/></Relationships>
</file>

<file path=xl/charts/_rels/chart79.xml.rels><?xml version="1.0" encoding="UTF-8" standalone="yes"?>
<Relationships xmlns="http://schemas.openxmlformats.org/package/2006/relationships"><Relationship Id="rId2" Type="http://schemas.microsoft.com/office/2011/relationships/chartColorStyle" Target="colors50.xml"/><Relationship Id="rId1" Type="http://schemas.microsoft.com/office/2011/relationships/chartStyle" Target="style50.xml"/></Relationships>
</file>

<file path=xl/charts/_rels/chart80.xml.rels><?xml version="1.0" encoding="UTF-8" standalone="yes"?>
<Relationships xmlns="http://schemas.openxmlformats.org/package/2006/relationships"><Relationship Id="rId2" Type="http://schemas.microsoft.com/office/2011/relationships/chartColorStyle" Target="colors51.xml"/><Relationship Id="rId1" Type="http://schemas.microsoft.com/office/2011/relationships/chartStyle" Target="style51.xml"/></Relationships>
</file>

<file path=xl/charts/_rels/chart81.xml.rels><?xml version="1.0" encoding="UTF-8" standalone="yes"?>
<Relationships xmlns="http://schemas.openxmlformats.org/package/2006/relationships"><Relationship Id="rId2" Type="http://schemas.microsoft.com/office/2011/relationships/chartColorStyle" Target="colors52.xml"/><Relationship Id="rId1" Type="http://schemas.microsoft.com/office/2011/relationships/chartStyle" Target="style52.xml"/></Relationships>
</file>

<file path=xl/charts/_rels/chart82.xml.rels><?xml version="1.0" encoding="UTF-8" standalone="yes"?>
<Relationships xmlns="http://schemas.openxmlformats.org/package/2006/relationships"><Relationship Id="rId2" Type="http://schemas.microsoft.com/office/2011/relationships/chartColorStyle" Target="colors53.xml"/><Relationship Id="rId1" Type="http://schemas.microsoft.com/office/2011/relationships/chartStyle" Target="style53.xml"/></Relationships>
</file>

<file path=xl/charts/_rels/chart83.xml.rels><?xml version="1.0" encoding="UTF-8" standalone="yes"?>
<Relationships xmlns="http://schemas.openxmlformats.org/package/2006/relationships"><Relationship Id="rId2" Type="http://schemas.microsoft.com/office/2011/relationships/chartColorStyle" Target="colors54.xml"/><Relationship Id="rId1" Type="http://schemas.microsoft.com/office/2011/relationships/chartStyle" Target="style54.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2000" b="0" i="0" u="none" strike="noStrike" kern="1200" cap="none" spc="0" normalizeH="0" baseline="0">
              <a:solidFill>
                <a:schemeClr val="tx1">
                  <a:lumMod val="65000"/>
                  <a:lumOff val="35000"/>
                </a:schemeClr>
              </a:solidFill>
              <a:latin typeface="+mj-lt"/>
              <a:ea typeface="+mj-ea"/>
              <a:cs typeface="+mj-cs"/>
            </a:defRPr>
          </a:pPr>
          <a:endParaRPr lang="es-CO"/>
        </a:p>
      </c:txPr>
    </c:title>
    <c:autoTitleDeleted val="0"/>
    <c:plotArea>
      <c:layout/>
      <c:lineChart>
        <c:grouping val="standard"/>
        <c:varyColors val="0"/>
        <c:ser>
          <c:idx val="0"/>
          <c:order val="0"/>
          <c:tx>
            <c:strRef>
              <c:f>'PALANCA DE CRECIMIENTO'!$B$9</c:f>
              <c:strCache>
                <c:ptCount val="1"/>
                <c:pt idx="0">
                  <c:v>Margen Ebitda</c:v>
                </c:pt>
              </c:strCache>
            </c:strRef>
          </c:tx>
          <c:spPr>
            <a:ln w="38100" cap="rnd">
              <a:solidFill>
                <a:schemeClr val="accent1"/>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'PALANCA DE CRECIMIENTO'!$C$7:$F$7</c:f>
              <c:strCache>
                <c:ptCount val="4"/>
                <c:pt idx="0">
                  <c:v>2017</c:v>
                </c:pt>
                <c:pt idx="1">
                  <c:v>2016</c:v>
                </c:pt>
                <c:pt idx="2">
                  <c:v>2015</c:v>
                </c:pt>
                <c:pt idx="3">
                  <c:v>2014</c:v>
                </c:pt>
              </c:strCache>
            </c:strRef>
          </c:cat>
          <c:val>
            <c:numRef>
              <c:f>('PALANCA DE CRECIMIENTO'!$C$9,'PALANCA DE CRECIMIENTO'!$D$9,'PALANCA DE CRECIMIENTO'!$E$9,'PALANCA DE CRECIMIENTO'!$F$9)</c:f>
              <c:numCache>
                <c:formatCode>0.00%</c:formatCode>
                <c:ptCount val="4"/>
                <c:pt idx="0">
                  <c:v>0.18148663304545826</c:v>
                </c:pt>
                <c:pt idx="1">
                  <c:v>0.10722440226456297</c:v>
                </c:pt>
                <c:pt idx="2">
                  <c:v>0.19986226615757449</c:v>
                </c:pt>
                <c:pt idx="3">
                  <c:v>0.13188125201677961</c:v>
                </c:pt>
              </c:numCache>
            </c:numRef>
          </c:val>
          <c:smooth val="0"/>
          <c:extLst>
            <c:ext xmlns:c16="http://schemas.microsoft.com/office/drawing/2014/chart" uri="{C3380CC4-5D6E-409C-BE32-E72D297353CC}">
              <c16:uniqueId val="{00000000-ED78-4AB9-8393-21911CE3D536}"/>
            </c:ext>
          </c:extLst>
        </c:ser>
        <c:dLbls>
          <c:dLblPos val="t"/>
          <c:showLegendKey val="0"/>
          <c:showVal val="1"/>
          <c:showCatName val="0"/>
          <c:showSerName val="0"/>
          <c:showPercent val="0"/>
          <c:showBubbleSize val="0"/>
        </c:dLbls>
        <c:smooth val="0"/>
        <c:axId val="206690272"/>
        <c:axId val="206690832"/>
      </c:lineChart>
      <c:catAx>
        <c:axId val="20669027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cap="none" spc="0" normalizeH="0" baseline="0">
                <a:solidFill>
                  <a:schemeClr val="tx1">
                    <a:lumMod val="65000"/>
                    <a:lumOff val="35000"/>
                  </a:schemeClr>
                </a:solidFill>
                <a:latin typeface="+mn-lt"/>
                <a:ea typeface="+mn-ea"/>
                <a:cs typeface="+mn-cs"/>
              </a:defRPr>
            </a:pPr>
            <a:endParaRPr lang="es-CO"/>
          </a:p>
        </c:txPr>
        <c:crossAx val="206690832"/>
        <c:crosses val="autoZero"/>
        <c:auto val="1"/>
        <c:lblAlgn val="ctr"/>
        <c:lblOffset val="100"/>
        <c:noMultiLvlLbl val="0"/>
      </c:catAx>
      <c:valAx>
        <c:axId val="206690832"/>
        <c:scaling>
          <c:orientation val="minMax"/>
        </c:scaling>
        <c:delete val="0"/>
        <c:axPos val="l"/>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s-CO"/>
          </a:p>
        </c:txPr>
        <c:crossAx val="206690272"/>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2000" b="0" i="0" u="none" strike="noStrike" kern="1200" cap="none" spc="0" normalizeH="0" baseline="0">
              <a:solidFill>
                <a:schemeClr val="tx1">
                  <a:lumMod val="65000"/>
                  <a:lumOff val="35000"/>
                </a:schemeClr>
              </a:solidFill>
              <a:latin typeface="+mj-lt"/>
              <a:ea typeface="+mj-ea"/>
              <a:cs typeface="+mj-cs"/>
            </a:defRPr>
          </a:pPr>
          <a:endParaRPr lang="es-CO"/>
        </a:p>
      </c:txPr>
    </c:title>
    <c:autoTitleDeleted val="0"/>
    <c:plotArea>
      <c:layout/>
      <c:lineChart>
        <c:grouping val="standard"/>
        <c:varyColors val="0"/>
        <c:ser>
          <c:idx val="0"/>
          <c:order val="0"/>
          <c:tx>
            <c:strRef>
              <c:f>'PALANCA DE CRECIMIENTO'!$B$11</c:f>
              <c:strCache>
                <c:ptCount val="1"/>
                <c:pt idx="0">
                  <c:v>Poductividad del Capital de Trabajo PKT</c:v>
                </c:pt>
              </c:strCache>
            </c:strRef>
          </c:tx>
          <c:spPr>
            <a:ln w="38100" cap="rnd">
              <a:solidFill>
                <a:schemeClr val="accent1"/>
              </a:solidFill>
              <a:round/>
            </a:ln>
            <a:effectLst/>
          </c:spPr>
          <c:marker>
            <c:symbol val="none"/>
          </c:marker>
          <c:dLbls>
            <c:dLbl>
              <c:idx val="2"/>
              <c:layout>
                <c:manualLayout>
                  <c:x val="-7.1239414736318021E-2"/>
                  <c:y val="7.2879391774753333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9940-43C6-95B4-4D33D4AFAE61}"/>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'PALANCA DE CRECIMIENTO'!$C$7:$F$7</c:f>
              <c:strCache>
                <c:ptCount val="4"/>
                <c:pt idx="0">
                  <c:v>2017</c:v>
                </c:pt>
                <c:pt idx="1">
                  <c:v>2016</c:v>
                </c:pt>
                <c:pt idx="2">
                  <c:v>2015</c:v>
                </c:pt>
                <c:pt idx="3">
                  <c:v>2014</c:v>
                </c:pt>
              </c:strCache>
            </c:strRef>
          </c:cat>
          <c:val>
            <c:numRef>
              <c:f>'PALANCA DE CRECIMIENTO'!$C$11:$F$11</c:f>
              <c:numCache>
                <c:formatCode>0.00%</c:formatCode>
                <c:ptCount val="4"/>
                <c:pt idx="0">
                  <c:v>8.186508924359244E-2</c:v>
                </c:pt>
                <c:pt idx="1">
                  <c:v>3.3451166213733965E-2</c:v>
                </c:pt>
                <c:pt idx="2">
                  <c:v>-0.17431757820899513</c:v>
                </c:pt>
                <c:pt idx="3">
                  <c:v>0.6996611810261375</c:v>
                </c:pt>
              </c:numCache>
            </c:numRef>
          </c:val>
          <c:smooth val="0"/>
          <c:extLst>
            <c:ext xmlns:c16="http://schemas.microsoft.com/office/drawing/2014/chart" uri="{C3380CC4-5D6E-409C-BE32-E72D297353CC}">
              <c16:uniqueId val="{00000001-9940-43C6-95B4-4D33D4AFAE61}"/>
            </c:ext>
          </c:extLst>
        </c:ser>
        <c:dLbls>
          <c:dLblPos val="t"/>
          <c:showLegendKey val="0"/>
          <c:showVal val="1"/>
          <c:showCatName val="0"/>
          <c:showSerName val="0"/>
          <c:showPercent val="0"/>
          <c:showBubbleSize val="0"/>
        </c:dLbls>
        <c:smooth val="0"/>
        <c:axId val="206693072"/>
        <c:axId val="206693632"/>
      </c:lineChart>
      <c:catAx>
        <c:axId val="20669307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1" i="0" u="none" strike="noStrike" kern="1200" cap="none" spc="0" normalizeH="0" baseline="0">
                <a:solidFill>
                  <a:schemeClr val="tx1">
                    <a:lumMod val="65000"/>
                    <a:lumOff val="35000"/>
                  </a:schemeClr>
                </a:solidFill>
                <a:latin typeface="+mn-lt"/>
                <a:ea typeface="+mn-ea"/>
                <a:cs typeface="+mn-cs"/>
              </a:defRPr>
            </a:pPr>
            <a:endParaRPr lang="es-CO"/>
          </a:p>
        </c:txPr>
        <c:crossAx val="206693632"/>
        <c:crosses val="autoZero"/>
        <c:auto val="1"/>
        <c:lblAlgn val="ctr"/>
        <c:lblOffset val="100"/>
        <c:noMultiLvlLbl val="0"/>
      </c:catAx>
      <c:valAx>
        <c:axId val="206693632"/>
        <c:scaling>
          <c:orientation val="minMax"/>
        </c:scaling>
        <c:delete val="0"/>
        <c:axPos val="l"/>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s-CO"/>
          </a:p>
        </c:txPr>
        <c:crossAx val="206693072"/>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2000" b="0" i="0" u="none" strike="noStrike" kern="1200" cap="none" spc="0" normalizeH="0" baseline="0">
              <a:solidFill>
                <a:schemeClr val="tx1">
                  <a:lumMod val="65000"/>
                  <a:lumOff val="35000"/>
                </a:schemeClr>
              </a:solidFill>
              <a:latin typeface="+mj-lt"/>
              <a:ea typeface="+mj-ea"/>
              <a:cs typeface="+mj-cs"/>
            </a:defRPr>
          </a:pPr>
          <a:endParaRPr lang="es-CO"/>
        </a:p>
      </c:txPr>
    </c:title>
    <c:autoTitleDeleted val="0"/>
    <c:plotArea>
      <c:layout/>
      <c:lineChart>
        <c:grouping val="standard"/>
        <c:varyColors val="0"/>
        <c:ser>
          <c:idx val="0"/>
          <c:order val="0"/>
          <c:tx>
            <c:strRef>
              <c:f>'PALANCA DE CRECIMIENTO'!$B$13</c:f>
              <c:strCache>
                <c:ptCount val="1"/>
                <c:pt idx="0">
                  <c:v>Palanca de Crecimiento PDC</c:v>
                </c:pt>
              </c:strCache>
            </c:strRef>
          </c:tx>
          <c:spPr>
            <a:ln w="38100" cap="rnd">
              <a:solidFill>
                <a:schemeClr val="accent1"/>
              </a:solidFill>
              <a:round/>
            </a:ln>
            <a:effectLst/>
          </c:spPr>
          <c:marker>
            <c:symbol val="none"/>
          </c:marker>
          <c:dLbls>
            <c:dLbl>
              <c:idx val="2"/>
              <c:layout>
                <c:manualLayout>
                  <c:x val="-4.3999999999999997E-2"/>
                  <c:y val="2.5497594050743658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08FC-46DF-B1FA-264964266649}"/>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'PALANCA DE CRECIMIENTO'!$C$7:$F$7</c:f>
              <c:strCache>
                <c:ptCount val="4"/>
                <c:pt idx="0">
                  <c:v>2017</c:v>
                </c:pt>
                <c:pt idx="1">
                  <c:v>2016</c:v>
                </c:pt>
                <c:pt idx="2">
                  <c:v>2015</c:v>
                </c:pt>
                <c:pt idx="3">
                  <c:v>2014</c:v>
                </c:pt>
              </c:strCache>
            </c:strRef>
          </c:cat>
          <c:val>
            <c:numRef>
              <c:f>'PALANCA DE CRECIMIENTO'!$C$13:$F$13</c:f>
              <c:numCache>
                <c:formatCode>_(* #,##0.00_);_(* \(#,##0.00\);_(* "-"??_);_(@_)</c:formatCode>
                <c:ptCount val="4"/>
                <c:pt idx="0">
                  <c:v>2.2168989824885967</c:v>
                </c:pt>
                <c:pt idx="1">
                  <c:v>3.2054010188900408</c:v>
                </c:pt>
                <c:pt idx="2">
                  <c:v>-1.146541090181697</c:v>
                </c:pt>
                <c:pt idx="3">
                  <c:v>0.18849302432837542</c:v>
                </c:pt>
              </c:numCache>
            </c:numRef>
          </c:val>
          <c:smooth val="0"/>
          <c:extLst>
            <c:ext xmlns:c16="http://schemas.microsoft.com/office/drawing/2014/chart" uri="{C3380CC4-5D6E-409C-BE32-E72D297353CC}">
              <c16:uniqueId val="{00000001-08FC-46DF-B1FA-264964266649}"/>
            </c:ext>
          </c:extLst>
        </c:ser>
        <c:dLbls>
          <c:dLblPos val="t"/>
          <c:showLegendKey val="0"/>
          <c:showVal val="1"/>
          <c:showCatName val="0"/>
          <c:showSerName val="0"/>
          <c:showPercent val="0"/>
          <c:showBubbleSize val="0"/>
        </c:dLbls>
        <c:smooth val="0"/>
        <c:axId val="235558944"/>
        <c:axId val="235559504"/>
      </c:lineChart>
      <c:catAx>
        <c:axId val="23555894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1" i="0" u="none" strike="noStrike" kern="1200" cap="none" spc="0" normalizeH="0" baseline="0">
                <a:solidFill>
                  <a:schemeClr val="tx1">
                    <a:lumMod val="65000"/>
                    <a:lumOff val="35000"/>
                  </a:schemeClr>
                </a:solidFill>
                <a:latin typeface="+mn-lt"/>
                <a:ea typeface="+mn-ea"/>
                <a:cs typeface="+mn-cs"/>
              </a:defRPr>
            </a:pPr>
            <a:endParaRPr lang="es-CO"/>
          </a:p>
        </c:txPr>
        <c:crossAx val="235559504"/>
        <c:crosses val="autoZero"/>
        <c:auto val="1"/>
        <c:lblAlgn val="ctr"/>
        <c:lblOffset val="100"/>
        <c:noMultiLvlLbl val="0"/>
      </c:catAx>
      <c:valAx>
        <c:axId val="235559504"/>
        <c:scaling>
          <c:orientation val="minMax"/>
        </c:scaling>
        <c:delete val="0"/>
        <c:axPos val="l"/>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numFmt formatCode="_(* #,##0.00_);_(* \(#,##0.00\);_(*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s-CO"/>
          </a:p>
        </c:txPr>
        <c:crossAx val="235558944"/>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2000" b="0" i="0" u="none" strike="noStrike" kern="1200" cap="none" spc="0" normalizeH="0" baseline="0">
              <a:solidFill>
                <a:schemeClr val="tx1">
                  <a:lumMod val="65000"/>
                  <a:lumOff val="35000"/>
                </a:schemeClr>
              </a:solidFill>
              <a:latin typeface="+mj-lt"/>
              <a:ea typeface="+mj-ea"/>
              <a:cs typeface="+mj-cs"/>
            </a:defRPr>
          </a:pPr>
          <a:endParaRPr lang="es-CO"/>
        </a:p>
      </c:txPr>
    </c:title>
    <c:autoTitleDeleted val="0"/>
    <c:plotArea>
      <c:layout/>
      <c:lineChart>
        <c:grouping val="standard"/>
        <c:varyColors val="0"/>
        <c:ser>
          <c:idx val="0"/>
          <c:order val="0"/>
          <c:tx>
            <c:strRef>
              <c:f>'PALANCA DE CRECIMIENTO'!$B$15</c:f>
              <c:strCache>
                <c:ptCount val="1"/>
                <c:pt idx="0">
                  <c:v>Brecha o Remanente</c:v>
                </c:pt>
              </c:strCache>
            </c:strRef>
          </c:tx>
          <c:spPr>
            <a:ln w="38100" cap="rnd">
              <a:solidFill>
                <a:schemeClr val="accent1"/>
              </a:solidFill>
              <a:round/>
            </a:ln>
            <a:effectLst/>
          </c:spPr>
          <c:marker>
            <c:symbol val="none"/>
          </c:marker>
          <c:dLbls>
            <c:spPr>
              <a:noFill/>
              <a:ln>
                <a:noFill/>
              </a:ln>
              <a:effectLst/>
            </c:spPr>
            <c:txPr>
              <a:bodyPr rot="0" spcFirstLastPara="1" vertOverflow="ellipsis" vert="horz" wrap="square" anchor="ctr" anchorCtr="1"/>
              <a:lstStyle/>
              <a:p>
                <a:pPr>
                  <a:defRPr sz="900" b="1" i="0" u="none" strike="noStrike" kern="1200" baseline="0">
                    <a:solidFill>
                      <a:schemeClr val="tx1">
                        <a:lumMod val="75000"/>
                        <a:lumOff val="25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'PALANCA DE CRECIMIENTO'!$C$7:$F$7</c:f>
              <c:strCache>
                <c:ptCount val="4"/>
                <c:pt idx="0">
                  <c:v>2017</c:v>
                </c:pt>
                <c:pt idx="1">
                  <c:v>2016</c:v>
                </c:pt>
                <c:pt idx="2">
                  <c:v>2015</c:v>
                </c:pt>
                <c:pt idx="3">
                  <c:v>2014</c:v>
                </c:pt>
              </c:strCache>
            </c:strRef>
          </c:cat>
          <c:val>
            <c:numRef>
              <c:f>'PALANCA DE CRECIMIENTO'!$C$15:$F$15</c:f>
              <c:numCache>
                <c:formatCode>0.00%</c:formatCode>
                <c:ptCount val="4"/>
                <c:pt idx="0">
                  <c:v>9.9621543801865817E-2</c:v>
                </c:pt>
                <c:pt idx="1">
                  <c:v>7.3773236050829E-2</c:v>
                </c:pt>
                <c:pt idx="2">
                  <c:v>0.37417984436656959</c:v>
                </c:pt>
                <c:pt idx="3">
                  <c:v>-0.56777992900935792</c:v>
                </c:pt>
              </c:numCache>
            </c:numRef>
          </c:val>
          <c:smooth val="0"/>
          <c:extLst>
            <c:ext xmlns:c16="http://schemas.microsoft.com/office/drawing/2014/chart" uri="{C3380CC4-5D6E-409C-BE32-E72D297353CC}">
              <c16:uniqueId val="{00000000-0BAB-4318-84A8-657AAC66CBE2}"/>
            </c:ext>
          </c:extLst>
        </c:ser>
        <c:dLbls>
          <c:dLblPos val="t"/>
          <c:showLegendKey val="0"/>
          <c:showVal val="1"/>
          <c:showCatName val="0"/>
          <c:showSerName val="0"/>
          <c:showPercent val="0"/>
          <c:showBubbleSize val="0"/>
        </c:dLbls>
        <c:smooth val="0"/>
        <c:axId val="235561744"/>
        <c:axId val="235562304"/>
      </c:lineChart>
      <c:catAx>
        <c:axId val="23556174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1" i="0" u="none" strike="noStrike" kern="1200" cap="none" spc="0" normalizeH="0" baseline="0">
                <a:solidFill>
                  <a:schemeClr val="tx1">
                    <a:lumMod val="65000"/>
                    <a:lumOff val="35000"/>
                  </a:schemeClr>
                </a:solidFill>
                <a:latin typeface="+mn-lt"/>
                <a:ea typeface="+mn-ea"/>
                <a:cs typeface="+mn-cs"/>
              </a:defRPr>
            </a:pPr>
            <a:endParaRPr lang="es-CO"/>
          </a:p>
        </c:txPr>
        <c:crossAx val="235562304"/>
        <c:crosses val="autoZero"/>
        <c:auto val="1"/>
        <c:lblAlgn val="ctr"/>
        <c:lblOffset val="100"/>
        <c:noMultiLvlLbl val="0"/>
      </c:catAx>
      <c:valAx>
        <c:axId val="235562304"/>
        <c:scaling>
          <c:orientation val="minMax"/>
        </c:scaling>
        <c:delete val="0"/>
        <c:axPos val="l"/>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endParaRPr lang="es-CO"/>
          </a:p>
        </c:txPr>
        <c:crossAx val="235561744"/>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b="1"/>
      </a:pPr>
      <a:endParaRPr lang="es-CO"/>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600" b="1" i="0" u="none" strike="noStrike" kern="1200" baseline="0">
              <a:solidFill>
                <a:schemeClr val="tx1">
                  <a:lumMod val="65000"/>
                  <a:lumOff val="35000"/>
                </a:schemeClr>
              </a:solidFill>
              <a:latin typeface="+mn-lt"/>
              <a:ea typeface="+mn-ea"/>
              <a:cs typeface="+mn-cs"/>
            </a:defRPr>
          </a:pPr>
          <a:endParaRPr lang="es-CO"/>
        </a:p>
      </c:txPr>
    </c:title>
    <c:autoTitleDeleted val="0"/>
    <c:view3D>
      <c:rotX val="15"/>
      <c:rotY val="20"/>
      <c:depthPercent val="100"/>
      <c:rAngAx val="1"/>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bar3DChart>
        <c:barDir val="col"/>
        <c:grouping val="clustered"/>
        <c:varyColors val="0"/>
        <c:ser>
          <c:idx val="0"/>
          <c:order val="0"/>
          <c:tx>
            <c:strRef>
              <c:f>'CICLO DE CAJA '!$B$9</c:f>
              <c:strCache>
                <c:ptCount val="1"/>
                <c:pt idx="0">
                  <c:v>DIAS DE CUENTAS POR COBRAR</c:v>
                </c:pt>
              </c:strCache>
            </c:strRef>
          </c:tx>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'CICLO DE CAJA '!$C$7:$F$7</c:f>
              <c:strCache>
                <c:ptCount val="4"/>
                <c:pt idx="0">
                  <c:v>2017</c:v>
                </c:pt>
                <c:pt idx="1">
                  <c:v>2016</c:v>
                </c:pt>
                <c:pt idx="2">
                  <c:v>2015</c:v>
                </c:pt>
                <c:pt idx="3">
                  <c:v>2014</c:v>
                </c:pt>
              </c:strCache>
            </c:strRef>
          </c:cat>
          <c:val>
            <c:numRef>
              <c:f>'CICLO DE CAJA '!$C$9:$F$9</c:f>
              <c:numCache>
                <c:formatCode>_ * #,##0_ ;_ * \-#,##0_ ;_ * "-"??_ ;_ @_ </c:formatCode>
                <c:ptCount val="4"/>
                <c:pt idx="0">
                  <c:v>40.961259748941544</c:v>
                </c:pt>
                <c:pt idx="1">
                  <c:v>51.873163226723335</c:v>
                </c:pt>
                <c:pt idx="2">
                  <c:v>85.432135542729469</c:v>
                </c:pt>
                <c:pt idx="3" formatCode="_-* #,##0_-;\-* #,##0_-;_-* &quot;-&quot;??_-;_-@_-">
                  <c:v>70.874785591766724</c:v>
                </c:pt>
              </c:numCache>
            </c:numRef>
          </c:val>
          <c:extLst>
            <c:ext xmlns:c16="http://schemas.microsoft.com/office/drawing/2014/chart" uri="{C3380CC4-5D6E-409C-BE32-E72D297353CC}">
              <c16:uniqueId val="{00000000-C381-4194-826E-5156F9337C50}"/>
            </c:ext>
          </c:extLst>
        </c:ser>
        <c:dLbls>
          <c:showLegendKey val="0"/>
          <c:showVal val="1"/>
          <c:showCatName val="0"/>
          <c:showSerName val="0"/>
          <c:showPercent val="0"/>
          <c:showBubbleSize val="0"/>
        </c:dLbls>
        <c:gapWidth val="150"/>
        <c:shape val="box"/>
        <c:axId val="235564544"/>
        <c:axId val="235565104"/>
        <c:axId val="0"/>
      </c:bar3DChart>
      <c:catAx>
        <c:axId val="235564544"/>
        <c:scaling>
          <c:orientation val="minMax"/>
        </c:scaling>
        <c:delete val="0"/>
        <c:axPos val="b"/>
        <c:numFmt formatCode="General" sourceLinked="1"/>
        <c:majorTickMark val="none"/>
        <c:minorTickMark val="none"/>
        <c:tickLblPos val="nextTo"/>
        <c:spPr>
          <a:noFill/>
          <a:ln w="12700"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35565104"/>
        <c:crosses val="autoZero"/>
        <c:auto val="1"/>
        <c:lblAlgn val="ctr"/>
        <c:lblOffset val="100"/>
        <c:noMultiLvlLbl val="0"/>
      </c:catAx>
      <c:valAx>
        <c:axId val="235565104"/>
        <c:scaling>
          <c:orientation val="minMax"/>
        </c:scaling>
        <c:delete val="0"/>
        <c:axPos val="l"/>
        <c:majorGridlines>
          <c:spPr>
            <a:ln w="9525" cap="flat" cmpd="sng" algn="ctr">
              <a:solidFill>
                <a:schemeClr val="tx1">
                  <a:lumMod val="15000"/>
                  <a:lumOff val="85000"/>
                </a:schemeClr>
              </a:solidFill>
              <a:round/>
            </a:ln>
            <a:effectLst/>
          </c:spPr>
        </c:majorGridlines>
        <c:numFmt formatCode="_ * #,##0_ ;_ * \-#,##0_ ;_ * &quot;-&quot;??_ ;_ @_ "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35564544"/>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5"/>
    </mc:Choice>
    <mc:Fallback>
      <c:style val="5"/>
    </mc:Fallback>
  </mc:AlternateContent>
  <c:chart>
    <c:title>
      <c:overlay val="0"/>
      <c:spPr>
        <a:noFill/>
        <a:ln>
          <a:noFill/>
        </a:ln>
        <a:effectLst/>
      </c:spPr>
      <c:txPr>
        <a:bodyPr rot="0" spcFirstLastPara="1" vertOverflow="ellipsis" vert="horz" wrap="square" anchor="ctr" anchorCtr="1"/>
        <a:lstStyle/>
        <a:p>
          <a:pPr>
            <a:defRPr sz="1600" b="1" i="0" u="none" strike="noStrike" kern="1200" baseline="0">
              <a:solidFill>
                <a:schemeClr val="tx1">
                  <a:lumMod val="65000"/>
                  <a:lumOff val="35000"/>
                </a:schemeClr>
              </a:solidFill>
              <a:latin typeface="+mn-lt"/>
              <a:ea typeface="+mn-ea"/>
              <a:cs typeface="+mn-cs"/>
            </a:defRPr>
          </a:pPr>
          <a:endParaRPr lang="es-CO"/>
        </a:p>
      </c:txPr>
    </c:title>
    <c:autoTitleDeleted val="0"/>
    <c:view3D>
      <c:rotX val="15"/>
      <c:rotY val="20"/>
      <c:depthPercent val="100"/>
      <c:rAngAx val="1"/>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bar3DChart>
        <c:barDir val="col"/>
        <c:grouping val="clustered"/>
        <c:varyColors val="0"/>
        <c:ser>
          <c:idx val="0"/>
          <c:order val="0"/>
          <c:tx>
            <c:strRef>
              <c:f>'CICLO DE CAJA '!$B$11</c:f>
              <c:strCache>
                <c:ptCount val="1"/>
                <c:pt idx="0">
                  <c:v>TOTAL CICLO DE LIQUIDEZ</c:v>
                </c:pt>
              </c:strCache>
            </c:strRef>
          </c:tx>
          <c:spPr>
            <a:gradFill rotWithShape="1">
              <a:gsLst>
                <a:gs pos="0">
                  <a:schemeClr val="accent3">
                    <a:shade val="51000"/>
                    <a:satMod val="130000"/>
                  </a:schemeClr>
                </a:gs>
                <a:gs pos="80000">
                  <a:schemeClr val="accent3">
                    <a:shade val="93000"/>
                    <a:satMod val="130000"/>
                  </a:schemeClr>
                </a:gs>
                <a:gs pos="100000">
                  <a:schemeClr val="accent3">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'CICLO DE CAJA '!$C$7:$F$7</c:f>
              <c:strCache>
                <c:ptCount val="4"/>
                <c:pt idx="0">
                  <c:v>2017</c:v>
                </c:pt>
                <c:pt idx="1">
                  <c:v>2016</c:v>
                </c:pt>
                <c:pt idx="2">
                  <c:v>2015</c:v>
                </c:pt>
                <c:pt idx="3">
                  <c:v>2014</c:v>
                </c:pt>
              </c:strCache>
            </c:strRef>
          </c:cat>
          <c:val>
            <c:numRef>
              <c:f>'CICLO DE CAJA '!$C$11:$F$11</c:f>
              <c:numCache>
                <c:formatCode>_ * #,##0_ ;_ * \-#,##0_ ;_ * "-"??_ ;_ @_ </c:formatCode>
                <c:ptCount val="4"/>
                <c:pt idx="0">
                  <c:v>40.961259748941544</c:v>
                </c:pt>
                <c:pt idx="1">
                  <c:v>51.873163226723335</c:v>
                </c:pt>
                <c:pt idx="2">
                  <c:v>85.432135542729469</c:v>
                </c:pt>
                <c:pt idx="3">
                  <c:v>70.874785591766724</c:v>
                </c:pt>
              </c:numCache>
            </c:numRef>
          </c:val>
          <c:extLst>
            <c:ext xmlns:c16="http://schemas.microsoft.com/office/drawing/2014/chart" uri="{C3380CC4-5D6E-409C-BE32-E72D297353CC}">
              <c16:uniqueId val="{00000000-1083-4854-B5F3-2062F88E86B7}"/>
            </c:ext>
          </c:extLst>
        </c:ser>
        <c:dLbls>
          <c:showLegendKey val="0"/>
          <c:showVal val="1"/>
          <c:showCatName val="0"/>
          <c:showSerName val="0"/>
          <c:showPercent val="0"/>
          <c:showBubbleSize val="0"/>
        </c:dLbls>
        <c:gapWidth val="150"/>
        <c:shape val="box"/>
        <c:axId val="236197440"/>
        <c:axId val="236198000"/>
        <c:axId val="0"/>
      </c:bar3DChart>
      <c:catAx>
        <c:axId val="236197440"/>
        <c:scaling>
          <c:orientation val="minMax"/>
        </c:scaling>
        <c:delete val="0"/>
        <c:axPos val="b"/>
        <c:numFmt formatCode="General" sourceLinked="1"/>
        <c:majorTickMark val="none"/>
        <c:minorTickMark val="none"/>
        <c:tickLblPos val="nextTo"/>
        <c:spPr>
          <a:noFill/>
          <a:ln w="12700"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36198000"/>
        <c:crosses val="autoZero"/>
        <c:auto val="1"/>
        <c:lblAlgn val="ctr"/>
        <c:lblOffset val="100"/>
        <c:noMultiLvlLbl val="0"/>
      </c:catAx>
      <c:valAx>
        <c:axId val="236198000"/>
        <c:scaling>
          <c:orientation val="minMax"/>
        </c:scaling>
        <c:delete val="0"/>
        <c:axPos val="l"/>
        <c:majorGridlines>
          <c:spPr>
            <a:ln w="9525" cap="flat" cmpd="sng" algn="ctr">
              <a:solidFill>
                <a:schemeClr val="tx1">
                  <a:lumMod val="15000"/>
                  <a:lumOff val="85000"/>
                </a:schemeClr>
              </a:solidFill>
              <a:round/>
            </a:ln>
            <a:effectLst/>
          </c:spPr>
        </c:majorGridlines>
        <c:numFmt formatCode="_ * #,##0_ ;_ * \-#,##0_ ;_ * &quot;-&quot;??_ ;_ @_ "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36197440"/>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6"/>
    </mc:Choice>
    <mc:Fallback>
      <c:style val="6"/>
    </mc:Fallback>
  </mc:AlternateContent>
  <c:chart>
    <c:title>
      <c:overlay val="0"/>
      <c:spPr>
        <a:noFill/>
        <a:ln>
          <a:noFill/>
        </a:ln>
        <a:effectLst/>
      </c:spPr>
      <c:txPr>
        <a:bodyPr rot="0" spcFirstLastPara="1" vertOverflow="ellipsis" vert="horz" wrap="square" anchor="ctr" anchorCtr="1"/>
        <a:lstStyle/>
        <a:p>
          <a:pPr>
            <a:defRPr sz="1600" b="1" i="0" u="none" strike="noStrike" kern="1200" baseline="0">
              <a:solidFill>
                <a:schemeClr val="tx1">
                  <a:lumMod val="65000"/>
                  <a:lumOff val="35000"/>
                </a:schemeClr>
              </a:solidFill>
              <a:latin typeface="+mn-lt"/>
              <a:ea typeface="+mn-ea"/>
              <a:cs typeface="+mn-cs"/>
            </a:defRPr>
          </a:pPr>
          <a:endParaRPr lang="es-CO"/>
        </a:p>
      </c:txPr>
    </c:title>
    <c:autoTitleDeleted val="0"/>
    <c:view3D>
      <c:rotX val="15"/>
      <c:rotY val="20"/>
      <c:depthPercent val="100"/>
      <c:rAngAx val="1"/>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bar3DChart>
        <c:barDir val="col"/>
        <c:grouping val="clustered"/>
        <c:varyColors val="0"/>
        <c:ser>
          <c:idx val="0"/>
          <c:order val="0"/>
          <c:tx>
            <c:strRef>
              <c:f>'CICLO DE CAJA '!$B$13</c:f>
              <c:strCache>
                <c:ptCount val="1"/>
                <c:pt idx="0">
                  <c:v>DIAS DE PAGO A PROVEEDORES</c:v>
                </c:pt>
              </c:strCache>
            </c:strRef>
          </c:tx>
          <c:spPr>
            <a:gradFill rotWithShape="1">
              <a:gsLst>
                <a:gs pos="0">
                  <a:schemeClr val="accent4">
                    <a:shade val="51000"/>
                    <a:satMod val="130000"/>
                  </a:schemeClr>
                </a:gs>
                <a:gs pos="80000">
                  <a:schemeClr val="accent4">
                    <a:shade val="93000"/>
                    <a:satMod val="130000"/>
                  </a:schemeClr>
                </a:gs>
                <a:gs pos="100000">
                  <a:schemeClr val="accent4">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'CICLO DE CAJA '!$C$7:$F$7</c:f>
              <c:strCache>
                <c:ptCount val="4"/>
                <c:pt idx="0">
                  <c:v>2017</c:v>
                </c:pt>
                <c:pt idx="1">
                  <c:v>2016</c:v>
                </c:pt>
                <c:pt idx="2">
                  <c:v>2015</c:v>
                </c:pt>
                <c:pt idx="3">
                  <c:v>2014</c:v>
                </c:pt>
              </c:strCache>
            </c:strRef>
          </c:cat>
          <c:val>
            <c:numRef>
              <c:f>'CICLO DE CAJA '!$C$13:$F$13</c:f>
              <c:numCache>
                <c:formatCode>_ * #,##0_ ;_ * \-#,##0_ ;_ * "-"??_ ;_ @_ </c:formatCode>
                <c:ptCount val="4"/>
                <c:pt idx="0">
                  <c:v>75.684918765954919</c:v>
                </c:pt>
                <c:pt idx="1">
                  <c:v>70.300357296485856</c:v>
                </c:pt>
                <c:pt idx="2">
                  <c:v>153.94150057316125</c:v>
                </c:pt>
                <c:pt idx="3">
                  <c:v>206.33198380566802</c:v>
                </c:pt>
              </c:numCache>
            </c:numRef>
          </c:val>
          <c:extLst>
            <c:ext xmlns:c16="http://schemas.microsoft.com/office/drawing/2014/chart" uri="{C3380CC4-5D6E-409C-BE32-E72D297353CC}">
              <c16:uniqueId val="{00000000-972E-4305-9C81-0D6D56CACED7}"/>
            </c:ext>
          </c:extLst>
        </c:ser>
        <c:dLbls>
          <c:showLegendKey val="0"/>
          <c:showVal val="1"/>
          <c:showCatName val="0"/>
          <c:showSerName val="0"/>
          <c:showPercent val="0"/>
          <c:showBubbleSize val="0"/>
        </c:dLbls>
        <c:gapWidth val="150"/>
        <c:shape val="box"/>
        <c:axId val="236200240"/>
        <c:axId val="236200800"/>
        <c:axId val="0"/>
      </c:bar3DChart>
      <c:catAx>
        <c:axId val="236200240"/>
        <c:scaling>
          <c:orientation val="minMax"/>
        </c:scaling>
        <c:delete val="0"/>
        <c:axPos val="b"/>
        <c:numFmt formatCode="General" sourceLinked="1"/>
        <c:majorTickMark val="none"/>
        <c:minorTickMark val="none"/>
        <c:tickLblPos val="nextTo"/>
        <c:spPr>
          <a:noFill/>
          <a:ln w="12700"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36200800"/>
        <c:crosses val="autoZero"/>
        <c:auto val="1"/>
        <c:lblAlgn val="ctr"/>
        <c:lblOffset val="100"/>
        <c:noMultiLvlLbl val="0"/>
      </c:catAx>
      <c:valAx>
        <c:axId val="236200800"/>
        <c:scaling>
          <c:orientation val="minMax"/>
        </c:scaling>
        <c:delete val="0"/>
        <c:axPos val="l"/>
        <c:majorGridlines>
          <c:spPr>
            <a:ln w="9525" cap="flat" cmpd="sng" algn="ctr">
              <a:solidFill>
                <a:schemeClr val="tx1">
                  <a:lumMod val="15000"/>
                  <a:lumOff val="85000"/>
                </a:schemeClr>
              </a:solidFill>
              <a:round/>
            </a:ln>
            <a:effectLst/>
          </c:spPr>
        </c:majorGridlines>
        <c:numFmt formatCode="_ * #,##0_ ;_ * \-#,##0_ ;_ * &quot;-&quot;??_ ;_ @_ "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36200240"/>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600" b="1" i="0" u="none" strike="noStrike" kern="1200" baseline="0">
              <a:solidFill>
                <a:schemeClr val="tx1">
                  <a:lumMod val="65000"/>
                  <a:lumOff val="35000"/>
                </a:schemeClr>
              </a:solidFill>
              <a:latin typeface="+mn-lt"/>
              <a:ea typeface="+mn-ea"/>
              <a:cs typeface="+mn-cs"/>
            </a:defRPr>
          </a:pPr>
          <a:endParaRPr lang="es-CO"/>
        </a:p>
      </c:txPr>
    </c:title>
    <c:autoTitleDeleted val="0"/>
    <c:view3D>
      <c:rotX val="15"/>
      <c:rotY val="20"/>
      <c:depthPercent val="100"/>
      <c:rAngAx val="1"/>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bar3DChart>
        <c:barDir val="col"/>
        <c:grouping val="clustered"/>
        <c:varyColors val="0"/>
        <c:ser>
          <c:idx val="0"/>
          <c:order val="0"/>
          <c:tx>
            <c:strRef>
              <c:f>'CICLO DE CAJA '!$B$15</c:f>
              <c:strCache>
                <c:ptCount val="1"/>
                <c:pt idx="0">
                  <c:v>TOTAL CICLO DE CAJA</c:v>
                </c:pt>
              </c:strCache>
            </c:strRef>
          </c:tx>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cat>
            <c:strRef>
              <c:f>'CICLO DE CAJA '!$C$7:$F$7</c:f>
              <c:strCache>
                <c:ptCount val="4"/>
                <c:pt idx="0">
                  <c:v>2017</c:v>
                </c:pt>
                <c:pt idx="1">
                  <c:v>2016</c:v>
                </c:pt>
                <c:pt idx="2">
                  <c:v>2015</c:v>
                </c:pt>
                <c:pt idx="3">
                  <c:v>2014</c:v>
                </c:pt>
              </c:strCache>
            </c:strRef>
          </c:cat>
          <c:val>
            <c:numRef>
              <c:f>'CICLO DE CAJA '!$C$15:$F$15</c:f>
              <c:numCache>
                <c:formatCode>_ * #,##0_ ;_ * \-#,##0_ ;_ * "-"??_ ;_ @_ </c:formatCode>
                <c:ptCount val="4"/>
                <c:pt idx="0">
                  <c:v>-34.723659017013375</c:v>
                </c:pt>
                <c:pt idx="1">
                  <c:v>-18.427194069762521</c:v>
                </c:pt>
                <c:pt idx="2">
                  <c:v>-68.50936503043178</c:v>
                </c:pt>
                <c:pt idx="3">
                  <c:v>-135.45719821390128</c:v>
                </c:pt>
              </c:numCache>
            </c:numRef>
          </c:val>
          <c:extLst>
            <c:ext xmlns:c16="http://schemas.microsoft.com/office/drawing/2014/chart" uri="{C3380CC4-5D6E-409C-BE32-E72D297353CC}">
              <c16:uniqueId val="{00000000-2EBE-4A4F-9B36-97C4FC93EB00}"/>
            </c:ext>
          </c:extLst>
        </c:ser>
        <c:dLbls>
          <c:showLegendKey val="0"/>
          <c:showVal val="0"/>
          <c:showCatName val="0"/>
          <c:showSerName val="0"/>
          <c:showPercent val="0"/>
          <c:showBubbleSize val="0"/>
        </c:dLbls>
        <c:gapWidth val="150"/>
        <c:shape val="box"/>
        <c:axId val="236203040"/>
        <c:axId val="237154112"/>
        <c:axId val="0"/>
      </c:bar3DChart>
      <c:catAx>
        <c:axId val="236203040"/>
        <c:scaling>
          <c:orientation val="minMax"/>
        </c:scaling>
        <c:delete val="0"/>
        <c:axPos val="b"/>
        <c:numFmt formatCode="General" sourceLinked="1"/>
        <c:majorTickMark val="none"/>
        <c:minorTickMark val="none"/>
        <c:tickLblPos val="nextTo"/>
        <c:spPr>
          <a:noFill/>
          <a:ln w="12700"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37154112"/>
        <c:crosses val="autoZero"/>
        <c:auto val="1"/>
        <c:lblAlgn val="ctr"/>
        <c:lblOffset val="100"/>
        <c:noMultiLvlLbl val="0"/>
      </c:catAx>
      <c:valAx>
        <c:axId val="237154112"/>
        <c:scaling>
          <c:orientation val="minMax"/>
        </c:scaling>
        <c:delete val="0"/>
        <c:axPos val="l"/>
        <c:majorGridlines>
          <c:spPr>
            <a:ln w="9525" cap="flat" cmpd="sng" algn="ctr">
              <a:solidFill>
                <a:schemeClr val="tx1">
                  <a:lumMod val="15000"/>
                  <a:lumOff val="85000"/>
                </a:schemeClr>
              </a:solidFill>
              <a:round/>
            </a:ln>
            <a:effectLst/>
          </c:spPr>
        </c:majorGridlines>
        <c:numFmt formatCode="_ * #,##0_ ;_ * \-#,##0_ ;_ * &quot;-&quot;??_ ;_ @_ "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36203040"/>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baseline="0">
                <a:solidFill>
                  <a:schemeClr val="tx1">
                    <a:lumMod val="65000"/>
                    <a:lumOff val="35000"/>
                  </a:schemeClr>
                </a:solidFill>
                <a:latin typeface="+mn-lt"/>
                <a:ea typeface="+mn-ea"/>
                <a:cs typeface="+mn-cs"/>
              </a:defRPr>
            </a:pPr>
            <a:r>
              <a:rPr lang="es-CO"/>
              <a:t>PRODUCTIVIDAD DEL CAPITAL DE TRABAJO NETO OPERATIVO KTNO/VENTAS</a:t>
            </a:r>
          </a:p>
        </c:rich>
      </c:tx>
      <c:overlay val="0"/>
      <c:spPr>
        <a:noFill/>
        <a:ln>
          <a:noFill/>
        </a:ln>
        <a:effectLst/>
      </c:spPr>
      <c:txPr>
        <a:bodyPr rot="0" spcFirstLastPara="1" vertOverflow="ellipsis" vert="horz" wrap="square" anchor="ctr" anchorCtr="1"/>
        <a:lstStyle/>
        <a:p>
          <a:pPr>
            <a:defRPr sz="1600" b="1" i="0" u="none" strike="noStrike" kern="1200" baseline="0">
              <a:solidFill>
                <a:schemeClr val="tx1">
                  <a:lumMod val="65000"/>
                  <a:lumOff val="35000"/>
                </a:schemeClr>
              </a:solidFill>
              <a:latin typeface="+mn-lt"/>
              <a:ea typeface="+mn-ea"/>
              <a:cs typeface="+mn-cs"/>
            </a:defRPr>
          </a:pPr>
          <a:endParaRPr lang="es-CO"/>
        </a:p>
      </c:txPr>
    </c:title>
    <c:autoTitleDeleted val="0"/>
    <c:view3D>
      <c:rotX val="15"/>
      <c:rotY val="20"/>
      <c:depthPercent val="100"/>
      <c:rAngAx val="1"/>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bar3DChart>
        <c:barDir val="bar"/>
        <c:grouping val="clustered"/>
        <c:varyColors val="0"/>
        <c:ser>
          <c:idx val="0"/>
          <c:order val="0"/>
          <c:tx>
            <c:strRef>
              <c:f>PKT!$C$7</c:f>
              <c:strCache>
                <c:ptCount val="1"/>
                <c:pt idx="0">
                  <c:v>2017</c:v>
                </c:pt>
              </c:strCache>
            </c:strRef>
          </c:tx>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dLbls>
            <c:dLbl>
              <c:idx val="0"/>
              <c:layout>
                <c:manualLayout>
                  <c:x val="1.0492567379219397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E301-4BB3-86F5-7B84E299A387}"/>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PKT!$C$19</c:f>
              <c:numCache>
                <c:formatCode>0.00%</c:formatCode>
                <c:ptCount val="1"/>
                <c:pt idx="0">
                  <c:v>8.186508924359244E-2</c:v>
                </c:pt>
              </c:numCache>
            </c:numRef>
          </c:val>
          <c:extLst>
            <c:ext xmlns:c16="http://schemas.microsoft.com/office/drawing/2014/chart" uri="{C3380CC4-5D6E-409C-BE32-E72D297353CC}">
              <c16:uniqueId val="{00000001-E301-4BB3-86F5-7B84E299A387}"/>
            </c:ext>
          </c:extLst>
        </c:ser>
        <c:ser>
          <c:idx val="1"/>
          <c:order val="1"/>
          <c:tx>
            <c:strRef>
              <c:f>PKT!$D$7</c:f>
              <c:strCache>
                <c:ptCount val="1"/>
                <c:pt idx="0">
                  <c:v>2016</c:v>
                </c:pt>
              </c:strCache>
            </c:strRef>
          </c:tx>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dLbls>
            <c:dLbl>
              <c:idx val="0"/>
              <c:layout>
                <c:manualLayout>
                  <c:x val="1.4689594330907193E-2"/>
                  <c:y val="-6.41205008379924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E301-4BB3-86F5-7B84E299A387}"/>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PKT!$D$19</c:f>
              <c:numCache>
                <c:formatCode>0.00%</c:formatCode>
                <c:ptCount val="1"/>
                <c:pt idx="0">
                  <c:v>3.3451166213733965E-2</c:v>
                </c:pt>
              </c:numCache>
            </c:numRef>
          </c:val>
          <c:extLst>
            <c:ext xmlns:c16="http://schemas.microsoft.com/office/drawing/2014/chart" uri="{C3380CC4-5D6E-409C-BE32-E72D297353CC}">
              <c16:uniqueId val="{00000003-E301-4BB3-86F5-7B84E299A387}"/>
            </c:ext>
          </c:extLst>
        </c:ser>
        <c:ser>
          <c:idx val="2"/>
          <c:order val="2"/>
          <c:tx>
            <c:strRef>
              <c:f>PKT!$D$23</c:f>
              <c:strCache>
                <c:ptCount val="1"/>
                <c:pt idx="0">
                  <c:v>2015</c:v>
                </c:pt>
              </c:strCache>
            </c:strRef>
          </c:tx>
          <c:spPr>
            <a:gradFill rotWithShape="1">
              <a:gsLst>
                <a:gs pos="0">
                  <a:schemeClr val="accent3">
                    <a:shade val="51000"/>
                    <a:satMod val="130000"/>
                  </a:schemeClr>
                </a:gs>
                <a:gs pos="80000">
                  <a:schemeClr val="accent3">
                    <a:shade val="93000"/>
                    <a:satMod val="130000"/>
                  </a:schemeClr>
                </a:gs>
                <a:gs pos="100000">
                  <a:schemeClr val="accent3">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PKT!$D$35</c:f>
              <c:numCache>
                <c:formatCode>0.00%</c:formatCode>
                <c:ptCount val="1"/>
                <c:pt idx="0">
                  <c:v>-0.17431757820899513</c:v>
                </c:pt>
              </c:numCache>
            </c:numRef>
          </c:val>
          <c:extLst>
            <c:ext xmlns:c16="http://schemas.microsoft.com/office/drawing/2014/chart" uri="{C3380CC4-5D6E-409C-BE32-E72D297353CC}">
              <c16:uniqueId val="{00000004-E301-4BB3-86F5-7B84E299A387}"/>
            </c:ext>
          </c:extLst>
        </c:ser>
        <c:ser>
          <c:idx val="3"/>
          <c:order val="3"/>
          <c:tx>
            <c:strRef>
              <c:f>PKT!$D$38</c:f>
              <c:strCache>
                <c:ptCount val="1"/>
                <c:pt idx="0">
                  <c:v>2014</c:v>
                </c:pt>
              </c:strCache>
            </c:strRef>
          </c:tx>
          <c:spPr>
            <a:gradFill rotWithShape="1">
              <a:gsLst>
                <a:gs pos="0">
                  <a:schemeClr val="accent4">
                    <a:shade val="51000"/>
                    <a:satMod val="130000"/>
                  </a:schemeClr>
                </a:gs>
                <a:gs pos="80000">
                  <a:schemeClr val="accent4">
                    <a:shade val="93000"/>
                    <a:satMod val="130000"/>
                  </a:schemeClr>
                </a:gs>
                <a:gs pos="100000">
                  <a:schemeClr val="accent4">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dLbls>
            <c:dLbl>
              <c:idx val="0"/>
              <c:layout>
                <c:manualLayout>
                  <c:x val="1.9444444444444445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E301-4BB3-86F5-7B84E299A387}"/>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PKT!$D$50</c:f>
              <c:numCache>
                <c:formatCode>0.00%</c:formatCode>
                <c:ptCount val="1"/>
                <c:pt idx="0">
                  <c:v>0.6996611810261375</c:v>
                </c:pt>
              </c:numCache>
            </c:numRef>
          </c:val>
          <c:extLst>
            <c:ext xmlns:c16="http://schemas.microsoft.com/office/drawing/2014/chart" uri="{C3380CC4-5D6E-409C-BE32-E72D297353CC}">
              <c16:uniqueId val="{00000006-E301-4BB3-86F5-7B84E299A387}"/>
            </c:ext>
          </c:extLst>
        </c:ser>
        <c:dLbls>
          <c:showLegendKey val="0"/>
          <c:showVal val="1"/>
          <c:showCatName val="0"/>
          <c:showSerName val="0"/>
          <c:showPercent val="0"/>
          <c:showBubbleSize val="0"/>
        </c:dLbls>
        <c:gapWidth val="150"/>
        <c:shape val="box"/>
        <c:axId val="237158032"/>
        <c:axId val="237158592"/>
        <c:axId val="0"/>
      </c:bar3DChart>
      <c:catAx>
        <c:axId val="237158032"/>
        <c:scaling>
          <c:orientation val="minMax"/>
        </c:scaling>
        <c:delete val="1"/>
        <c:axPos val="l"/>
        <c:majorTickMark val="none"/>
        <c:minorTickMark val="none"/>
        <c:tickLblPos val="nextTo"/>
        <c:crossAx val="237158592"/>
        <c:crosses val="autoZero"/>
        <c:auto val="1"/>
        <c:lblAlgn val="ctr"/>
        <c:lblOffset val="100"/>
        <c:noMultiLvlLbl val="0"/>
      </c:catAx>
      <c:valAx>
        <c:axId val="237158592"/>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3715803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5"/>
    </mc:Choice>
    <mc:Fallback>
      <c:style val="5"/>
    </mc:Fallback>
  </mc:AlternateContent>
  <c:chart>
    <c:title>
      <c:overlay val="0"/>
      <c:spPr>
        <a:noFill/>
        <a:ln>
          <a:noFill/>
        </a:ln>
        <a:effectLst/>
      </c:spPr>
      <c:txPr>
        <a:bodyPr rot="0" spcFirstLastPara="1" vertOverflow="ellipsis" vert="horz" wrap="square" anchor="ctr" anchorCtr="1"/>
        <a:lstStyle/>
        <a:p>
          <a:pPr>
            <a:defRPr sz="2000" b="0" i="0" u="none" strike="noStrike" kern="1200" spc="0" baseline="0">
              <a:solidFill>
                <a:schemeClr val="tx1">
                  <a:lumMod val="65000"/>
                  <a:lumOff val="35000"/>
                </a:schemeClr>
              </a:solidFill>
              <a:latin typeface="+mn-lt"/>
              <a:ea typeface="+mn-ea"/>
              <a:cs typeface="+mn-cs"/>
            </a:defRPr>
          </a:pPr>
          <a:endParaRPr lang="es-CO"/>
        </a:p>
      </c:txPr>
    </c:title>
    <c:autoTitleDeleted val="0"/>
    <c:view3D>
      <c:rotX val="15"/>
      <c:rotY val="20"/>
      <c:rAngAx val="0"/>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line3DChart>
        <c:grouping val="standard"/>
        <c:varyColors val="0"/>
        <c:ser>
          <c:idx val="0"/>
          <c:order val="0"/>
          <c:tx>
            <c:strRef>
              <c:f>FCL!$C$10</c:f>
              <c:strCache>
                <c:ptCount val="1"/>
                <c:pt idx="0">
                  <c:v>EBITDA</c:v>
                </c:pt>
              </c:strCache>
            </c:strRef>
          </c:tx>
          <c:spPr>
            <a:solidFill>
              <a:schemeClr val="accent3"/>
            </a:solidFill>
            <a:ln>
              <a:noFill/>
            </a:ln>
            <a:effectLst/>
            <a:sp3d/>
          </c:spP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FCL!$D$7:$G$7</c:f>
              <c:numCache>
                <c:formatCode>General</c:formatCode>
                <c:ptCount val="4"/>
                <c:pt idx="0">
                  <c:v>2017</c:v>
                </c:pt>
                <c:pt idx="1">
                  <c:v>2016</c:v>
                </c:pt>
                <c:pt idx="2">
                  <c:v>2015</c:v>
                </c:pt>
                <c:pt idx="3">
                  <c:v>2014</c:v>
                </c:pt>
              </c:numCache>
            </c:numRef>
          </c:cat>
          <c:val>
            <c:numRef>
              <c:f>FCL!$D$10:$G$10</c:f>
              <c:numCache>
                <c:formatCode>_-* #,##0_-;\-* #,##0_-;_-* "-"??_-;_-@_-</c:formatCode>
                <c:ptCount val="4"/>
                <c:pt idx="0">
                  <c:v>209975000</c:v>
                </c:pt>
                <c:pt idx="1">
                  <c:v>73493000</c:v>
                </c:pt>
                <c:pt idx="2">
                  <c:v>68781000</c:v>
                </c:pt>
                <c:pt idx="3">
                  <c:v>8174000</c:v>
                </c:pt>
              </c:numCache>
            </c:numRef>
          </c:val>
          <c:smooth val="0"/>
          <c:extLst>
            <c:ext xmlns:c16="http://schemas.microsoft.com/office/drawing/2014/chart" uri="{C3380CC4-5D6E-409C-BE32-E72D297353CC}">
              <c16:uniqueId val="{00000000-4415-4966-83D5-87A3AC367406}"/>
            </c:ext>
          </c:extLst>
        </c:ser>
        <c:dLbls>
          <c:showLegendKey val="0"/>
          <c:showVal val="1"/>
          <c:showCatName val="0"/>
          <c:showSerName val="0"/>
          <c:showPercent val="0"/>
          <c:showBubbleSize val="0"/>
        </c:dLbls>
        <c:axId val="237161392"/>
        <c:axId val="236871680"/>
        <c:axId val="234304256"/>
      </c:line3DChart>
      <c:catAx>
        <c:axId val="237161392"/>
        <c:scaling>
          <c:orientation val="minMax"/>
        </c:scaling>
        <c:delete val="0"/>
        <c:axPos val="b"/>
        <c:numFmt formatCode="General"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36871680"/>
        <c:crosses val="autoZero"/>
        <c:auto val="1"/>
        <c:lblAlgn val="ctr"/>
        <c:lblOffset val="100"/>
        <c:noMultiLvlLbl val="0"/>
      </c:catAx>
      <c:valAx>
        <c:axId val="236871680"/>
        <c:scaling>
          <c:orientation val="minMax"/>
        </c:scaling>
        <c:delete val="0"/>
        <c:axPos val="l"/>
        <c:majorGridlines>
          <c:spPr>
            <a:ln w="9525" cap="flat" cmpd="sng" algn="ctr">
              <a:solidFill>
                <a:schemeClr val="tx1">
                  <a:lumMod val="15000"/>
                  <a:lumOff val="85000"/>
                </a:schemeClr>
              </a:solidFill>
              <a:round/>
            </a:ln>
            <a:effectLst/>
          </c:spPr>
        </c:majorGridlines>
        <c:numFmt formatCode="_-* #,##0_-;\-* #,##0_-;_-*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37161392"/>
        <c:crosses val="autoZero"/>
        <c:crossBetween val="between"/>
      </c:valAx>
      <c:serAx>
        <c:axId val="234304256"/>
        <c:scaling>
          <c:orientation val="minMax"/>
        </c:scaling>
        <c:delete val="1"/>
        <c:axPos val="b"/>
        <c:majorTickMark val="out"/>
        <c:minorTickMark val="none"/>
        <c:tickLblPos val="nextTo"/>
        <c:crossAx val="236871680"/>
        <c:crosses val="autoZero"/>
      </c:ser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2000" b="0" i="0" u="none" strike="noStrike" kern="1200" spc="0" baseline="0">
              <a:solidFill>
                <a:schemeClr val="tx1">
                  <a:lumMod val="65000"/>
                  <a:lumOff val="35000"/>
                </a:schemeClr>
              </a:solidFill>
              <a:latin typeface="+mn-lt"/>
              <a:ea typeface="+mn-ea"/>
              <a:cs typeface="+mn-cs"/>
            </a:defRPr>
          </a:pPr>
          <a:endParaRPr lang="es-CO"/>
        </a:p>
      </c:txPr>
    </c:title>
    <c:autoTitleDeleted val="0"/>
    <c:view3D>
      <c:rotX val="15"/>
      <c:rotY val="20"/>
      <c:rAngAx val="0"/>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line3DChart>
        <c:grouping val="standard"/>
        <c:varyColors val="0"/>
        <c:ser>
          <c:idx val="0"/>
          <c:order val="0"/>
          <c:tx>
            <c:strRef>
              <c:f>FCL!$C$12</c:f>
              <c:strCache>
                <c:ptCount val="1"/>
                <c:pt idx="0">
                  <c:v>UTILIDAD OPERATIVA</c:v>
                </c:pt>
              </c:strCache>
            </c:strRef>
          </c:tx>
          <c:spPr>
            <a:solidFill>
              <a:schemeClr val="accent1"/>
            </a:solidFill>
            <a:ln>
              <a:noFill/>
            </a:ln>
            <a:effectLst/>
            <a:sp3d/>
          </c:spP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FCL!$D$7:$G$7</c:f>
              <c:numCache>
                <c:formatCode>General</c:formatCode>
                <c:ptCount val="4"/>
                <c:pt idx="0">
                  <c:v>2017</c:v>
                </c:pt>
                <c:pt idx="1">
                  <c:v>2016</c:v>
                </c:pt>
                <c:pt idx="2">
                  <c:v>2015</c:v>
                </c:pt>
                <c:pt idx="3">
                  <c:v>2014</c:v>
                </c:pt>
              </c:numCache>
            </c:numRef>
          </c:cat>
          <c:val>
            <c:numRef>
              <c:f>FCL!$D$12:$G$12</c:f>
              <c:numCache>
                <c:formatCode>_-* #,##0_-;\-* #,##0_-;_-* "-"??_-;_-@_-</c:formatCode>
                <c:ptCount val="4"/>
                <c:pt idx="0">
                  <c:v>59022000</c:v>
                </c:pt>
                <c:pt idx="1">
                  <c:v>38383000</c:v>
                </c:pt>
                <c:pt idx="2">
                  <c:v>68781000</c:v>
                </c:pt>
                <c:pt idx="3">
                  <c:v>8174000</c:v>
                </c:pt>
              </c:numCache>
            </c:numRef>
          </c:val>
          <c:smooth val="0"/>
          <c:extLst>
            <c:ext xmlns:c16="http://schemas.microsoft.com/office/drawing/2014/chart" uri="{C3380CC4-5D6E-409C-BE32-E72D297353CC}">
              <c16:uniqueId val="{00000000-E61E-4517-B36B-0DF4B0BA4756}"/>
            </c:ext>
          </c:extLst>
        </c:ser>
        <c:dLbls>
          <c:showLegendKey val="0"/>
          <c:showVal val="1"/>
          <c:showCatName val="0"/>
          <c:showSerName val="0"/>
          <c:showPercent val="0"/>
          <c:showBubbleSize val="0"/>
        </c:dLbls>
        <c:axId val="236873920"/>
        <c:axId val="236874480"/>
        <c:axId val="234933024"/>
      </c:line3DChart>
      <c:catAx>
        <c:axId val="236873920"/>
        <c:scaling>
          <c:orientation val="minMax"/>
        </c:scaling>
        <c:delete val="0"/>
        <c:axPos val="b"/>
        <c:numFmt formatCode="General"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36874480"/>
        <c:crosses val="autoZero"/>
        <c:auto val="1"/>
        <c:lblAlgn val="ctr"/>
        <c:lblOffset val="100"/>
        <c:noMultiLvlLbl val="0"/>
      </c:catAx>
      <c:valAx>
        <c:axId val="236874480"/>
        <c:scaling>
          <c:orientation val="minMax"/>
        </c:scaling>
        <c:delete val="0"/>
        <c:axPos val="l"/>
        <c:majorGridlines>
          <c:spPr>
            <a:ln w="9525" cap="flat" cmpd="sng" algn="ctr">
              <a:solidFill>
                <a:schemeClr val="tx1">
                  <a:lumMod val="15000"/>
                  <a:lumOff val="85000"/>
                </a:schemeClr>
              </a:solidFill>
              <a:round/>
            </a:ln>
            <a:effectLst/>
          </c:spPr>
        </c:majorGridlines>
        <c:numFmt formatCode="_-* #,##0_-;\-* #,##0_-;_-*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36873920"/>
        <c:crosses val="autoZero"/>
        <c:crossBetween val="between"/>
      </c:valAx>
      <c:serAx>
        <c:axId val="234933024"/>
        <c:scaling>
          <c:orientation val="minMax"/>
        </c:scaling>
        <c:delete val="1"/>
        <c:axPos val="b"/>
        <c:majorTickMark val="out"/>
        <c:minorTickMark val="none"/>
        <c:tickLblPos val="nextTo"/>
        <c:crossAx val="236874480"/>
        <c:crosses val="autoZero"/>
      </c:ser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4"/>
    </mc:Choice>
    <mc:Fallback>
      <c:style val="4"/>
    </mc:Fallback>
  </mc:AlternateContent>
  <c:chart>
    <c:title>
      <c:overlay val="0"/>
      <c:spPr>
        <a:noFill/>
        <a:ln>
          <a:noFill/>
        </a:ln>
        <a:effectLst/>
      </c:spPr>
      <c:txPr>
        <a:bodyPr rot="0" spcFirstLastPara="1" vertOverflow="ellipsis" vert="horz" wrap="square" anchor="ctr" anchorCtr="1"/>
        <a:lstStyle/>
        <a:p>
          <a:pPr>
            <a:defRPr sz="2000" b="0" i="0" u="none" strike="noStrike" kern="1200" spc="0" baseline="0">
              <a:solidFill>
                <a:schemeClr val="tx1">
                  <a:lumMod val="65000"/>
                  <a:lumOff val="35000"/>
                </a:schemeClr>
              </a:solidFill>
              <a:latin typeface="+mn-lt"/>
              <a:ea typeface="+mn-ea"/>
              <a:cs typeface="+mn-cs"/>
            </a:defRPr>
          </a:pPr>
          <a:endParaRPr lang="es-CO"/>
        </a:p>
      </c:txPr>
    </c:title>
    <c:autoTitleDeleted val="0"/>
    <c:view3D>
      <c:rotX val="15"/>
      <c:rotY val="20"/>
      <c:rAngAx val="0"/>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line3DChart>
        <c:grouping val="standard"/>
        <c:varyColors val="0"/>
        <c:ser>
          <c:idx val="0"/>
          <c:order val="0"/>
          <c:tx>
            <c:strRef>
              <c:f>FCL!$C$21</c:f>
              <c:strCache>
                <c:ptCount val="1"/>
                <c:pt idx="0">
                  <c:v>FCL</c:v>
                </c:pt>
              </c:strCache>
            </c:strRef>
          </c:tx>
          <c:spPr>
            <a:solidFill>
              <a:schemeClr val="accent2"/>
            </a:solidFill>
            <a:ln>
              <a:noFill/>
            </a:ln>
            <a:effectLst/>
            <a:sp3d/>
          </c:spPr>
          <c:dLbls>
            <c:dLbl>
              <c:idx val="1"/>
              <c:layout>
                <c:manualLayout>
                  <c:x val="2.5599997419842781E-3"/>
                  <c:y val="-5.119999139947650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DA83-476D-99C3-2ECD84890391}"/>
                </c:ext>
              </c:extLst>
            </c:dLbl>
            <c:dLbl>
              <c:idx val="2"/>
              <c:layout>
                <c:manualLayout>
                  <c:x val="2.0479997935874225E-2"/>
                  <c:y val="-3.839999354960730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83-476D-99C3-2ECD84890391}"/>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FCL!$D$7:$G$7</c:f>
              <c:numCache>
                <c:formatCode>General</c:formatCode>
                <c:ptCount val="4"/>
                <c:pt idx="0">
                  <c:v>2017</c:v>
                </c:pt>
                <c:pt idx="1">
                  <c:v>2016</c:v>
                </c:pt>
                <c:pt idx="2">
                  <c:v>2015</c:v>
                </c:pt>
                <c:pt idx="3">
                  <c:v>2014</c:v>
                </c:pt>
              </c:numCache>
            </c:numRef>
          </c:cat>
          <c:val>
            <c:numRef>
              <c:f>FCL!$D$21:$G$21</c:f>
              <c:numCache>
                <c:formatCode>_-* #,##0_-;\-* #,##0_-;_-* "-"??_-;_-@_-</c:formatCode>
                <c:ptCount val="4"/>
                <c:pt idx="0">
                  <c:v>124335000</c:v>
                </c:pt>
                <c:pt idx="1">
                  <c:v>-15602000</c:v>
                </c:pt>
                <c:pt idx="2">
                  <c:v>21036000</c:v>
                </c:pt>
                <c:pt idx="3">
                  <c:v>8174000</c:v>
                </c:pt>
              </c:numCache>
            </c:numRef>
          </c:val>
          <c:smooth val="0"/>
          <c:extLst>
            <c:ext xmlns:c16="http://schemas.microsoft.com/office/drawing/2014/chart" uri="{C3380CC4-5D6E-409C-BE32-E72D297353CC}">
              <c16:uniqueId val="{00000002-DA83-476D-99C3-2ECD84890391}"/>
            </c:ext>
          </c:extLst>
        </c:ser>
        <c:dLbls>
          <c:showLegendKey val="0"/>
          <c:showVal val="1"/>
          <c:showCatName val="0"/>
          <c:showSerName val="0"/>
          <c:showPercent val="0"/>
          <c:showBubbleSize val="0"/>
        </c:dLbls>
        <c:axId val="236876720"/>
        <c:axId val="236877280"/>
        <c:axId val="237133936"/>
      </c:line3DChart>
      <c:catAx>
        <c:axId val="236876720"/>
        <c:scaling>
          <c:orientation val="minMax"/>
        </c:scaling>
        <c:delete val="0"/>
        <c:axPos val="b"/>
        <c:numFmt formatCode="General"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36877280"/>
        <c:crosses val="autoZero"/>
        <c:auto val="1"/>
        <c:lblAlgn val="ctr"/>
        <c:lblOffset val="100"/>
        <c:noMultiLvlLbl val="0"/>
      </c:catAx>
      <c:valAx>
        <c:axId val="236877280"/>
        <c:scaling>
          <c:orientation val="minMax"/>
        </c:scaling>
        <c:delete val="0"/>
        <c:axPos val="l"/>
        <c:majorGridlines>
          <c:spPr>
            <a:ln w="9525" cap="flat" cmpd="sng" algn="ctr">
              <a:solidFill>
                <a:schemeClr val="tx1">
                  <a:lumMod val="15000"/>
                  <a:lumOff val="85000"/>
                </a:schemeClr>
              </a:solidFill>
              <a:round/>
            </a:ln>
            <a:effectLst/>
          </c:spPr>
        </c:majorGridlines>
        <c:numFmt formatCode="_-* #,##0_-;\-* #,##0_-;_-*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36876720"/>
        <c:crosses val="autoZero"/>
        <c:crossBetween val="between"/>
      </c:valAx>
      <c:serAx>
        <c:axId val="237133936"/>
        <c:scaling>
          <c:orientation val="minMax"/>
        </c:scaling>
        <c:delete val="1"/>
        <c:axPos val="b"/>
        <c:majorTickMark val="out"/>
        <c:minorTickMark val="none"/>
        <c:tickLblPos val="nextTo"/>
        <c:crossAx val="236877280"/>
        <c:crosses val="autoZero"/>
      </c:ser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lineChart>
        <c:grouping val="standard"/>
        <c:varyColors val="0"/>
        <c:ser>
          <c:idx val="0"/>
          <c:order val="0"/>
          <c:tx>
            <c:strRef>
              <c:f>EBITDA!$B$21</c:f>
              <c:strCache>
                <c:ptCount val="1"/>
                <c:pt idx="0">
                  <c:v>EBIT</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EBITDA!$C$7:$F$7</c:f>
              <c:strCache>
                <c:ptCount val="4"/>
                <c:pt idx="0">
                  <c:v>31 DE DIC 2017</c:v>
                </c:pt>
                <c:pt idx="1">
                  <c:v>31 DE DIC 2016</c:v>
                </c:pt>
                <c:pt idx="2">
                  <c:v>31 DE DIC 2015</c:v>
                </c:pt>
                <c:pt idx="3">
                  <c:v>31 DE DIC 2014</c:v>
                </c:pt>
              </c:strCache>
            </c:strRef>
          </c:cat>
          <c:val>
            <c:numRef>
              <c:f>EBITDA!$C$21:$F$21</c:f>
              <c:numCache>
                <c:formatCode>"$"#,##0_);\("$"#,##0\)</c:formatCode>
                <c:ptCount val="4"/>
                <c:pt idx="0">
                  <c:v>57553000</c:v>
                </c:pt>
                <c:pt idx="1">
                  <c:v>35989000</c:v>
                </c:pt>
                <c:pt idx="2">
                  <c:v>68781000</c:v>
                </c:pt>
                <c:pt idx="3">
                  <c:v>8174000</c:v>
                </c:pt>
              </c:numCache>
            </c:numRef>
          </c:val>
          <c:smooth val="0"/>
          <c:extLst>
            <c:ext xmlns:c16="http://schemas.microsoft.com/office/drawing/2014/chart" uri="{C3380CC4-5D6E-409C-BE32-E72D297353CC}">
              <c16:uniqueId val="{00000000-2622-41A8-ADE5-B8BE75190BB3}"/>
            </c:ext>
          </c:extLst>
        </c:ser>
        <c:dLbls>
          <c:dLblPos val="t"/>
          <c:showLegendKey val="0"/>
          <c:showVal val="1"/>
          <c:showCatName val="0"/>
          <c:showSerName val="0"/>
          <c:showPercent val="0"/>
          <c:showBubbleSize val="0"/>
        </c:dLbls>
        <c:marker val="1"/>
        <c:smooth val="0"/>
        <c:axId val="237923424"/>
        <c:axId val="237923984"/>
      </c:lineChart>
      <c:catAx>
        <c:axId val="23792342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37923984"/>
        <c:crosses val="autoZero"/>
        <c:auto val="1"/>
        <c:lblAlgn val="ctr"/>
        <c:lblOffset val="100"/>
        <c:noMultiLvlLbl val="0"/>
      </c:catAx>
      <c:valAx>
        <c:axId val="237923984"/>
        <c:scaling>
          <c:orientation val="minMax"/>
        </c:scaling>
        <c:delete val="0"/>
        <c:axPos val="l"/>
        <c:majorGridlines>
          <c:spPr>
            <a:ln w="9525" cap="flat" cmpd="sng" algn="ctr">
              <a:solidFill>
                <a:schemeClr val="tx1">
                  <a:lumMod val="15000"/>
                  <a:lumOff val="85000"/>
                </a:schemeClr>
              </a:solidFill>
              <a:round/>
            </a:ln>
            <a:effectLst/>
          </c:spPr>
        </c:majorGridlines>
        <c:numFmt formatCode="&quot;$&quot;#,##0_);\(&quot;$&quot;#,##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37923424"/>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lineChart>
        <c:grouping val="stacked"/>
        <c:varyColors val="0"/>
        <c:ser>
          <c:idx val="0"/>
          <c:order val="0"/>
          <c:tx>
            <c:strRef>
              <c:f>EBITDA!$B$23</c:f>
              <c:strCache>
                <c:ptCount val="1"/>
                <c:pt idx="0">
                  <c:v>DEPRECIACIONES</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dLbls>
            <c:dLbl>
              <c:idx val="0"/>
              <c:layout>
                <c:manualLayout>
                  <c:x val="-0.12614834673815908"/>
                  <c:y val="-5.3529702889015547E-2"/>
                </c:manualLayout>
              </c:layout>
              <c:dLblPos val="r"/>
              <c:showLegendKey val="0"/>
              <c:showVal val="1"/>
              <c:showCatName val="0"/>
              <c:showSerName val="0"/>
              <c:showPercent val="0"/>
              <c:showBubbleSize val="0"/>
              <c:extLst>
                <c:ext xmlns:c15="http://schemas.microsoft.com/office/drawing/2012/chart" uri="{CE6537A1-D6FC-4f65-9D91-7224C49458BB}">
                  <c15:layout>
                    <c:manualLayout>
                      <c:w val="0.21297587131367293"/>
                      <c:h val="0.14876377718200776"/>
                    </c:manualLayout>
                  </c15:layout>
                </c:ext>
                <c:ext xmlns:c16="http://schemas.microsoft.com/office/drawing/2014/chart" uri="{C3380CC4-5D6E-409C-BE32-E72D297353CC}">
                  <c16:uniqueId val="{00000000-BFC4-4F1B-B6B8-0B0DD380C2EF}"/>
                </c:ext>
              </c:extLst>
            </c:dLbl>
            <c:dLbl>
              <c:idx val="1"/>
              <c:layout>
                <c:manualLayout>
                  <c:x val="-5.1143808096374012E-2"/>
                  <c:y val="-9.2299789604047486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BFC4-4F1B-B6B8-0B0DD380C2EF}"/>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EBITDA!$C$7:$F$7</c:f>
              <c:strCache>
                <c:ptCount val="4"/>
                <c:pt idx="0">
                  <c:v>31 DE DIC 2017</c:v>
                </c:pt>
                <c:pt idx="1">
                  <c:v>31 DE DIC 2016</c:v>
                </c:pt>
                <c:pt idx="2">
                  <c:v>31 DE DIC 2015</c:v>
                </c:pt>
                <c:pt idx="3">
                  <c:v>31 DE DIC 2014</c:v>
                </c:pt>
              </c:strCache>
            </c:strRef>
          </c:cat>
          <c:val>
            <c:numRef>
              <c:f>EBITDA!$C$23:$F$23</c:f>
              <c:numCache>
                <c:formatCode>"$"#,##0_);\("$"#,##0\)</c:formatCode>
                <c:ptCount val="4"/>
                <c:pt idx="0">
                  <c:v>150953000</c:v>
                </c:pt>
                <c:pt idx="1">
                  <c:v>35110000</c:v>
                </c:pt>
              </c:numCache>
            </c:numRef>
          </c:val>
          <c:smooth val="0"/>
          <c:extLst>
            <c:ext xmlns:c16="http://schemas.microsoft.com/office/drawing/2014/chart" uri="{C3380CC4-5D6E-409C-BE32-E72D297353CC}">
              <c16:uniqueId val="{00000002-BFC4-4F1B-B6B8-0B0DD380C2EF}"/>
            </c:ext>
          </c:extLst>
        </c:ser>
        <c:dLbls>
          <c:dLblPos val="t"/>
          <c:showLegendKey val="0"/>
          <c:showVal val="1"/>
          <c:showCatName val="0"/>
          <c:showSerName val="0"/>
          <c:showPercent val="0"/>
          <c:showBubbleSize val="0"/>
        </c:dLbls>
        <c:marker val="1"/>
        <c:smooth val="0"/>
        <c:axId val="237926224"/>
        <c:axId val="237926784"/>
      </c:lineChart>
      <c:catAx>
        <c:axId val="23792622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37926784"/>
        <c:crosses val="autoZero"/>
        <c:auto val="1"/>
        <c:lblAlgn val="ctr"/>
        <c:lblOffset val="100"/>
        <c:noMultiLvlLbl val="0"/>
      </c:catAx>
      <c:valAx>
        <c:axId val="237926784"/>
        <c:scaling>
          <c:orientation val="minMax"/>
        </c:scaling>
        <c:delete val="0"/>
        <c:axPos val="l"/>
        <c:majorGridlines>
          <c:spPr>
            <a:ln w="9525" cap="flat" cmpd="sng" algn="ctr">
              <a:solidFill>
                <a:schemeClr val="tx1">
                  <a:lumMod val="15000"/>
                  <a:lumOff val="85000"/>
                </a:schemeClr>
              </a:solidFill>
              <a:round/>
            </a:ln>
            <a:effectLst/>
          </c:spPr>
        </c:majorGridlines>
        <c:numFmt formatCode="&quot;$&quot;#,##0_);\(&quot;$&quot;#,##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37926224"/>
        <c:crosses val="autoZero"/>
        <c:crossBetween val="between"/>
      </c:valAx>
      <c:spPr>
        <a:noFill/>
        <a:ln>
          <a:noFill/>
        </a:ln>
        <a:effectLst/>
      </c:spPr>
    </c:plotArea>
    <c:plotVisOnly val="1"/>
    <c:dispBlanksAs val="zero"/>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6"/>
    </mc:Choice>
    <mc:Fallback>
      <c:style val="6"/>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lineChart>
        <c:grouping val="stacked"/>
        <c:varyColors val="0"/>
        <c:ser>
          <c:idx val="0"/>
          <c:order val="0"/>
          <c:tx>
            <c:strRef>
              <c:f>EBITDA!$B$25</c:f>
              <c:strCache>
                <c:ptCount val="1"/>
                <c:pt idx="0">
                  <c:v>EBITDA</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EBITDA!$C$7:$F$7</c:f>
              <c:strCache>
                <c:ptCount val="4"/>
                <c:pt idx="0">
                  <c:v>31 DE DIC 2017</c:v>
                </c:pt>
                <c:pt idx="1">
                  <c:v>31 DE DIC 2016</c:v>
                </c:pt>
                <c:pt idx="2">
                  <c:v>31 DE DIC 2015</c:v>
                </c:pt>
                <c:pt idx="3">
                  <c:v>31 DE DIC 2014</c:v>
                </c:pt>
              </c:strCache>
            </c:strRef>
          </c:cat>
          <c:val>
            <c:numRef>
              <c:f>EBITDA!$C$25:$F$25</c:f>
              <c:numCache>
                <c:formatCode>"$"#,##0_);\("$"#,##0\)</c:formatCode>
                <c:ptCount val="4"/>
                <c:pt idx="0">
                  <c:v>208506000</c:v>
                </c:pt>
                <c:pt idx="1">
                  <c:v>71099000</c:v>
                </c:pt>
                <c:pt idx="2">
                  <c:v>68781000</c:v>
                </c:pt>
                <c:pt idx="3">
                  <c:v>8174000</c:v>
                </c:pt>
              </c:numCache>
            </c:numRef>
          </c:val>
          <c:smooth val="0"/>
          <c:extLst>
            <c:ext xmlns:c16="http://schemas.microsoft.com/office/drawing/2014/chart" uri="{C3380CC4-5D6E-409C-BE32-E72D297353CC}">
              <c16:uniqueId val="{00000000-0329-4DDF-A75C-8F5BA6CE1B9F}"/>
            </c:ext>
          </c:extLst>
        </c:ser>
        <c:dLbls>
          <c:dLblPos val="t"/>
          <c:showLegendKey val="0"/>
          <c:showVal val="1"/>
          <c:showCatName val="0"/>
          <c:showSerName val="0"/>
          <c:showPercent val="0"/>
          <c:showBubbleSize val="0"/>
        </c:dLbls>
        <c:marker val="1"/>
        <c:smooth val="0"/>
        <c:axId val="237929024"/>
        <c:axId val="237929584"/>
      </c:lineChart>
      <c:catAx>
        <c:axId val="23792902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37929584"/>
        <c:crosses val="autoZero"/>
        <c:auto val="1"/>
        <c:lblAlgn val="ctr"/>
        <c:lblOffset val="100"/>
        <c:noMultiLvlLbl val="0"/>
      </c:catAx>
      <c:valAx>
        <c:axId val="237929584"/>
        <c:scaling>
          <c:orientation val="minMax"/>
        </c:scaling>
        <c:delete val="0"/>
        <c:axPos val="l"/>
        <c:majorGridlines>
          <c:spPr>
            <a:ln w="9525" cap="flat" cmpd="sng" algn="ctr">
              <a:solidFill>
                <a:schemeClr val="tx1">
                  <a:lumMod val="15000"/>
                  <a:lumOff val="85000"/>
                </a:schemeClr>
              </a:solidFill>
              <a:round/>
            </a:ln>
            <a:effectLst/>
          </c:spPr>
        </c:majorGridlines>
        <c:numFmt formatCode="&quot;$&quot;#,##0_);\(&quot;$&quot;#,##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37929024"/>
        <c:crosses val="autoZero"/>
        <c:crossBetween val="between"/>
      </c:valAx>
      <c:spPr>
        <a:noFill/>
        <a:ln>
          <a:noFill/>
        </a:ln>
        <a:effectLst/>
      </c:spPr>
    </c:plotArea>
    <c:plotVisOnly val="1"/>
    <c:dispBlanksAs val="zero"/>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lineChart>
        <c:grouping val="stacked"/>
        <c:varyColors val="0"/>
        <c:ser>
          <c:idx val="0"/>
          <c:order val="0"/>
          <c:tx>
            <c:strRef>
              <c:f>EBITDA!$B$27</c:f>
              <c:strCache>
                <c:ptCount val="1"/>
                <c:pt idx="0">
                  <c:v>MARGEN EBITDA</c:v>
                </c:pt>
              </c:strCache>
            </c:strRef>
          </c:tx>
          <c:spPr>
            <a:ln w="28575" cap="rnd">
              <a:solidFill>
                <a:schemeClr val="accent6"/>
              </a:solidFill>
              <a:round/>
            </a:ln>
            <a:effectLst/>
          </c:spPr>
          <c:marker>
            <c:symbol val="circle"/>
            <c:size val="5"/>
            <c:spPr>
              <a:solidFill>
                <a:schemeClr val="accent6"/>
              </a:solidFill>
              <a:ln w="9525">
                <a:solidFill>
                  <a:schemeClr val="accent6"/>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EBITDA!$C$7:$F$7</c:f>
              <c:strCache>
                <c:ptCount val="4"/>
                <c:pt idx="0">
                  <c:v>31 DE DIC 2017</c:v>
                </c:pt>
                <c:pt idx="1">
                  <c:v>31 DE DIC 2016</c:v>
                </c:pt>
                <c:pt idx="2">
                  <c:v>31 DE DIC 2015</c:v>
                </c:pt>
                <c:pt idx="3">
                  <c:v>31 DE DIC 2014</c:v>
                </c:pt>
              </c:strCache>
            </c:strRef>
          </c:cat>
          <c:val>
            <c:numRef>
              <c:f>EBITDA!$C$27:$F$27</c:f>
              <c:numCache>
                <c:formatCode>0.00%</c:formatCode>
                <c:ptCount val="4"/>
                <c:pt idx="0">
                  <c:v>0.18148663304545826</c:v>
                </c:pt>
                <c:pt idx="1">
                  <c:v>0.10722440226456297</c:v>
                </c:pt>
                <c:pt idx="2">
                  <c:v>0.19986226615757449</c:v>
                </c:pt>
                <c:pt idx="3">
                  <c:v>0.13188125201677961</c:v>
                </c:pt>
              </c:numCache>
            </c:numRef>
          </c:val>
          <c:smooth val="0"/>
          <c:extLst>
            <c:ext xmlns:c16="http://schemas.microsoft.com/office/drawing/2014/chart" uri="{C3380CC4-5D6E-409C-BE32-E72D297353CC}">
              <c16:uniqueId val="{00000000-E5F3-456D-AD03-980A87602AE3}"/>
            </c:ext>
          </c:extLst>
        </c:ser>
        <c:dLbls>
          <c:dLblPos val="t"/>
          <c:showLegendKey val="0"/>
          <c:showVal val="1"/>
          <c:showCatName val="0"/>
          <c:showSerName val="0"/>
          <c:showPercent val="0"/>
          <c:showBubbleSize val="0"/>
        </c:dLbls>
        <c:marker val="1"/>
        <c:smooth val="0"/>
        <c:axId val="238298832"/>
        <c:axId val="238299392"/>
      </c:lineChart>
      <c:catAx>
        <c:axId val="23829883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38299392"/>
        <c:crosses val="autoZero"/>
        <c:auto val="1"/>
        <c:lblAlgn val="ctr"/>
        <c:lblOffset val="100"/>
        <c:noMultiLvlLbl val="0"/>
      </c:catAx>
      <c:valAx>
        <c:axId val="238299392"/>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38298832"/>
        <c:crosses val="autoZero"/>
        <c:crossBetween val="between"/>
      </c:valAx>
      <c:spPr>
        <a:noFill/>
        <a:ln>
          <a:noFill/>
        </a:ln>
        <a:effectLst/>
      </c:spPr>
    </c:plotArea>
    <c:plotVisOnly val="1"/>
    <c:dispBlanksAs val="zero"/>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5"/>
    </mc:Choice>
    <mc:Fallback>
      <c:style val="5"/>
    </mc:Fallback>
  </mc:AlternateContent>
  <c:chart>
    <c:title>
      <c:tx>
        <c:rich>
          <a:bodyPr rot="0" spcFirstLastPara="1" vertOverflow="ellipsis" vert="horz" wrap="square" anchor="ctr" anchorCtr="1"/>
          <a:lstStyle/>
          <a:p>
            <a:pPr>
              <a:defRPr sz="2000" b="0" i="0" u="none" strike="noStrike" kern="1200" cap="none" spc="0" normalizeH="0" baseline="0">
                <a:solidFill>
                  <a:schemeClr val="tx1">
                    <a:lumMod val="65000"/>
                    <a:lumOff val="35000"/>
                  </a:schemeClr>
                </a:solidFill>
                <a:latin typeface="+mj-lt"/>
                <a:ea typeface="+mj-ea"/>
                <a:cs typeface="+mj-cs"/>
              </a:defRPr>
            </a:pPr>
            <a:r>
              <a:rPr lang="es-CO"/>
              <a:t>Rendimiento de la inversión</a:t>
            </a:r>
          </a:p>
        </c:rich>
      </c:tx>
      <c:overlay val="0"/>
      <c:spPr>
        <a:noFill/>
        <a:ln>
          <a:noFill/>
        </a:ln>
        <a:effectLst/>
      </c:spPr>
      <c:txPr>
        <a:bodyPr rot="0" spcFirstLastPara="1" vertOverflow="ellipsis" vert="horz" wrap="square" anchor="ctr" anchorCtr="1"/>
        <a:lstStyle/>
        <a:p>
          <a:pPr>
            <a:defRPr sz="2000" b="0" i="0" u="none" strike="noStrike" kern="1200" cap="none" spc="0" normalizeH="0" baseline="0">
              <a:solidFill>
                <a:schemeClr val="tx1">
                  <a:lumMod val="65000"/>
                  <a:lumOff val="35000"/>
                </a:schemeClr>
              </a:solidFill>
              <a:latin typeface="+mj-lt"/>
              <a:ea typeface="+mj-ea"/>
              <a:cs typeface="+mj-cs"/>
            </a:defRPr>
          </a:pPr>
          <a:endParaRPr lang="es-CO"/>
        </a:p>
      </c:txPr>
    </c:title>
    <c:autoTitleDeleted val="0"/>
    <c:view3D>
      <c:rotX val="15"/>
      <c:rotY val="20"/>
      <c:depthPercent val="100"/>
      <c:rAngAx val="1"/>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bar3DChart>
        <c:barDir val="bar"/>
        <c:grouping val="clustered"/>
        <c:varyColors val="0"/>
        <c:ser>
          <c:idx val="0"/>
          <c:order val="0"/>
          <c:spPr>
            <a:solidFill>
              <a:schemeClr val="accent3"/>
            </a:solidFill>
            <a:ln>
              <a:noFill/>
            </a:ln>
            <a:effectLst/>
            <a:sp3d/>
          </c:spPr>
          <c:invertIfNegative val="0"/>
          <c:cat>
            <c:numRef>
              <c:extLst>
                <c:ext xmlns:c15="http://schemas.microsoft.com/office/drawing/2012/chart" uri="{02D57815-91ED-43cb-92C2-25804820EDAC}">
                  <c15:fullRef>
                    <c15:sqref>DUPONT!$H$84:$O$84</c15:sqref>
                  </c15:fullRef>
                </c:ext>
              </c:extLst>
              <c:f>(DUPONT!$H$84:$I$84,DUPONT!$L$84:$M$84)</c:f>
              <c:numCache>
                <c:formatCode>General</c:formatCode>
                <c:ptCount val="4"/>
                <c:pt idx="0">
                  <c:v>2017</c:v>
                </c:pt>
                <c:pt idx="1">
                  <c:v>2016</c:v>
                </c:pt>
                <c:pt idx="2">
                  <c:v>2015</c:v>
                </c:pt>
                <c:pt idx="3">
                  <c:v>2014</c:v>
                </c:pt>
              </c:numCache>
            </c:numRef>
          </c:cat>
          <c:val>
            <c:numRef>
              <c:extLst>
                <c:ext xmlns:c15="http://schemas.microsoft.com/office/drawing/2012/chart" uri="{02D57815-91ED-43cb-92C2-25804820EDAC}">
                  <c15:fullRef>
                    <c15:sqref>DUPONT!$H$85:$O$85</c15:sqref>
                  </c15:fullRef>
                </c:ext>
              </c:extLst>
              <c:f>(DUPONT!$H$85:$I$85,DUPONT!$L$85:$M$85)</c:f>
              <c:numCache>
                <c:formatCode>0.00%</c:formatCode>
                <c:ptCount val="4"/>
                <c:pt idx="0">
                  <c:v>3.1254144685399818E-2</c:v>
                </c:pt>
                <c:pt idx="1">
                  <c:v>2.765047232682805E-2</c:v>
                </c:pt>
                <c:pt idx="2">
                  <c:v>5.9903463948056436E-2</c:v>
                </c:pt>
                <c:pt idx="3">
                  <c:v>5.9903463948056436E-2</c:v>
                </c:pt>
              </c:numCache>
            </c:numRef>
          </c:val>
          <c:extLst>
            <c:ext xmlns:c16="http://schemas.microsoft.com/office/drawing/2014/chart" uri="{C3380CC4-5D6E-409C-BE32-E72D297353CC}">
              <c16:uniqueId val="{00000000-EB3C-4989-8F37-1FB5E8AFF1DD}"/>
            </c:ext>
          </c:extLst>
        </c:ser>
        <c:dLbls>
          <c:showLegendKey val="0"/>
          <c:showVal val="0"/>
          <c:showCatName val="0"/>
          <c:showSerName val="0"/>
          <c:showPercent val="0"/>
          <c:showBubbleSize val="0"/>
        </c:dLbls>
        <c:gapWidth val="150"/>
        <c:shape val="box"/>
        <c:axId val="238301632"/>
        <c:axId val="238302192"/>
        <c:axId val="0"/>
      </c:bar3DChart>
      <c:catAx>
        <c:axId val="238301632"/>
        <c:scaling>
          <c:orientation val="minMax"/>
        </c:scaling>
        <c:delete val="0"/>
        <c:axPos val="l"/>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cap="none" spc="0" normalizeH="0" baseline="0">
                <a:solidFill>
                  <a:schemeClr val="tx1">
                    <a:lumMod val="65000"/>
                    <a:lumOff val="35000"/>
                  </a:schemeClr>
                </a:solidFill>
                <a:latin typeface="+mn-lt"/>
                <a:ea typeface="+mn-ea"/>
                <a:cs typeface="+mn-cs"/>
              </a:defRPr>
            </a:pPr>
            <a:endParaRPr lang="es-CO"/>
          </a:p>
        </c:txPr>
        <c:crossAx val="238302192"/>
        <c:crosses val="autoZero"/>
        <c:auto val="1"/>
        <c:lblAlgn val="ctr"/>
        <c:lblOffset val="100"/>
        <c:noMultiLvlLbl val="0"/>
      </c:catAx>
      <c:valAx>
        <c:axId val="238302192"/>
        <c:scaling>
          <c:orientation val="minMax"/>
        </c:scaling>
        <c:delete val="0"/>
        <c:axPos val="b"/>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38301632"/>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6"/>
    </mc:Choice>
    <mc:Fallback>
      <c:style val="6"/>
    </mc:Fallback>
  </mc:AlternateContent>
  <c:chart>
    <c:title>
      <c:tx>
        <c:rich>
          <a:bodyPr rot="0" spcFirstLastPara="1" vertOverflow="ellipsis" vert="horz" wrap="square" anchor="ctr" anchorCtr="1"/>
          <a:lstStyle/>
          <a:p>
            <a:pPr>
              <a:defRPr sz="2000" b="0" i="0" u="none" strike="noStrike" kern="1200" cap="none" spc="0" normalizeH="0" baseline="0">
                <a:solidFill>
                  <a:schemeClr val="tx1">
                    <a:lumMod val="65000"/>
                    <a:lumOff val="35000"/>
                  </a:schemeClr>
                </a:solidFill>
                <a:latin typeface="+mj-lt"/>
                <a:ea typeface="+mj-ea"/>
                <a:cs typeface="+mj-cs"/>
              </a:defRPr>
            </a:pPr>
            <a:r>
              <a:rPr lang="es-CO"/>
              <a:t>Rendimiento del patrimonio</a:t>
            </a:r>
          </a:p>
        </c:rich>
      </c:tx>
      <c:overlay val="0"/>
      <c:spPr>
        <a:noFill/>
        <a:ln>
          <a:noFill/>
        </a:ln>
        <a:effectLst/>
      </c:spPr>
      <c:txPr>
        <a:bodyPr rot="0" spcFirstLastPara="1" vertOverflow="ellipsis" vert="horz" wrap="square" anchor="ctr" anchorCtr="1"/>
        <a:lstStyle/>
        <a:p>
          <a:pPr>
            <a:defRPr sz="2000" b="0" i="0" u="none" strike="noStrike" kern="1200" cap="none" spc="0" normalizeH="0" baseline="0">
              <a:solidFill>
                <a:schemeClr val="tx1">
                  <a:lumMod val="65000"/>
                  <a:lumOff val="35000"/>
                </a:schemeClr>
              </a:solidFill>
              <a:latin typeface="+mj-lt"/>
              <a:ea typeface="+mj-ea"/>
              <a:cs typeface="+mj-cs"/>
            </a:defRPr>
          </a:pPr>
          <a:endParaRPr lang="es-CO"/>
        </a:p>
      </c:txPr>
    </c:title>
    <c:autoTitleDeleted val="0"/>
    <c:view3D>
      <c:rotX val="15"/>
      <c:rotY val="20"/>
      <c:depthPercent val="100"/>
      <c:rAngAx val="1"/>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bar3DChart>
        <c:barDir val="bar"/>
        <c:grouping val="clustered"/>
        <c:varyColors val="0"/>
        <c:ser>
          <c:idx val="0"/>
          <c:order val="0"/>
          <c:spPr>
            <a:solidFill>
              <a:schemeClr val="accent4"/>
            </a:solidFill>
            <a:ln>
              <a:noFill/>
            </a:ln>
            <a:effectLst/>
            <a:sp3d/>
          </c:spPr>
          <c:invertIfNegative val="0"/>
          <c:cat>
            <c:numRef>
              <c:extLst>
                <c:ext xmlns:c15="http://schemas.microsoft.com/office/drawing/2012/chart" uri="{02D57815-91ED-43cb-92C2-25804820EDAC}">
                  <c15:fullRef>
                    <c15:sqref>DUPONT!$H$84:$O$84</c15:sqref>
                  </c15:fullRef>
                </c:ext>
              </c:extLst>
              <c:f>(DUPONT!$H$84:$I$84,DUPONT!$L$84:$M$84)</c:f>
              <c:numCache>
                <c:formatCode>General</c:formatCode>
                <c:ptCount val="4"/>
                <c:pt idx="0">
                  <c:v>2017</c:v>
                </c:pt>
                <c:pt idx="1">
                  <c:v>2016</c:v>
                </c:pt>
                <c:pt idx="2">
                  <c:v>2015</c:v>
                </c:pt>
                <c:pt idx="3">
                  <c:v>2014</c:v>
                </c:pt>
              </c:numCache>
            </c:numRef>
          </c:cat>
          <c:val>
            <c:numRef>
              <c:extLst>
                <c:ext xmlns:c15="http://schemas.microsoft.com/office/drawing/2012/chart" uri="{02D57815-91ED-43cb-92C2-25804820EDAC}">
                  <c15:fullRef>
                    <c15:sqref>DUPONT!$H$86:$O$86</c15:sqref>
                  </c15:fullRef>
                </c:ext>
              </c:extLst>
              <c:f>(DUPONT!$H$86:$I$86,DUPONT!$L$86:$M$86)</c:f>
              <c:numCache>
                <c:formatCode>0.00%</c:formatCode>
                <c:ptCount val="4"/>
                <c:pt idx="0">
                  <c:v>4.3342731098550247E-2</c:v>
                </c:pt>
                <c:pt idx="1">
                  <c:v>3.4080620978097893E-2</c:v>
                </c:pt>
                <c:pt idx="2">
                  <c:v>3.4080620978097893E-2</c:v>
                </c:pt>
                <c:pt idx="3">
                  <c:v>3.4080620978097893E-2</c:v>
                </c:pt>
              </c:numCache>
            </c:numRef>
          </c:val>
          <c:extLst>
            <c:ext xmlns:c16="http://schemas.microsoft.com/office/drawing/2014/chart" uri="{C3380CC4-5D6E-409C-BE32-E72D297353CC}">
              <c16:uniqueId val="{00000000-1E7F-4DA3-B661-D72095E02A24}"/>
            </c:ext>
          </c:extLst>
        </c:ser>
        <c:dLbls>
          <c:showLegendKey val="0"/>
          <c:showVal val="0"/>
          <c:showCatName val="0"/>
          <c:showSerName val="0"/>
          <c:showPercent val="0"/>
          <c:showBubbleSize val="0"/>
        </c:dLbls>
        <c:gapWidth val="150"/>
        <c:shape val="box"/>
        <c:axId val="238304432"/>
        <c:axId val="238304992"/>
        <c:axId val="0"/>
      </c:bar3DChart>
      <c:catAx>
        <c:axId val="238304432"/>
        <c:scaling>
          <c:orientation val="minMax"/>
        </c:scaling>
        <c:delete val="0"/>
        <c:axPos val="l"/>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cap="none" spc="0" normalizeH="0" baseline="0">
                <a:solidFill>
                  <a:schemeClr val="tx1">
                    <a:lumMod val="65000"/>
                    <a:lumOff val="35000"/>
                  </a:schemeClr>
                </a:solidFill>
                <a:latin typeface="+mn-lt"/>
                <a:ea typeface="+mn-ea"/>
                <a:cs typeface="+mn-cs"/>
              </a:defRPr>
            </a:pPr>
            <a:endParaRPr lang="es-CO"/>
          </a:p>
        </c:txPr>
        <c:crossAx val="238304992"/>
        <c:crosses val="autoZero"/>
        <c:auto val="1"/>
        <c:lblAlgn val="ctr"/>
        <c:lblOffset val="100"/>
        <c:noMultiLvlLbl val="0"/>
      </c:catAx>
      <c:valAx>
        <c:axId val="238304992"/>
        <c:scaling>
          <c:orientation val="minMax"/>
        </c:scaling>
        <c:delete val="0"/>
        <c:axPos val="b"/>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38304432"/>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2000" b="0" i="0" u="none" strike="noStrike" kern="1200" cap="none" spc="0" normalizeH="0" baseline="0">
                <a:solidFill>
                  <a:schemeClr val="tx1">
                    <a:lumMod val="65000"/>
                    <a:lumOff val="35000"/>
                  </a:schemeClr>
                </a:solidFill>
                <a:latin typeface="+mj-lt"/>
                <a:ea typeface="+mj-ea"/>
                <a:cs typeface="+mj-cs"/>
              </a:defRPr>
            </a:pPr>
            <a:r>
              <a:rPr lang="es-CO"/>
              <a:t>Margen</a:t>
            </a:r>
          </a:p>
        </c:rich>
      </c:tx>
      <c:overlay val="0"/>
      <c:spPr>
        <a:noFill/>
        <a:ln>
          <a:noFill/>
        </a:ln>
        <a:effectLst/>
      </c:spPr>
      <c:txPr>
        <a:bodyPr rot="0" spcFirstLastPara="1" vertOverflow="ellipsis" vert="horz" wrap="square" anchor="ctr" anchorCtr="1"/>
        <a:lstStyle/>
        <a:p>
          <a:pPr>
            <a:defRPr sz="2000" b="0" i="0" u="none" strike="noStrike" kern="1200" cap="none" spc="0" normalizeH="0" baseline="0">
              <a:solidFill>
                <a:schemeClr val="tx1">
                  <a:lumMod val="65000"/>
                  <a:lumOff val="35000"/>
                </a:schemeClr>
              </a:solidFill>
              <a:latin typeface="+mj-lt"/>
              <a:ea typeface="+mj-ea"/>
              <a:cs typeface="+mj-cs"/>
            </a:defRPr>
          </a:pPr>
          <a:endParaRPr lang="es-CO"/>
        </a:p>
      </c:txPr>
    </c:title>
    <c:autoTitleDeleted val="0"/>
    <c:view3D>
      <c:rotX val="15"/>
      <c:rotY val="20"/>
      <c:depthPercent val="100"/>
      <c:rAngAx val="1"/>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bar3DChart>
        <c:barDir val="bar"/>
        <c:grouping val="clustered"/>
        <c:varyColors val="0"/>
        <c:ser>
          <c:idx val="0"/>
          <c:order val="0"/>
          <c:spPr>
            <a:solidFill>
              <a:schemeClr val="accent2"/>
            </a:solidFill>
            <a:ln>
              <a:noFill/>
            </a:ln>
            <a:effectLst/>
            <a:sp3d/>
          </c:spPr>
          <c:invertIfNegative val="0"/>
          <c:cat>
            <c:numRef>
              <c:extLst>
                <c:ext xmlns:c15="http://schemas.microsoft.com/office/drawing/2012/chart" uri="{02D57815-91ED-43cb-92C2-25804820EDAC}">
                  <c15:fullRef>
                    <c15:sqref>DUPONT!$H$84:$O$84</c15:sqref>
                  </c15:fullRef>
                </c:ext>
              </c:extLst>
              <c:f>(DUPONT!$H$84:$I$84,DUPONT!$L$84:$M$84)</c:f>
              <c:numCache>
                <c:formatCode>General</c:formatCode>
                <c:ptCount val="4"/>
                <c:pt idx="0">
                  <c:v>2017</c:v>
                </c:pt>
                <c:pt idx="1">
                  <c:v>2016</c:v>
                </c:pt>
                <c:pt idx="2">
                  <c:v>2015</c:v>
                </c:pt>
                <c:pt idx="3">
                  <c:v>2014</c:v>
                </c:pt>
              </c:numCache>
            </c:numRef>
          </c:cat>
          <c:val>
            <c:numRef>
              <c:extLst>
                <c:ext xmlns:c15="http://schemas.microsoft.com/office/drawing/2012/chart" uri="{02D57815-91ED-43cb-92C2-25804820EDAC}">
                  <c15:fullRef>
                    <c15:sqref>DUPONT!$H$87:$O$87</c15:sqref>
                  </c15:fullRef>
                </c:ext>
              </c:extLst>
              <c:f>(DUPONT!$H$87:$I$87,DUPONT!$L$87:$M$87)</c:f>
              <c:numCache>
                <c:formatCode>0.00%</c:formatCode>
                <c:ptCount val="4"/>
                <c:pt idx="0">
                  <c:v>2.7467002541678481E-2</c:v>
                </c:pt>
                <c:pt idx="1">
                  <c:v>3.5821899421794458E-2</c:v>
                </c:pt>
                <c:pt idx="2">
                  <c:v>3.5821899421794458E-2</c:v>
                </c:pt>
                <c:pt idx="3">
                  <c:v>3.5821899421794458E-2</c:v>
                </c:pt>
              </c:numCache>
            </c:numRef>
          </c:val>
          <c:extLst>
            <c:ext xmlns:c16="http://schemas.microsoft.com/office/drawing/2014/chart" uri="{C3380CC4-5D6E-409C-BE32-E72D297353CC}">
              <c16:uniqueId val="{00000000-3FC8-406C-B0AD-5EF8819AB502}"/>
            </c:ext>
          </c:extLst>
        </c:ser>
        <c:dLbls>
          <c:showLegendKey val="0"/>
          <c:showVal val="0"/>
          <c:showCatName val="0"/>
          <c:showSerName val="0"/>
          <c:showPercent val="0"/>
          <c:showBubbleSize val="0"/>
        </c:dLbls>
        <c:gapWidth val="150"/>
        <c:shape val="box"/>
        <c:axId val="238815104"/>
        <c:axId val="238815664"/>
        <c:axId val="0"/>
      </c:bar3DChart>
      <c:catAx>
        <c:axId val="238815104"/>
        <c:scaling>
          <c:orientation val="minMax"/>
        </c:scaling>
        <c:delete val="0"/>
        <c:axPos val="l"/>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cap="none" spc="0" normalizeH="0" baseline="0">
                <a:solidFill>
                  <a:schemeClr val="tx1">
                    <a:lumMod val="65000"/>
                    <a:lumOff val="35000"/>
                  </a:schemeClr>
                </a:solidFill>
                <a:latin typeface="+mn-lt"/>
                <a:ea typeface="+mn-ea"/>
                <a:cs typeface="+mn-cs"/>
              </a:defRPr>
            </a:pPr>
            <a:endParaRPr lang="es-CO"/>
          </a:p>
        </c:txPr>
        <c:crossAx val="238815664"/>
        <c:crosses val="autoZero"/>
        <c:auto val="1"/>
        <c:lblAlgn val="ctr"/>
        <c:lblOffset val="100"/>
        <c:noMultiLvlLbl val="0"/>
      </c:catAx>
      <c:valAx>
        <c:axId val="238815664"/>
        <c:scaling>
          <c:orientation val="minMax"/>
        </c:scaling>
        <c:delete val="0"/>
        <c:axPos val="b"/>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38815104"/>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2000" b="0" i="0" u="none" strike="noStrike" kern="1200" cap="none" spc="0" normalizeH="0" baseline="0">
                <a:solidFill>
                  <a:schemeClr val="tx1">
                    <a:lumMod val="65000"/>
                    <a:lumOff val="35000"/>
                  </a:schemeClr>
                </a:solidFill>
                <a:latin typeface="+mj-lt"/>
                <a:ea typeface="+mj-ea"/>
                <a:cs typeface="+mj-cs"/>
              </a:defRPr>
            </a:pPr>
            <a:r>
              <a:rPr lang="es-CO"/>
              <a:t>Rotación anual</a:t>
            </a:r>
          </a:p>
        </c:rich>
      </c:tx>
      <c:overlay val="0"/>
      <c:spPr>
        <a:noFill/>
        <a:ln>
          <a:noFill/>
        </a:ln>
        <a:effectLst/>
      </c:spPr>
      <c:txPr>
        <a:bodyPr rot="0" spcFirstLastPara="1" vertOverflow="ellipsis" vert="horz" wrap="square" anchor="ctr" anchorCtr="1"/>
        <a:lstStyle/>
        <a:p>
          <a:pPr>
            <a:defRPr sz="2000" b="0" i="0" u="none" strike="noStrike" kern="1200" cap="none" spc="0" normalizeH="0" baseline="0">
              <a:solidFill>
                <a:schemeClr val="tx1">
                  <a:lumMod val="65000"/>
                  <a:lumOff val="35000"/>
                </a:schemeClr>
              </a:solidFill>
              <a:latin typeface="+mj-lt"/>
              <a:ea typeface="+mj-ea"/>
              <a:cs typeface="+mj-cs"/>
            </a:defRPr>
          </a:pPr>
          <a:endParaRPr lang="es-CO"/>
        </a:p>
      </c:txPr>
    </c:title>
    <c:autoTitleDeleted val="0"/>
    <c:view3D>
      <c:rotX val="15"/>
      <c:rotY val="20"/>
      <c:depthPercent val="100"/>
      <c:rAngAx val="1"/>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bar3DChart>
        <c:barDir val="bar"/>
        <c:grouping val="clustered"/>
        <c:varyColors val="0"/>
        <c:ser>
          <c:idx val="0"/>
          <c:order val="0"/>
          <c:spPr>
            <a:solidFill>
              <a:schemeClr val="accent1"/>
            </a:solidFill>
            <a:ln>
              <a:noFill/>
            </a:ln>
            <a:effectLst/>
            <a:sp3d/>
          </c:spPr>
          <c:invertIfNegative val="0"/>
          <c:cat>
            <c:numRef>
              <c:extLst>
                <c:ext xmlns:c15="http://schemas.microsoft.com/office/drawing/2012/chart" uri="{02D57815-91ED-43cb-92C2-25804820EDAC}">
                  <c15:fullRef>
                    <c15:sqref>DUPONT!$H$84:$O$84</c15:sqref>
                  </c15:fullRef>
                </c:ext>
              </c:extLst>
              <c:f>(DUPONT!$H$84:$I$84,DUPONT!$L$84:$M$84)</c:f>
              <c:numCache>
                <c:formatCode>General</c:formatCode>
                <c:ptCount val="4"/>
                <c:pt idx="0">
                  <c:v>2017</c:v>
                </c:pt>
                <c:pt idx="1">
                  <c:v>2016</c:v>
                </c:pt>
                <c:pt idx="2">
                  <c:v>2015</c:v>
                </c:pt>
                <c:pt idx="3">
                  <c:v>2014</c:v>
                </c:pt>
              </c:numCache>
            </c:numRef>
          </c:cat>
          <c:val>
            <c:numRef>
              <c:extLst>
                <c:ext xmlns:c15="http://schemas.microsoft.com/office/drawing/2012/chart" uri="{02D57815-91ED-43cb-92C2-25804820EDAC}">
                  <c15:fullRef>
                    <c15:sqref>DUPONT!$H$88:$O$88</c15:sqref>
                  </c15:fullRef>
                </c:ext>
              </c:extLst>
              <c:f>(DUPONT!$H$88:$I$88,DUPONT!$L$88:$M$88)</c:f>
              <c:numCache>
                <c:formatCode>0.00</c:formatCode>
                <c:ptCount val="4"/>
                <c:pt idx="0">
                  <c:v>1.1378797026714045</c:v>
                </c:pt>
                <c:pt idx="1">
                  <c:v>0.77188738657462652</c:v>
                </c:pt>
                <c:pt idx="2">
                  <c:v>0.77188738657462652</c:v>
                </c:pt>
                <c:pt idx="3">
                  <c:v>0.77188738657462652</c:v>
                </c:pt>
              </c:numCache>
            </c:numRef>
          </c:val>
          <c:extLst>
            <c:ext xmlns:c16="http://schemas.microsoft.com/office/drawing/2014/chart" uri="{C3380CC4-5D6E-409C-BE32-E72D297353CC}">
              <c16:uniqueId val="{00000000-C0BA-4E47-817F-915C6CC2832C}"/>
            </c:ext>
          </c:extLst>
        </c:ser>
        <c:dLbls>
          <c:showLegendKey val="0"/>
          <c:showVal val="0"/>
          <c:showCatName val="0"/>
          <c:showSerName val="0"/>
          <c:showPercent val="0"/>
          <c:showBubbleSize val="0"/>
        </c:dLbls>
        <c:gapWidth val="150"/>
        <c:shape val="box"/>
        <c:axId val="238817904"/>
        <c:axId val="238818464"/>
        <c:axId val="0"/>
      </c:bar3DChart>
      <c:catAx>
        <c:axId val="238817904"/>
        <c:scaling>
          <c:orientation val="minMax"/>
        </c:scaling>
        <c:delete val="0"/>
        <c:axPos val="l"/>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cap="none" spc="0" normalizeH="0" baseline="0">
                <a:solidFill>
                  <a:schemeClr val="tx1">
                    <a:lumMod val="65000"/>
                    <a:lumOff val="35000"/>
                  </a:schemeClr>
                </a:solidFill>
                <a:latin typeface="+mn-lt"/>
                <a:ea typeface="+mn-ea"/>
                <a:cs typeface="+mn-cs"/>
              </a:defRPr>
            </a:pPr>
            <a:endParaRPr lang="es-CO"/>
          </a:p>
        </c:txPr>
        <c:crossAx val="238818464"/>
        <c:crosses val="autoZero"/>
        <c:auto val="1"/>
        <c:lblAlgn val="ctr"/>
        <c:lblOffset val="100"/>
        <c:noMultiLvlLbl val="0"/>
      </c:catAx>
      <c:valAx>
        <c:axId val="238818464"/>
        <c:scaling>
          <c:orientation val="minMax"/>
        </c:scaling>
        <c:delete val="0"/>
        <c:axPos val="b"/>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38817904"/>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7"/>
    </mc:Choice>
    <mc:Fallback>
      <c:style val="7"/>
    </mc:Fallback>
  </mc:AlternateContent>
  <c:chart>
    <c:title>
      <c:tx>
        <c:rich>
          <a:bodyPr rot="0" spcFirstLastPara="1" vertOverflow="ellipsis" vert="horz" wrap="square" anchor="ctr" anchorCtr="1"/>
          <a:lstStyle/>
          <a:p>
            <a:pPr>
              <a:defRPr sz="2000" b="0" i="0" u="none" strike="noStrike" kern="1200" cap="none" spc="0" normalizeH="0" baseline="0">
                <a:solidFill>
                  <a:schemeClr val="tx1">
                    <a:lumMod val="65000"/>
                    <a:lumOff val="35000"/>
                  </a:schemeClr>
                </a:solidFill>
                <a:latin typeface="+mj-lt"/>
                <a:ea typeface="+mj-ea"/>
                <a:cs typeface="+mj-cs"/>
              </a:defRPr>
            </a:pPr>
            <a:r>
              <a:rPr lang="es-CO"/>
              <a:t>Multiplicador de apalancamiento</a:t>
            </a:r>
          </a:p>
        </c:rich>
      </c:tx>
      <c:overlay val="0"/>
      <c:spPr>
        <a:noFill/>
        <a:ln>
          <a:noFill/>
        </a:ln>
        <a:effectLst/>
      </c:spPr>
      <c:txPr>
        <a:bodyPr rot="0" spcFirstLastPara="1" vertOverflow="ellipsis" vert="horz" wrap="square" anchor="ctr" anchorCtr="1"/>
        <a:lstStyle/>
        <a:p>
          <a:pPr>
            <a:defRPr sz="2000" b="0" i="0" u="none" strike="noStrike" kern="1200" cap="none" spc="0" normalizeH="0" baseline="0">
              <a:solidFill>
                <a:schemeClr val="tx1">
                  <a:lumMod val="65000"/>
                  <a:lumOff val="35000"/>
                </a:schemeClr>
              </a:solidFill>
              <a:latin typeface="+mj-lt"/>
              <a:ea typeface="+mj-ea"/>
              <a:cs typeface="+mj-cs"/>
            </a:defRPr>
          </a:pPr>
          <a:endParaRPr lang="es-CO"/>
        </a:p>
      </c:txPr>
    </c:title>
    <c:autoTitleDeleted val="0"/>
    <c:view3D>
      <c:rotX val="15"/>
      <c:rotY val="20"/>
      <c:depthPercent val="100"/>
      <c:rAngAx val="1"/>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bar3DChart>
        <c:barDir val="bar"/>
        <c:grouping val="stacked"/>
        <c:varyColors val="0"/>
        <c:ser>
          <c:idx val="0"/>
          <c:order val="0"/>
          <c:spPr>
            <a:solidFill>
              <a:schemeClr val="accent5"/>
            </a:solidFill>
            <a:ln>
              <a:noFill/>
            </a:ln>
            <a:effectLst/>
            <a:sp3d/>
          </c:spPr>
          <c:invertIfNegative val="0"/>
          <c:cat>
            <c:numRef>
              <c:extLst>
                <c:ext xmlns:c15="http://schemas.microsoft.com/office/drawing/2012/chart" uri="{02D57815-91ED-43cb-92C2-25804820EDAC}">
                  <c15:fullRef>
                    <c15:sqref>DUPONT!$H$84:$O$84</c15:sqref>
                  </c15:fullRef>
                </c:ext>
              </c:extLst>
              <c:f>(DUPONT!$H$84:$I$84,DUPONT!$L$84:$M$84)</c:f>
              <c:numCache>
                <c:formatCode>General</c:formatCode>
                <c:ptCount val="4"/>
                <c:pt idx="0">
                  <c:v>2017</c:v>
                </c:pt>
                <c:pt idx="1">
                  <c:v>2016</c:v>
                </c:pt>
                <c:pt idx="2">
                  <c:v>2015</c:v>
                </c:pt>
                <c:pt idx="3">
                  <c:v>2014</c:v>
                </c:pt>
              </c:numCache>
            </c:numRef>
          </c:cat>
          <c:val>
            <c:numRef>
              <c:extLst>
                <c:ext xmlns:c15="http://schemas.microsoft.com/office/drawing/2012/chart" uri="{02D57815-91ED-43cb-92C2-25804820EDAC}">
                  <c15:fullRef>
                    <c15:sqref>DUPONT!$H$89:$O$89</c15:sqref>
                  </c15:fullRef>
                </c:ext>
              </c:extLst>
              <c:f>(DUPONT!$H$89:$I$89,DUPONT!$L$89:$M$89)</c:f>
              <c:numCache>
                <c:formatCode>0.00</c:formatCode>
                <c:ptCount val="4"/>
                <c:pt idx="0">
                  <c:v>1.3867834661556917</c:v>
                </c:pt>
                <c:pt idx="1">
                  <c:v>1.2325511324098053</c:v>
                </c:pt>
                <c:pt idx="2">
                  <c:v>1.2325511324098053</c:v>
                </c:pt>
                <c:pt idx="3">
                  <c:v>1.2325511324098053</c:v>
                </c:pt>
              </c:numCache>
            </c:numRef>
          </c:val>
          <c:extLst>
            <c:ext xmlns:c16="http://schemas.microsoft.com/office/drawing/2014/chart" uri="{C3380CC4-5D6E-409C-BE32-E72D297353CC}">
              <c16:uniqueId val="{00000000-C924-42EB-A888-BDD84F02FA3C}"/>
            </c:ext>
          </c:extLst>
        </c:ser>
        <c:dLbls>
          <c:showLegendKey val="0"/>
          <c:showVal val="0"/>
          <c:showCatName val="0"/>
          <c:showSerName val="0"/>
          <c:showPercent val="0"/>
          <c:showBubbleSize val="0"/>
        </c:dLbls>
        <c:gapWidth val="150"/>
        <c:shape val="box"/>
        <c:axId val="238820704"/>
        <c:axId val="238821264"/>
        <c:axId val="0"/>
      </c:bar3DChart>
      <c:catAx>
        <c:axId val="238820704"/>
        <c:scaling>
          <c:orientation val="minMax"/>
        </c:scaling>
        <c:delete val="0"/>
        <c:axPos val="l"/>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cap="none" spc="0" normalizeH="0" baseline="0">
                <a:solidFill>
                  <a:schemeClr val="tx1">
                    <a:lumMod val="65000"/>
                    <a:lumOff val="35000"/>
                  </a:schemeClr>
                </a:solidFill>
                <a:latin typeface="+mn-lt"/>
                <a:ea typeface="+mn-ea"/>
                <a:cs typeface="+mn-cs"/>
              </a:defRPr>
            </a:pPr>
            <a:endParaRPr lang="es-CO"/>
          </a:p>
        </c:txPr>
        <c:crossAx val="238821264"/>
        <c:crosses val="autoZero"/>
        <c:auto val="1"/>
        <c:lblAlgn val="ctr"/>
        <c:lblOffset val="100"/>
        <c:noMultiLvlLbl val="0"/>
      </c:catAx>
      <c:valAx>
        <c:axId val="238821264"/>
        <c:scaling>
          <c:orientation val="minMax"/>
        </c:scaling>
        <c:delete val="0"/>
        <c:axPos val="b"/>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38820704"/>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spPr>
        <a:noFill/>
        <a:ln>
          <a:noFill/>
        </a:ln>
        <a:effectLst/>
      </c:spPr>
      <c:txPr>
        <a:bodyPr rot="0" spcFirstLastPara="1" vertOverflow="ellipsis" vert="horz" wrap="square" anchor="ctr" anchorCtr="1"/>
        <a:lstStyle/>
        <a:p>
          <a:pPr>
            <a:defRPr sz="1400" b="0" i="0" u="none" strike="noStrike" kern="1200" cap="none" spc="0" normalizeH="0" baseline="0">
              <a:solidFill>
                <a:schemeClr val="dk1">
                  <a:lumMod val="50000"/>
                  <a:lumOff val="50000"/>
                </a:schemeClr>
              </a:solidFill>
              <a:latin typeface="+mj-lt"/>
              <a:ea typeface="+mj-ea"/>
              <a:cs typeface="+mj-cs"/>
            </a:defRPr>
          </a:pPr>
          <a:endParaRPr lang="es-CO"/>
        </a:p>
      </c:txPr>
    </c:title>
    <c:autoTitleDeleted val="0"/>
    <c:plotArea>
      <c:layout>
        <c:manualLayout>
          <c:layoutTarget val="inner"/>
          <c:xMode val="edge"/>
          <c:yMode val="edge"/>
          <c:x val="0.13567705060224172"/>
          <c:y val="0.2636564053710605"/>
          <c:w val="0.82876337295182445"/>
          <c:h val="0.56838079731275948"/>
        </c:manualLayout>
      </c:layout>
      <c:lineChart>
        <c:grouping val="standard"/>
        <c:varyColors val="0"/>
        <c:ser>
          <c:idx val="0"/>
          <c:order val="0"/>
          <c:tx>
            <c:strRef>
              <c:f>'COMPARATIVO INDUCTORES'!$B$6</c:f>
              <c:strCache>
                <c:ptCount val="1"/>
                <c:pt idx="0">
                  <c:v>EBIT/Intereses</c:v>
                </c:pt>
              </c:strCache>
            </c:strRef>
          </c:tx>
          <c:spPr>
            <a:ln w="22225" cap="rnd">
              <a:solidFill>
                <a:schemeClr val="accent2"/>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cap="flat" cmpd="sng" algn="ctr">
                      <a:solidFill>
                        <a:schemeClr val="dk1">
                          <a:lumMod val="35000"/>
                          <a:lumOff val="65000"/>
                        </a:schemeClr>
                      </a:solidFill>
                      <a:round/>
                    </a:ln>
                    <a:effectLst/>
                  </c:spPr>
                </c15:leaderLines>
              </c:ext>
            </c:extLst>
          </c:dLbls>
          <c:cat>
            <c:numRef>
              <c:f>'COMPARATIVO INDUCTORES'!$C$5:$F$5</c:f>
              <c:numCache>
                <c:formatCode>General</c:formatCode>
                <c:ptCount val="4"/>
                <c:pt idx="0">
                  <c:v>2014</c:v>
                </c:pt>
                <c:pt idx="1">
                  <c:v>2015</c:v>
                </c:pt>
                <c:pt idx="2">
                  <c:v>2016</c:v>
                </c:pt>
                <c:pt idx="3">
                  <c:v>2017</c:v>
                </c:pt>
              </c:numCache>
            </c:numRef>
          </c:cat>
          <c:val>
            <c:numRef>
              <c:f>'COMPARATIVO INDUCTORES'!$C$6:$F$6</c:f>
              <c:numCache>
                <c:formatCode>0</c:formatCode>
                <c:ptCount val="4"/>
                <c:pt idx="0">
                  <c:v>0</c:v>
                </c:pt>
                <c:pt idx="1">
                  <c:v>0</c:v>
                </c:pt>
                <c:pt idx="2" formatCode="0.00">
                  <c:v>15.032999164578111</c:v>
                </c:pt>
                <c:pt idx="3" formatCode="0.00">
                  <c:v>5.9277989494283654</c:v>
                </c:pt>
              </c:numCache>
            </c:numRef>
          </c:val>
          <c:smooth val="0"/>
          <c:extLst>
            <c:ext xmlns:c16="http://schemas.microsoft.com/office/drawing/2014/chart" uri="{C3380CC4-5D6E-409C-BE32-E72D297353CC}">
              <c16:uniqueId val="{00000000-B426-43CA-BFAF-36954F4DB88C}"/>
            </c:ext>
          </c:extLst>
        </c:ser>
        <c:dLbls>
          <c:dLblPos val="t"/>
          <c:showLegendKey val="0"/>
          <c:showVal val="1"/>
          <c:showCatName val="0"/>
          <c:showSerName val="0"/>
          <c:showPercent val="0"/>
          <c:showBubbleSize val="0"/>
        </c:dLbls>
        <c:smooth val="0"/>
        <c:axId val="239209728"/>
        <c:axId val="239210288"/>
      </c:lineChart>
      <c:catAx>
        <c:axId val="239209728"/>
        <c:scaling>
          <c:orientation val="minMax"/>
        </c:scaling>
        <c:delete val="0"/>
        <c:axPos val="b"/>
        <c:majorGridlines>
          <c:spPr>
            <a:ln w="9525" cap="flat" cmpd="sng" algn="ctr">
              <a:solidFill>
                <a:schemeClr val="dk1">
                  <a:lumMod val="15000"/>
                  <a:lumOff val="85000"/>
                  <a:alpha val="54000"/>
                </a:schemeClr>
              </a:solidFill>
              <a:round/>
            </a:ln>
            <a:effectLst/>
          </c:spPr>
        </c:majorGridlines>
        <c:minorGridlines>
          <c:spPr>
            <a:ln w="9525" cap="flat" cmpd="sng" algn="ctr">
              <a:solidFill>
                <a:schemeClr val="dk1">
                  <a:lumMod val="15000"/>
                  <a:lumOff val="85000"/>
                  <a:alpha val="51000"/>
                </a:schemeClr>
              </a:solidFill>
              <a:round/>
            </a:ln>
            <a:effectLst/>
          </c:spPr>
        </c:minorGridlines>
        <c:numFmt formatCode="General" sourceLinked="1"/>
        <c:majorTickMark val="none"/>
        <c:minorTickMark val="none"/>
        <c:tickLblPos val="nextTo"/>
        <c:spPr>
          <a:noFill/>
          <a:ln w="9525" cap="flat" cmpd="sng" algn="ctr">
            <a:solidFill>
              <a:schemeClr val="dk1">
                <a:lumMod val="15000"/>
                <a:lumOff val="85000"/>
              </a:schemeClr>
            </a:solidFill>
            <a:round/>
          </a:ln>
          <a:effectLst/>
        </c:spPr>
        <c:txPr>
          <a:bodyPr rot="-60000000" spcFirstLastPara="1" vertOverflow="ellipsis" vert="horz" wrap="square" anchor="ctr" anchorCtr="1"/>
          <a:lstStyle/>
          <a:p>
            <a:pPr>
              <a:defRPr sz="900" b="0" i="0" u="none" strike="noStrike" kern="1200" cap="none" spc="0" normalizeH="0" baseline="0">
                <a:solidFill>
                  <a:schemeClr val="dk1">
                    <a:lumMod val="65000"/>
                    <a:lumOff val="35000"/>
                  </a:schemeClr>
                </a:solidFill>
                <a:latin typeface="+mn-lt"/>
                <a:ea typeface="+mn-ea"/>
                <a:cs typeface="+mn-cs"/>
              </a:defRPr>
            </a:pPr>
            <a:endParaRPr lang="es-CO"/>
          </a:p>
        </c:txPr>
        <c:crossAx val="239210288"/>
        <c:crosses val="autoZero"/>
        <c:auto val="1"/>
        <c:lblAlgn val="ctr"/>
        <c:lblOffset val="100"/>
        <c:noMultiLvlLbl val="0"/>
      </c:catAx>
      <c:valAx>
        <c:axId val="239210288"/>
        <c:scaling>
          <c:orientation val="minMax"/>
        </c:scaling>
        <c:delete val="0"/>
        <c:axPos val="l"/>
        <c:majorGridlines>
          <c:spPr>
            <a:ln w="9525" cap="flat" cmpd="sng" algn="ctr">
              <a:solidFill>
                <a:schemeClr val="dk1">
                  <a:lumMod val="15000"/>
                  <a:lumOff val="85000"/>
                  <a:alpha val="54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es-CO"/>
          </a:p>
        </c:txPr>
        <c:crossAx val="239209728"/>
        <c:crosses val="autoZero"/>
        <c:crossBetween val="between"/>
      </c:valAx>
      <c:spPr>
        <a:pattFill prst="ltDnDiag">
          <a:fgClr>
            <a:schemeClr val="dk1">
              <a:lumMod val="15000"/>
              <a:lumOff val="85000"/>
            </a:schemeClr>
          </a:fgClr>
          <a:bgClr>
            <a:schemeClr val="lt1"/>
          </a:bgClr>
        </a:pattFill>
        <a:ln>
          <a:noFill/>
        </a:ln>
        <a:effectLst/>
      </c:spPr>
    </c:plotArea>
    <c:plotVisOnly val="1"/>
    <c:dispBlanksAs val="gap"/>
    <c:showDLblsOverMax val="0"/>
  </c:chart>
  <c:spPr>
    <a:solidFill>
      <a:schemeClr val="lt1"/>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spPr>
        <a:noFill/>
        <a:ln>
          <a:noFill/>
        </a:ln>
        <a:effectLst/>
      </c:spPr>
      <c:txPr>
        <a:bodyPr rot="0" spcFirstLastPara="1" vertOverflow="ellipsis" vert="horz" wrap="square" anchor="ctr" anchorCtr="1"/>
        <a:lstStyle/>
        <a:p>
          <a:pPr>
            <a:defRPr sz="1400" b="0" i="0" u="none" strike="noStrike" kern="1200" cap="none" spc="0" normalizeH="0" baseline="0">
              <a:solidFill>
                <a:schemeClr val="dk1">
                  <a:lumMod val="50000"/>
                  <a:lumOff val="50000"/>
                </a:schemeClr>
              </a:solidFill>
              <a:latin typeface="+mj-lt"/>
              <a:ea typeface="+mj-ea"/>
              <a:cs typeface="+mj-cs"/>
            </a:defRPr>
          </a:pPr>
          <a:endParaRPr lang="es-CO"/>
        </a:p>
      </c:txPr>
    </c:title>
    <c:autoTitleDeleted val="0"/>
    <c:plotArea>
      <c:layout/>
      <c:lineChart>
        <c:grouping val="standard"/>
        <c:varyColors val="0"/>
        <c:ser>
          <c:idx val="0"/>
          <c:order val="0"/>
          <c:tx>
            <c:strRef>
              <c:f>'COMPARATIVO INDUCTORES'!$B$7</c:f>
              <c:strCache>
                <c:ptCount val="1"/>
                <c:pt idx="0">
                  <c:v>KTNO</c:v>
                </c:pt>
              </c:strCache>
            </c:strRef>
          </c:tx>
          <c:spPr>
            <a:ln w="22225" cap="rnd">
              <a:solidFill>
                <a:schemeClr val="accent6"/>
              </a:solidFill>
              <a:round/>
            </a:ln>
            <a:effectLst/>
          </c:spPr>
          <c:marker>
            <c:symbol val="none"/>
          </c:marker>
          <c:dLbls>
            <c:dLbl>
              <c:idx val="1"/>
              <c:layout/>
              <c:dLblPos val="t"/>
              <c:showLegendKey val="0"/>
              <c:showVal val="1"/>
              <c:showCatName val="0"/>
              <c:showSerName val="0"/>
              <c:showPercent val="0"/>
              <c:showBubbleSize val="0"/>
              <c:extLst>
                <c:ext xmlns:c15="http://schemas.microsoft.com/office/drawing/2012/chart" uri="{CE6537A1-D6FC-4f65-9D91-7224C49458BB}">
                  <c15:layout>
                    <c:manualLayout>
                      <c:w val="0.26637695390173799"/>
                      <c:h val="0.25816933045893664"/>
                    </c:manualLayout>
                  </c15:layout>
                </c:ext>
                <c:ext xmlns:c16="http://schemas.microsoft.com/office/drawing/2014/chart" uri="{C3380CC4-5D6E-409C-BE32-E72D297353CC}">
                  <c16:uniqueId val="{00000000-1EE7-4B8B-A7C9-CB69510D3D7E}"/>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cap="flat" cmpd="sng" algn="ctr">
                      <a:solidFill>
                        <a:schemeClr val="dk1">
                          <a:lumMod val="35000"/>
                          <a:lumOff val="65000"/>
                        </a:schemeClr>
                      </a:solidFill>
                      <a:round/>
                    </a:ln>
                    <a:effectLst/>
                  </c:spPr>
                </c15:leaderLines>
              </c:ext>
            </c:extLst>
          </c:dLbls>
          <c:cat>
            <c:numRef>
              <c:f>'COMPARATIVO INDUCTORES'!$C$5:$F$5</c:f>
              <c:numCache>
                <c:formatCode>General</c:formatCode>
                <c:ptCount val="4"/>
                <c:pt idx="0">
                  <c:v>2014</c:v>
                </c:pt>
                <c:pt idx="1">
                  <c:v>2015</c:v>
                </c:pt>
                <c:pt idx="2">
                  <c:v>2016</c:v>
                </c:pt>
                <c:pt idx="3">
                  <c:v>2017</c:v>
                </c:pt>
              </c:numCache>
            </c:numRef>
          </c:cat>
          <c:val>
            <c:numRef>
              <c:f>'COMPARATIVO INDUCTORES'!$C$7:$F$7</c:f>
              <c:numCache>
                <c:formatCode>_("$"* #,##0_);_("$"* \(#,##0\);_("$"* "-"??_);_(@_)</c:formatCode>
                <c:ptCount val="4"/>
                <c:pt idx="0">
                  <c:v>43365000</c:v>
                </c:pt>
                <c:pt idx="1">
                  <c:v>-59990000</c:v>
                </c:pt>
                <c:pt idx="2">
                  <c:v>22181000</c:v>
                </c:pt>
                <c:pt idx="3">
                  <c:v>94053000</c:v>
                </c:pt>
              </c:numCache>
            </c:numRef>
          </c:val>
          <c:smooth val="0"/>
          <c:extLst>
            <c:ext xmlns:c16="http://schemas.microsoft.com/office/drawing/2014/chart" uri="{C3380CC4-5D6E-409C-BE32-E72D297353CC}">
              <c16:uniqueId val="{00000001-1EE7-4B8B-A7C9-CB69510D3D7E}"/>
            </c:ext>
          </c:extLst>
        </c:ser>
        <c:dLbls>
          <c:dLblPos val="t"/>
          <c:showLegendKey val="0"/>
          <c:showVal val="1"/>
          <c:showCatName val="0"/>
          <c:showSerName val="0"/>
          <c:showPercent val="0"/>
          <c:showBubbleSize val="0"/>
        </c:dLbls>
        <c:smooth val="0"/>
        <c:axId val="239212528"/>
        <c:axId val="239213088"/>
      </c:lineChart>
      <c:catAx>
        <c:axId val="239212528"/>
        <c:scaling>
          <c:orientation val="minMax"/>
        </c:scaling>
        <c:delete val="0"/>
        <c:axPos val="b"/>
        <c:majorGridlines>
          <c:spPr>
            <a:ln w="9525" cap="flat" cmpd="sng" algn="ctr">
              <a:solidFill>
                <a:schemeClr val="dk1">
                  <a:lumMod val="15000"/>
                  <a:lumOff val="85000"/>
                  <a:alpha val="54000"/>
                </a:schemeClr>
              </a:solidFill>
              <a:round/>
            </a:ln>
            <a:effectLst/>
          </c:spPr>
        </c:majorGridlines>
        <c:minorGridlines>
          <c:spPr>
            <a:ln w="9525" cap="flat" cmpd="sng" algn="ctr">
              <a:solidFill>
                <a:schemeClr val="dk1">
                  <a:lumMod val="15000"/>
                  <a:lumOff val="85000"/>
                  <a:alpha val="51000"/>
                </a:schemeClr>
              </a:solidFill>
              <a:round/>
            </a:ln>
            <a:effectLst/>
          </c:spPr>
        </c:minorGridlines>
        <c:numFmt formatCode="General" sourceLinked="1"/>
        <c:majorTickMark val="none"/>
        <c:minorTickMark val="none"/>
        <c:tickLblPos val="nextTo"/>
        <c:spPr>
          <a:noFill/>
          <a:ln w="9525" cap="flat" cmpd="sng" algn="ctr">
            <a:solidFill>
              <a:schemeClr val="dk1">
                <a:lumMod val="15000"/>
                <a:lumOff val="85000"/>
              </a:schemeClr>
            </a:solidFill>
            <a:round/>
          </a:ln>
          <a:effectLst/>
        </c:spPr>
        <c:txPr>
          <a:bodyPr rot="-60000000" spcFirstLastPara="1" vertOverflow="ellipsis" vert="horz" wrap="square" anchor="ctr" anchorCtr="1"/>
          <a:lstStyle/>
          <a:p>
            <a:pPr>
              <a:defRPr sz="900" b="0" i="0" u="none" strike="noStrike" kern="1200" cap="none" spc="0" normalizeH="0" baseline="0">
                <a:solidFill>
                  <a:schemeClr val="dk1">
                    <a:lumMod val="65000"/>
                    <a:lumOff val="35000"/>
                  </a:schemeClr>
                </a:solidFill>
                <a:latin typeface="+mn-lt"/>
                <a:ea typeface="+mn-ea"/>
                <a:cs typeface="+mn-cs"/>
              </a:defRPr>
            </a:pPr>
            <a:endParaRPr lang="es-CO"/>
          </a:p>
        </c:txPr>
        <c:crossAx val="239213088"/>
        <c:crosses val="autoZero"/>
        <c:auto val="1"/>
        <c:lblAlgn val="ctr"/>
        <c:lblOffset val="100"/>
        <c:noMultiLvlLbl val="0"/>
      </c:catAx>
      <c:valAx>
        <c:axId val="239213088"/>
        <c:scaling>
          <c:orientation val="minMax"/>
        </c:scaling>
        <c:delete val="0"/>
        <c:axPos val="l"/>
        <c:majorGridlines>
          <c:spPr>
            <a:ln w="9525" cap="flat" cmpd="sng" algn="ctr">
              <a:solidFill>
                <a:schemeClr val="dk1">
                  <a:lumMod val="15000"/>
                  <a:lumOff val="85000"/>
                  <a:alpha val="54000"/>
                </a:schemeClr>
              </a:solidFill>
              <a:round/>
            </a:ln>
            <a:effectLst/>
          </c:spPr>
        </c:majorGridlines>
        <c:numFmt formatCode="_(&quot;$&quot;* #,##0_);_(&quot;$&quot;* \(#,##0\);_(&quot;$&quot;*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es-CO"/>
          </a:p>
        </c:txPr>
        <c:crossAx val="239212528"/>
        <c:crosses val="autoZero"/>
        <c:crossBetween val="between"/>
      </c:valAx>
      <c:spPr>
        <a:pattFill prst="ltDnDiag">
          <a:fgClr>
            <a:schemeClr val="dk1">
              <a:lumMod val="15000"/>
              <a:lumOff val="85000"/>
            </a:schemeClr>
          </a:fgClr>
          <a:bgClr>
            <a:schemeClr val="lt1"/>
          </a:bgClr>
        </a:pattFill>
        <a:ln>
          <a:noFill/>
        </a:ln>
        <a:effectLst/>
      </c:spPr>
    </c:plotArea>
    <c:plotVisOnly val="1"/>
    <c:dispBlanksAs val="gap"/>
    <c:showDLblsOverMax val="0"/>
  </c:chart>
  <c:spPr>
    <a:solidFill>
      <a:schemeClr val="lt1"/>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2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spPr>
        <a:noFill/>
        <a:ln>
          <a:noFill/>
        </a:ln>
        <a:effectLst/>
      </c:spPr>
      <c:txPr>
        <a:bodyPr rot="0" spcFirstLastPara="1" vertOverflow="ellipsis" vert="horz" wrap="square" anchor="ctr" anchorCtr="1"/>
        <a:lstStyle/>
        <a:p>
          <a:pPr>
            <a:defRPr sz="1400" b="0" i="0" u="none" strike="noStrike" kern="1200" cap="none" spc="0" normalizeH="0" baseline="0">
              <a:solidFill>
                <a:schemeClr val="dk1">
                  <a:lumMod val="50000"/>
                  <a:lumOff val="50000"/>
                </a:schemeClr>
              </a:solidFill>
              <a:latin typeface="+mj-lt"/>
              <a:ea typeface="+mj-ea"/>
              <a:cs typeface="+mj-cs"/>
            </a:defRPr>
          </a:pPr>
          <a:endParaRPr lang="es-CO"/>
        </a:p>
      </c:txPr>
    </c:title>
    <c:autoTitleDeleted val="0"/>
    <c:plotArea>
      <c:layout/>
      <c:lineChart>
        <c:grouping val="standard"/>
        <c:varyColors val="0"/>
        <c:ser>
          <c:idx val="0"/>
          <c:order val="0"/>
          <c:tx>
            <c:strRef>
              <c:f>'COMPARATIVO INDUCTORES'!$B$8</c:f>
              <c:strCache>
                <c:ptCount val="1"/>
                <c:pt idx="0">
                  <c:v>PKT</c:v>
                </c:pt>
              </c:strCache>
            </c:strRef>
          </c:tx>
          <c:spPr>
            <a:ln w="22225" cap="rnd">
              <a:solidFill>
                <a:schemeClr val="accent1"/>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cap="flat" cmpd="sng" algn="ctr">
                      <a:solidFill>
                        <a:schemeClr val="dk1">
                          <a:lumMod val="35000"/>
                          <a:lumOff val="65000"/>
                        </a:schemeClr>
                      </a:solidFill>
                      <a:round/>
                    </a:ln>
                    <a:effectLst/>
                  </c:spPr>
                </c15:leaderLines>
              </c:ext>
            </c:extLst>
          </c:dLbls>
          <c:cat>
            <c:numRef>
              <c:f>'COMPARATIVO INDUCTORES'!$C$5:$F$5</c:f>
              <c:numCache>
                <c:formatCode>General</c:formatCode>
                <c:ptCount val="4"/>
                <c:pt idx="0">
                  <c:v>2014</c:v>
                </c:pt>
                <c:pt idx="1">
                  <c:v>2015</c:v>
                </c:pt>
                <c:pt idx="2">
                  <c:v>2016</c:v>
                </c:pt>
                <c:pt idx="3">
                  <c:v>2017</c:v>
                </c:pt>
              </c:numCache>
            </c:numRef>
          </c:cat>
          <c:val>
            <c:numRef>
              <c:f>'COMPARATIVO INDUCTORES'!$C$8:$F$8</c:f>
              <c:numCache>
                <c:formatCode>0.00%</c:formatCode>
                <c:ptCount val="4"/>
                <c:pt idx="0">
                  <c:v>0.6996611810261375</c:v>
                </c:pt>
                <c:pt idx="1">
                  <c:v>-0.17431757820899513</c:v>
                </c:pt>
                <c:pt idx="2">
                  <c:v>3.3451166213733965E-2</c:v>
                </c:pt>
                <c:pt idx="3">
                  <c:v>8.186508924359244E-2</c:v>
                </c:pt>
              </c:numCache>
            </c:numRef>
          </c:val>
          <c:smooth val="0"/>
          <c:extLst>
            <c:ext xmlns:c16="http://schemas.microsoft.com/office/drawing/2014/chart" uri="{C3380CC4-5D6E-409C-BE32-E72D297353CC}">
              <c16:uniqueId val="{00000000-CD35-473E-AA63-0840E1652662}"/>
            </c:ext>
          </c:extLst>
        </c:ser>
        <c:dLbls>
          <c:dLblPos val="t"/>
          <c:showLegendKey val="0"/>
          <c:showVal val="1"/>
          <c:showCatName val="0"/>
          <c:showSerName val="0"/>
          <c:showPercent val="0"/>
          <c:showBubbleSize val="0"/>
        </c:dLbls>
        <c:smooth val="0"/>
        <c:axId val="239215328"/>
        <c:axId val="239545008"/>
      </c:lineChart>
      <c:catAx>
        <c:axId val="239215328"/>
        <c:scaling>
          <c:orientation val="minMax"/>
        </c:scaling>
        <c:delete val="0"/>
        <c:axPos val="b"/>
        <c:majorGridlines>
          <c:spPr>
            <a:ln w="9525" cap="flat" cmpd="sng" algn="ctr">
              <a:solidFill>
                <a:schemeClr val="dk1">
                  <a:lumMod val="15000"/>
                  <a:lumOff val="85000"/>
                  <a:alpha val="54000"/>
                </a:schemeClr>
              </a:solidFill>
              <a:round/>
            </a:ln>
            <a:effectLst/>
          </c:spPr>
        </c:majorGridlines>
        <c:minorGridlines>
          <c:spPr>
            <a:ln w="9525" cap="flat" cmpd="sng" algn="ctr">
              <a:solidFill>
                <a:schemeClr val="dk1">
                  <a:lumMod val="15000"/>
                  <a:lumOff val="85000"/>
                  <a:alpha val="51000"/>
                </a:schemeClr>
              </a:solidFill>
              <a:round/>
            </a:ln>
            <a:effectLst/>
          </c:spPr>
        </c:minorGridlines>
        <c:numFmt formatCode="General" sourceLinked="1"/>
        <c:majorTickMark val="none"/>
        <c:minorTickMark val="none"/>
        <c:tickLblPos val="nextTo"/>
        <c:spPr>
          <a:noFill/>
          <a:ln w="9525" cap="flat" cmpd="sng" algn="ctr">
            <a:solidFill>
              <a:schemeClr val="dk1">
                <a:lumMod val="15000"/>
                <a:lumOff val="85000"/>
              </a:schemeClr>
            </a:solidFill>
            <a:round/>
          </a:ln>
          <a:effectLst/>
        </c:spPr>
        <c:txPr>
          <a:bodyPr rot="-60000000" spcFirstLastPara="1" vertOverflow="ellipsis" vert="horz" wrap="square" anchor="ctr" anchorCtr="1"/>
          <a:lstStyle/>
          <a:p>
            <a:pPr>
              <a:defRPr sz="900" b="0" i="0" u="none" strike="noStrike" kern="1200" cap="none" spc="0" normalizeH="0" baseline="0">
                <a:solidFill>
                  <a:schemeClr val="dk1">
                    <a:lumMod val="65000"/>
                    <a:lumOff val="35000"/>
                  </a:schemeClr>
                </a:solidFill>
                <a:latin typeface="+mn-lt"/>
                <a:ea typeface="+mn-ea"/>
                <a:cs typeface="+mn-cs"/>
              </a:defRPr>
            </a:pPr>
            <a:endParaRPr lang="es-CO"/>
          </a:p>
        </c:txPr>
        <c:crossAx val="239545008"/>
        <c:crosses val="autoZero"/>
        <c:auto val="1"/>
        <c:lblAlgn val="ctr"/>
        <c:lblOffset val="100"/>
        <c:noMultiLvlLbl val="0"/>
      </c:catAx>
      <c:valAx>
        <c:axId val="239545008"/>
        <c:scaling>
          <c:orientation val="minMax"/>
        </c:scaling>
        <c:delete val="0"/>
        <c:axPos val="l"/>
        <c:majorGridlines>
          <c:spPr>
            <a:ln w="9525" cap="flat" cmpd="sng" algn="ctr">
              <a:solidFill>
                <a:schemeClr val="dk1">
                  <a:lumMod val="15000"/>
                  <a:lumOff val="85000"/>
                  <a:alpha val="54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es-CO"/>
          </a:p>
        </c:txPr>
        <c:crossAx val="239215328"/>
        <c:crosses val="autoZero"/>
        <c:crossBetween val="between"/>
      </c:valAx>
      <c:spPr>
        <a:pattFill prst="ltDnDiag">
          <a:fgClr>
            <a:schemeClr val="dk1">
              <a:lumMod val="15000"/>
              <a:lumOff val="85000"/>
            </a:schemeClr>
          </a:fgClr>
          <a:bgClr>
            <a:schemeClr val="lt1"/>
          </a:bgClr>
        </a:pattFill>
        <a:ln>
          <a:noFill/>
        </a:ln>
        <a:effectLst/>
      </c:spPr>
    </c:plotArea>
    <c:plotVisOnly val="1"/>
    <c:dispBlanksAs val="gap"/>
    <c:showDLblsOverMax val="0"/>
  </c:chart>
  <c:spPr>
    <a:solidFill>
      <a:schemeClr val="lt1"/>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2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5"/>
    </mc:Choice>
    <mc:Fallback>
      <c:style val="5"/>
    </mc:Fallback>
  </mc:AlternateContent>
  <c:chart>
    <c:title>
      <c:layout/>
      <c:overlay val="0"/>
      <c:spPr>
        <a:noFill/>
        <a:ln>
          <a:noFill/>
        </a:ln>
        <a:effectLst/>
      </c:spPr>
      <c:txPr>
        <a:bodyPr rot="0" spcFirstLastPara="1" vertOverflow="ellipsis" vert="horz" wrap="square" anchor="ctr" anchorCtr="1"/>
        <a:lstStyle/>
        <a:p>
          <a:pPr>
            <a:defRPr sz="1400" b="0" i="0" u="none" strike="noStrike" kern="1200" cap="none" spc="0" normalizeH="0" baseline="0">
              <a:solidFill>
                <a:schemeClr val="dk1">
                  <a:lumMod val="50000"/>
                  <a:lumOff val="50000"/>
                </a:schemeClr>
              </a:solidFill>
              <a:latin typeface="+mj-lt"/>
              <a:ea typeface="+mj-ea"/>
              <a:cs typeface="+mj-cs"/>
            </a:defRPr>
          </a:pPr>
          <a:endParaRPr lang="es-CO"/>
        </a:p>
      </c:txPr>
    </c:title>
    <c:autoTitleDeleted val="0"/>
    <c:plotArea>
      <c:layout/>
      <c:lineChart>
        <c:grouping val="standard"/>
        <c:varyColors val="0"/>
        <c:ser>
          <c:idx val="0"/>
          <c:order val="0"/>
          <c:tx>
            <c:strRef>
              <c:f>'COMPARATIVO INDUCTORES'!$B$9</c:f>
              <c:strCache>
                <c:ptCount val="1"/>
                <c:pt idx="0">
                  <c:v>EBITDA</c:v>
                </c:pt>
              </c:strCache>
            </c:strRef>
          </c:tx>
          <c:spPr>
            <a:ln w="22225" cap="rnd">
              <a:solidFill>
                <a:schemeClr val="accent3"/>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cap="flat" cmpd="sng" algn="ctr">
                      <a:solidFill>
                        <a:schemeClr val="dk1">
                          <a:lumMod val="35000"/>
                          <a:lumOff val="65000"/>
                        </a:schemeClr>
                      </a:solidFill>
                      <a:round/>
                    </a:ln>
                    <a:effectLst/>
                  </c:spPr>
                </c15:leaderLines>
              </c:ext>
            </c:extLst>
          </c:dLbls>
          <c:cat>
            <c:numRef>
              <c:f>'COMPARATIVO INDUCTORES'!$C$5:$F$5</c:f>
              <c:numCache>
                <c:formatCode>General</c:formatCode>
                <c:ptCount val="4"/>
                <c:pt idx="0">
                  <c:v>2014</c:v>
                </c:pt>
                <c:pt idx="1">
                  <c:v>2015</c:v>
                </c:pt>
                <c:pt idx="2">
                  <c:v>2016</c:v>
                </c:pt>
                <c:pt idx="3">
                  <c:v>2017</c:v>
                </c:pt>
              </c:numCache>
            </c:numRef>
          </c:cat>
          <c:val>
            <c:numRef>
              <c:f>'COMPARATIVO INDUCTORES'!$C$9:$F$9</c:f>
              <c:numCache>
                <c:formatCode>_("$"* #,##0_);_("$"* \(#,##0\);_("$"* "-"??_);_(@_)</c:formatCode>
                <c:ptCount val="4"/>
                <c:pt idx="0">
                  <c:v>8174000</c:v>
                </c:pt>
                <c:pt idx="1">
                  <c:v>68781000</c:v>
                </c:pt>
                <c:pt idx="2">
                  <c:v>71099000</c:v>
                </c:pt>
                <c:pt idx="3">
                  <c:v>208506000</c:v>
                </c:pt>
              </c:numCache>
            </c:numRef>
          </c:val>
          <c:smooth val="0"/>
          <c:extLst>
            <c:ext xmlns:c16="http://schemas.microsoft.com/office/drawing/2014/chart" uri="{C3380CC4-5D6E-409C-BE32-E72D297353CC}">
              <c16:uniqueId val="{00000000-773A-4609-8E04-FD8D71B0E439}"/>
            </c:ext>
          </c:extLst>
        </c:ser>
        <c:dLbls>
          <c:dLblPos val="t"/>
          <c:showLegendKey val="0"/>
          <c:showVal val="1"/>
          <c:showCatName val="0"/>
          <c:showSerName val="0"/>
          <c:showPercent val="0"/>
          <c:showBubbleSize val="0"/>
        </c:dLbls>
        <c:smooth val="0"/>
        <c:axId val="239547248"/>
        <c:axId val="239547808"/>
      </c:lineChart>
      <c:catAx>
        <c:axId val="239547248"/>
        <c:scaling>
          <c:orientation val="minMax"/>
        </c:scaling>
        <c:delete val="0"/>
        <c:axPos val="b"/>
        <c:majorGridlines>
          <c:spPr>
            <a:ln w="9525" cap="flat" cmpd="sng" algn="ctr">
              <a:solidFill>
                <a:schemeClr val="dk1">
                  <a:lumMod val="15000"/>
                  <a:lumOff val="85000"/>
                  <a:alpha val="54000"/>
                </a:schemeClr>
              </a:solidFill>
              <a:round/>
            </a:ln>
            <a:effectLst/>
          </c:spPr>
        </c:majorGridlines>
        <c:minorGridlines>
          <c:spPr>
            <a:ln w="9525" cap="flat" cmpd="sng" algn="ctr">
              <a:solidFill>
                <a:schemeClr val="dk1">
                  <a:lumMod val="15000"/>
                  <a:lumOff val="85000"/>
                  <a:alpha val="51000"/>
                </a:schemeClr>
              </a:solidFill>
              <a:round/>
            </a:ln>
            <a:effectLst/>
          </c:spPr>
        </c:minorGridlines>
        <c:numFmt formatCode="General" sourceLinked="1"/>
        <c:majorTickMark val="none"/>
        <c:minorTickMark val="none"/>
        <c:tickLblPos val="nextTo"/>
        <c:spPr>
          <a:noFill/>
          <a:ln w="9525" cap="flat" cmpd="sng" algn="ctr">
            <a:solidFill>
              <a:schemeClr val="dk1">
                <a:lumMod val="15000"/>
                <a:lumOff val="85000"/>
              </a:schemeClr>
            </a:solidFill>
            <a:round/>
          </a:ln>
          <a:effectLst/>
        </c:spPr>
        <c:txPr>
          <a:bodyPr rot="-60000000" spcFirstLastPara="1" vertOverflow="ellipsis" vert="horz" wrap="square" anchor="ctr" anchorCtr="1"/>
          <a:lstStyle/>
          <a:p>
            <a:pPr>
              <a:defRPr sz="900" b="0" i="0" u="none" strike="noStrike" kern="1200" cap="none" spc="0" normalizeH="0" baseline="0">
                <a:solidFill>
                  <a:schemeClr val="dk1">
                    <a:lumMod val="65000"/>
                    <a:lumOff val="35000"/>
                  </a:schemeClr>
                </a:solidFill>
                <a:latin typeface="+mn-lt"/>
                <a:ea typeface="+mn-ea"/>
                <a:cs typeface="+mn-cs"/>
              </a:defRPr>
            </a:pPr>
            <a:endParaRPr lang="es-CO"/>
          </a:p>
        </c:txPr>
        <c:crossAx val="239547808"/>
        <c:crosses val="autoZero"/>
        <c:auto val="1"/>
        <c:lblAlgn val="ctr"/>
        <c:lblOffset val="100"/>
        <c:noMultiLvlLbl val="0"/>
      </c:catAx>
      <c:valAx>
        <c:axId val="239547808"/>
        <c:scaling>
          <c:orientation val="minMax"/>
        </c:scaling>
        <c:delete val="0"/>
        <c:axPos val="l"/>
        <c:majorGridlines>
          <c:spPr>
            <a:ln w="9525" cap="flat" cmpd="sng" algn="ctr">
              <a:solidFill>
                <a:schemeClr val="dk1">
                  <a:lumMod val="15000"/>
                  <a:lumOff val="85000"/>
                  <a:alpha val="54000"/>
                </a:schemeClr>
              </a:solidFill>
              <a:round/>
            </a:ln>
            <a:effectLst/>
          </c:spPr>
        </c:majorGridlines>
        <c:numFmt formatCode="_(&quot;$&quot;* #,##0_);_(&quot;$&quot;* \(#,##0\);_(&quot;$&quot;*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es-CO"/>
          </a:p>
        </c:txPr>
        <c:crossAx val="239547248"/>
        <c:crosses val="autoZero"/>
        <c:crossBetween val="between"/>
      </c:valAx>
      <c:spPr>
        <a:pattFill prst="ltDnDiag">
          <a:fgClr>
            <a:schemeClr val="dk1">
              <a:lumMod val="15000"/>
              <a:lumOff val="85000"/>
            </a:schemeClr>
          </a:fgClr>
          <a:bgClr>
            <a:schemeClr val="lt1"/>
          </a:bgClr>
        </a:pattFill>
        <a:ln>
          <a:noFill/>
        </a:ln>
        <a:effectLst/>
      </c:spPr>
    </c:plotArea>
    <c:plotVisOnly val="1"/>
    <c:dispBlanksAs val="gap"/>
    <c:showDLblsOverMax val="0"/>
  </c:chart>
  <c:spPr>
    <a:solidFill>
      <a:schemeClr val="lt1"/>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2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6"/>
    </mc:Choice>
    <mc:Fallback>
      <c:style val="6"/>
    </mc:Fallback>
  </mc:AlternateContent>
  <c:chart>
    <c:title>
      <c:layout/>
      <c:overlay val="0"/>
      <c:spPr>
        <a:noFill/>
        <a:ln>
          <a:noFill/>
        </a:ln>
        <a:effectLst/>
      </c:spPr>
      <c:txPr>
        <a:bodyPr rot="0" spcFirstLastPara="1" vertOverflow="ellipsis" vert="horz" wrap="square" anchor="ctr" anchorCtr="1"/>
        <a:lstStyle/>
        <a:p>
          <a:pPr>
            <a:defRPr sz="1400" b="0" i="0" u="none" strike="noStrike" kern="1200" cap="none" spc="0" normalizeH="0" baseline="0">
              <a:solidFill>
                <a:schemeClr val="dk1">
                  <a:lumMod val="50000"/>
                  <a:lumOff val="50000"/>
                </a:schemeClr>
              </a:solidFill>
              <a:latin typeface="+mj-lt"/>
              <a:ea typeface="+mj-ea"/>
              <a:cs typeface="+mj-cs"/>
            </a:defRPr>
          </a:pPr>
          <a:endParaRPr lang="es-CO"/>
        </a:p>
      </c:txPr>
    </c:title>
    <c:autoTitleDeleted val="0"/>
    <c:plotArea>
      <c:layout/>
      <c:lineChart>
        <c:grouping val="standard"/>
        <c:varyColors val="0"/>
        <c:ser>
          <c:idx val="0"/>
          <c:order val="0"/>
          <c:tx>
            <c:strRef>
              <c:f>'COMPARATIVO INDUCTORES'!$B$10</c:f>
              <c:strCache>
                <c:ptCount val="1"/>
                <c:pt idx="0">
                  <c:v>MARGEN EBITDA</c:v>
                </c:pt>
              </c:strCache>
            </c:strRef>
          </c:tx>
          <c:spPr>
            <a:ln w="22225" cap="rnd">
              <a:solidFill>
                <a:schemeClr val="accent4"/>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cap="flat" cmpd="sng" algn="ctr">
                      <a:solidFill>
                        <a:schemeClr val="dk1">
                          <a:lumMod val="35000"/>
                          <a:lumOff val="65000"/>
                        </a:schemeClr>
                      </a:solidFill>
                      <a:round/>
                    </a:ln>
                    <a:effectLst/>
                  </c:spPr>
                </c15:leaderLines>
              </c:ext>
            </c:extLst>
          </c:dLbls>
          <c:cat>
            <c:numRef>
              <c:f>'COMPARATIVO INDUCTORES'!$C$5:$F$5</c:f>
              <c:numCache>
                <c:formatCode>General</c:formatCode>
                <c:ptCount val="4"/>
                <c:pt idx="0">
                  <c:v>2014</c:v>
                </c:pt>
                <c:pt idx="1">
                  <c:v>2015</c:v>
                </c:pt>
                <c:pt idx="2">
                  <c:v>2016</c:v>
                </c:pt>
                <c:pt idx="3">
                  <c:v>2017</c:v>
                </c:pt>
              </c:numCache>
            </c:numRef>
          </c:cat>
          <c:val>
            <c:numRef>
              <c:f>'COMPARATIVO INDUCTORES'!$C$10:$F$10</c:f>
              <c:numCache>
                <c:formatCode>0.00%</c:formatCode>
                <c:ptCount val="4"/>
                <c:pt idx="0">
                  <c:v>0.13188125201677961</c:v>
                </c:pt>
                <c:pt idx="1">
                  <c:v>0.19986226615757449</c:v>
                </c:pt>
                <c:pt idx="2">
                  <c:v>0.10722440226456297</c:v>
                </c:pt>
                <c:pt idx="3">
                  <c:v>0.18148663304545826</c:v>
                </c:pt>
              </c:numCache>
            </c:numRef>
          </c:val>
          <c:smooth val="0"/>
          <c:extLst>
            <c:ext xmlns:c16="http://schemas.microsoft.com/office/drawing/2014/chart" uri="{C3380CC4-5D6E-409C-BE32-E72D297353CC}">
              <c16:uniqueId val="{00000000-CE33-44D9-98CE-1B262EE8B18A}"/>
            </c:ext>
          </c:extLst>
        </c:ser>
        <c:dLbls>
          <c:dLblPos val="t"/>
          <c:showLegendKey val="0"/>
          <c:showVal val="1"/>
          <c:showCatName val="0"/>
          <c:showSerName val="0"/>
          <c:showPercent val="0"/>
          <c:showBubbleSize val="0"/>
        </c:dLbls>
        <c:smooth val="0"/>
        <c:axId val="239550048"/>
        <c:axId val="239550608"/>
      </c:lineChart>
      <c:catAx>
        <c:axId val="239550048"/>
        <c:scaling>
          <c:orientation val="minMax"/>
        </c:scaling>
        <c:delete val="0"/>
        <c:axPos val="b"/>
        <c:majorGridlines>
          <c:spPr>
            <a:ln w="9525" cap="flat" cmpd="sng" algn="ctr">
              <a:solidFill>
                <a:schemeClr val="dk1">
                  <a:lumMod val="15000"/>
                  <a:lumOff val="85000"/>
                  <a:alpha val="54000"/>
                </a:schemeClr>
              </a:solidFill>
              <a:round/>
            </a:ln>
            <a:effectLst/>
          </c:spPr>
        </c:majorGridlines>
        <c:minorGridlines>
          <c:spPr>
            <a:ln w="9525" cap="flat" cmpd="sng" algn="ctr">
              <a:solidFill>
                <a:schemeClr val="dk1">
                  <a:lumMod val="15000"/>
                  <a:lumOff val="85000"/>
                  <a:alpha val="51000"/>
                </a:schemeClr>
              </a:solidFill>
              <a:round/>
            </a:ln>
            <a:effectLst/>
          </c:spPr>
        </c:minorGridlines>
        <c:numFmt formatCode="General" sourceLinked="1"/>
        <c:majorTickMark val="none"/>
        <c:minorTickMark val="none"/>
        <c:tickLblPos val="nextTo"/>
        <c:spPr>
          <a:noFill/>
          <a:ln w="9525" cap="flat" cmpd="sng" algn="ctr">
            <a:solidFill>
              <a:schemeClr val="dk1">
                <a:lumMod val="15000"/>
                <a:lumOff val="85000"/>
              </a:schemeClr>
            </a:solidFill>
            <a:round/>
          </a:ln>
          <a:effectLst/>
        </c:spPr>
        <c:txPr>
          <a:bodyPr rot="-60000000" spcFirstLastPara="1" vertOverflow="ellipsis" vert="horz" wrap="square" anchor="ctr" anchorCtr="1"/>
          <a:lstStyle/>
          <a:p>
            <a:pPr>
              <a:defRPr sz="900" b="0" i="0" u="none" strike="noStrike" kern="1200" cap="none" spc="0" normalizeH="0" baseline="0">
                <a:solidFill>
                  <a:schemeClr val="dk1">
                    <a:lumMod val="65000"/>
                    <a:lumOff val="35000"/>
                  </a:schemeClr>
                </a:solidFill>
                <a:latin typeface="+mn-lt"/>
                <a:ea typeface="+mn-ea"/>
                <a:cs typeface="+mn-cs"/>
              </a:defRPr>
            </a:pPr>
            <a:endParaRPr lang="es-CO"/>
          </a:p>
        </c:txPr>
        <c:crossAx val="239550608"/>
        <c:crosses val="autoZero"/>
        <c:auto val="1"/>
        <c:lblAlgn val="ctr"/>
        <c:lblOffset val="100"/>
        <c:noMultiLvlLbl val="0"/>
      </c:catAx>
      <c:valAx>
        <c:axId val="239550608"/>
        <c:scaling>
          <c:orientation val="minMax"/>
        </c:scaling>
        <c:delete val="0"/>
        <c:axPos val="l"/>
        <c:majorGridlines>
          <c:spPr>
            <a:ln w="9525" cap="flat" cmpd="sng" algn="ctr">
              <a:solidFill>
                <a:schemeClr val="dk1">
                  <a:lumMod val="15000"/>
                  <a:lumOff val="85000"/>
                  <a:alpha val="54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es-CO"/>
          </a:p>
        </c:txPr>
        <c:crossAx val="239550048"/>
        <c:crosses val="autoZero"/>
        <c:crossBetween val="between"/>
      </c:valAx>
      <c:spPr>
        <a:pattFill prst="ltDnDiag">
          <a:fgClr>
            <a:schemeClr val="dk1">
              <a:lumMod val="15000"/>
              <a:lumOff val="85000"/>
            </a:schemeClr>
          </a:fgClr>
          <a:bgClr>
            <a:schemeClr val="lt1"/>
          </a:bgClr>
        </a:pattFill>
        <a:ln>
          <a:noFill/>
        </a:ln>
        <a:effectLst/>
      </c:spPr>
    </c:plotArea>
    <c:plotVisOnly val="1"/>
    <c:dispBlanksAs val="gap"/>
    <c:showDLblsOverMax val="0"/>
  </c:chart>
  <c:spPr>
    <a:solidFill>
      <a:schemeClr val="lt1"/>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2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7"/>
    </mc:Choice>
    <mc:Fallback>
      <c:style val="7"/>
    </mc:Fallback>
  </mc:AlternateContent>
  <c:chart>
    <c:title>
      <c:layout/>
      <c:overlay val="0"/>
      <c:spPr>
        <a:noFill/>
        <a:ln>
          <a:noFill/>
        </a:ln>
        <a:effectLst/>
      </c:spPr>
      <c:txPr>
        <a:bodyPr rot="0" spcFirstLastPara="1" vertOverflow="ellipsis" vert="horz" wrap="square" anchor="ctr" anchorCtr="1"/>
        <a:lstStyle/>
        <a:p>
          <a:pPr>
            <a:defRPr sz="1400" b="0" i="0" u="none" strike="noStrike" kern="1200" cap="none" spc="0" normalizeH="0" baseline="0">
              <a:solidFill>
                <a:schemeClr val="dk1">
                  <a:lumMod val="50000"/>
                  <a:lumOff val="50000"/>
                </a:schemeClr>
              </a:solidFill>
              <a:latin typeface="+mj-lt"/>
              <a:ea typeface="+mj-ea"/>
              <a:cs typeface="+mj-cs"/>
            </a:defRPr>
          </a:pPr>
          <a:endParaRPr lang="es-CO"/>
        </a:p>
      </c:txPr>
    </c:title>
    <c:autoTitleDeleted val="0"/>
    <c:plotArea>
      <c:layout/>
      <c:lineChart>
        <c:grouping val="standard"/>
        <c:varyColors val="0"/>
        <c:ser>
          <c:idx val="0"/>
          <c:order val="0"/>
          <c:tx>
            <c:strRef>
              <c:f>'COMPARATIVO INDUCTORES'!$B$11</c:f>
              <c:strCache>
                <c:ptCount val="1"/>
                <c:pt idx="0">
                  <c:v>PDC</c:v>
                </c:pt>
              </c:strCache>
            </c:strRef>
          </c:tx>
          <c:spPr>
            <a:ln w="22225" cap="rnd">
              <a:solidFill>
                <a:schemeClr val="accent5"/>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cap="flat" cmpd="sng" algn="ctr">
                      <a:solidFill>
                        <a:schemeClr val="dk1">
                          <a:lumMod val="35000"/>
                          <a:lumOff val="65000"/>
                        </a:schemeClr>
                      </a:solidFill>
                      <a:round/>
                    </a:ln>
                    <a:effectLst/>
                  </c:spPr>
                </c15:leaderLines>
              </c:ext>
            </c:extLst>
          </c:dLbls>
          <c:cat>
            <c:numRef>
              <c:f>'COMPARATIVO INDUCTORES'!$C$5:$F$5</c:f>
              <c:numCache>
                <c:formatCode>General</c:formatCode>
                <c:ptCount val="4"/>
                <c:pt idx="0">
                  <c:v>2014</c:v>
                </c:pt>
                <c:pt idx="1">
                  <c:v>2015</c:v>
                </c:pt>
                <c:pt idx="2">
                  <c:v>2016</c:v>
                </c:pt>
                <c:pt idx="3">
                  <c:v>2017</c:v>
                </c:pt>
              </c:numCache>
            </c:numRef>
          </c:cat>
          <c:val>
            <c:numRef>
              <c:f>'COMPARATIVO INDUCTORES'!$C$11:$F$11</c:f>
              <c:numCache>
                <c:formatCode>0.00</c:formatCode>
                <c:ptCount val="4"/>
                <c:pt idx="0">
                  <c:v>0.18849302432837542</c:v>
                </c:pt>
                <c:pt idx="1">
                  <c:v>-1.146541090181697</c:v>
                </c:pt>
                <c:pt idx="2">
                  <c:v>3.2054010188900408</c:v>
                </c:pt>
                <c:pt idx="3">
                  <c:v>2.2168989824885967</c:v>
                </c:pt>
              </c:numCache>
            </c:numRef>
          </c:val>
          <c:smooth val="0"/>
          <c:extLst>
            <c:ext xmlns:c16="http://schemas.microsoft.com/office/drawing/2014/chart" uri="{C3380CC4-5D6E-409C-BE32-E72D297353CC}">
              <c16:uniqueId val="{00000000-1B59-4512-B6EF-0CADFDA2634F}"/>
            </c:ext>
          </c:extLst>
        </c:ser>
        <c:dLbls>
          <c:dLblPos val="t"/>
          <c:showLegendKey val="0"/>
          <c:showVal val="1"/>
          <c:showCatName val="0"/>
          <c:showSerName val="0"/>
          <c:showPercent val="0"/>
          <c:showBubbleSize val="0"/>
        </c:dLbls>
        <c:smooth val="0"/>
        <c:axId val="239963856"/>
        <c:axId val="239964416"/>
      </c:lineChart>
      <c:catAx>
        <c:axId val="239963856"/>
        <c:scaling>
          <c:orientation val="minMax"/>
        </c:scaling>
        <c:delete val="0"/>
        <c:axPos val="b"/>
        <c:majorGridlines>
          <c:spPr>
            <a:ln w="9525" cap="flat" cmpd="sng" algn="ctr">
              <a:solidFill>
                <a:schemeClr val="dk1">
                  <a:lumMod val="15000"/>
                  <a:lumOff val="85000"/>
                  <a:alpha val="54000"/>
                </a:schemeClr>
              </a:solidFill>
              <a:round/>
            </a:ln>
            <a:effectLst/>
          </c:spPr>
        </c:majorGridlines>
        <c:minorGridlines>
          <c:spPr>
            <a:ln w="9525" cap="flat" cmpd="sng" algn="ctr">
              <a:solidFill>
                <a:schemeClr val="dk1">
                  <a:lumMod val="15000"/>
                  <a:lumOff val="85000"/>
                  <a:alpha val="51000"/>
                </a:schemeClr>
              </a:solidFill>
              <a:round/>
            </a:ln>
            <a:effectLst/>
          </c:spPr>
        </c:minorGridlines>
        <c:numFmt formatCode="General" sourceLinked="1"/>
        <c:majorTickMark val="none"/>
        <c:minorTickMark val="none"/>
        <c:tickLblPos val="nextTo"/>
        <c:spPr>
          <a:noFill/>
          <a:ln w="9525" cap="flat" cmpd="sng" algn="ctr">
            <a:solidFill>
              <a:schemeClr val="dk1">
                <a:lumMod val="15000"/>
                <a:lumOff val="85000"/>
              </a:schemeClr>
            </a:solidFill>
            <a:round/>
          </a:ln>
          <a:effectLst/>
        </c:spPr>
        <c:txPr>
          <a:bodyPr rot="-60000000" spcFirstLastPara="1" vertOverflow="ellipsis" vert="horz" wrap="square" anchor="ctr" anchorCtr="1"/>
          <a:lstStyle/>
          <a:p>
            <a:pPr>
              <a:defRPr sz="900" b="0" i="0" u="none" strike="noStrike" kern="1200" cap="none" spc="0" normalizeH="0" baseline="0">
                <a:solidFill>
                  <a:schemeClr val="dk1">
                    <a:lumMod val="65000"/>
                    <a:lumOff val="35000"/>
                  </a:schemeClr>
                </a:solidFill>
                <a:latin typeface="+mn-lt"/>
                <a:ea typeface="+mn-ea"/>
                <a:cs typeface="+mn-cs"/>
              </a:defRPr>
            </a:pPr>
            <a:endParaRPr lang="es-CO"/>
          </a:p>
        </c:txPr>
        <c:crossAx val="239964416"/>
        <c:crosses val="autoZero"/>
        <c:auto val="1"/>
        <c:lblAlgn val="ctr"/>
        <c:lblOffset val="100"/>
        <c:noMultiLvlLbl val="0"/>
      </c:catAx>
      <c:valAx>
        <c:axId val="239964416"/>
        <c:scaling>
          <c:orientation val="minMax"/>
        </c:scaling>
        <c:delete val="0"/>
        <c:axPos val="l"/>
        <c:majorGridlines>
          <c:spPr>
            <a:ln w="9525" cap="flat" cmpd="sng" algn="ctr">
              <a:solidFill>
                <a:schemeClr val="dk1">
                  <a:lumMod val="15000"/>
                  <a:lumOff val="85000"/>
                  <a:alpha val="54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es-CO"/>
          </a:p>
        </c:txPr>
        <c:crossAx val="239963856"/>
        <c:crosses val="autoZero"/>
        <c:crossBetween val="between"/>
      </c:valAx>
      <c:spPr>
        <a:pattFill prst="ltDnDiag">
          <a:fgClr>
            <a:schemeClr val="dk1">
              <a:lumMod val="15000"/>
              <a:lumOff val="85000"/>
            </a:schemeClr>
          </a:fgClr>
          <a:bgClr>
            <a:schemeClr val="lt1"/>
          </a:bgClr>
        </a:pattFill>
        <a:ln>
          <a:noFill/>
        </a:ln>
        <a:effectLst/>
      </c:spPr>
    </c:plotArea>
    <c:plotVisOnly val="1"/>
    <c:dispBlanksAs val="gap"/>
    <c:showDLblsOverMax val="0"/>
  </c:chart>
  <c:spPr>
    <a:solidFill>
      <a:schemeClr val="lt1"/>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2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cap="none" spc="0" normalizeH="0" baseline="0">
              <a:solidFill>
                <a:schemeClr val="dk1">
                  <a:lumMod val="50000"/>
                  <a:lumOff val="50000"/>
                </a:schemeClr>
              </a:solidFill>
              <a:latin typeface="+mj-lt"/>
              <a:ea typeface="+mj-ea"/>
              <a:cs typeface="+mj-cs"/>
            </a:defRPr>
          </a:pPr>
          <a:endParaRPr lang="es-CO"/>
        </a:p>
      </c:txPr>
    </c:title>
    <c:autoTitleDeleted val="0"/>
    <c:plotArea>
      <c:layout/>
      <c:lineChart>
        <c:grouping val="standard"/>
        <c:varyColors val="0"/>
        <c:ser>
          <c:idx val="0"/>
          <c:order val="0"/>
          <c:tx>
            <c:strRef>
              <c:f>'COMPARATIVO INDUCTORES'!$B$13</c:f>
              <c:strCache>
                <c:ptCount val="1"/>
                <c:pt idx="0">
                  <c:v>Ciclo de caja</c:v>
                </c:pt>
              </c:strCache>
            </c:strRef>
          </c:tx>
          <c:spPr>
            <a:ln w="22225" cap="rnd">
              <a:solidFill>
                <a:schemeClr val="accent2"/>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dk1">
                          <a:lumMod val="35000"/>
                          <a:lumOff val="65000"/>
                        </a:schemeClr>
                      </a:solidFill>
                      <a:round/>
                    </a:ln>
                    <a:effectLst/>
                  </c:spPr>
                </c15:leaderLines>
              </c:ext>
            </c:extLst>
          </c:dLbls>
          <c:cat>
            <c:numRef>
              <c:f>'COMPARATIVO INDUCTORES'!$C$5:$F$5</c:f>
              <c:numCache>
                <c:formatCode>General</c:formatCode>
                <c:ptCount val="4"/>
                <c:pt idx="0">
                  <c:v>2014</c:v>
                </c:pt>
                <c:pt idx="1">
                  <c:v>2015</c:v>
                </c:pt>
                <c:pt idx="2">
                  <c:v>2016</c:v>
                </c:pt>
                <c:pt idx="3">
                  <c:v>2017</c:v>
                </c:pt>
              </c:numCache>
            </c:numRef>
          </c:cat>
          <c:val>
            <c:numRef>
              <c:f>'COMPARATIVO INDUCTORES'!$C$13:$F$13</c:f>
              <c:numCache>
                <c:formatCode>0</c:formatCode>
                <c:ptCount val="4"/>
                <c:pt idx="0">
                  <c:v>-135.45719821390128</c:v>
                </c:pt>
                <c:pt idx="1">
                  <c:v>-68.50936503043178</c:v>
                </c:pt>
                <c:pt idx="2">
                  <c:v>-18.427194069762521</c:v>
                </c:pt>
                <c:pt idx="3">
                  <c:v>-34.723659017013375</c:v>
                </c:pt>
              </c:numCache>
            </c:numRef>
          </c:val>
          <c:smooth val="0"/>
          <c:extLst>
            <c:ext xmlns:c16="http://schemas.microsoft.com/office/drawing/2014/chart" uri="{C3380CC4-5D6E-409C-BE32-E72D297353CC}">
              <c16:uniqueId val="{00000000-4178-4BC6-8FCB-1A81197ECA57}"/>
            </c:ext>
          </c:extLst>
        </c:ser>
        <c:dLbls>
          <c:dLblPos val="t"/>
          <c:showLegendKey val="0"/>
          <c:showVal val="1"/>
          <c:showCatName val="0"/>
          <c:showSerName val="0"/>
          <c:showPercent val="0"/>
          <c:showBubbleSize val="0"/>
        </c:dLbls>
        <c:smooth val="0"/>
        <c:axId val="239966656"/>
        <c:axId val="239967216"/>
      </c:lineChart>
      <c:catAx>
        <c:axId val="239966656"/>
        <c:scaling>
          <c:orientation val="minMax"/>
        </c:scaling>
        <c:delete val="0"/>
        <c:axPos val="b"/>
        <c:majorGridlines>
          <c:spPr>
            <a:ln w="9525" cap="flat" cmpd="sng" algn="ctr">
              <a:solidFill>
                <a:schemeClr val="dk1">
                  <a:lumMod val="15000"/>
                  <a:lumOff val="85000"/>
                  <a:alpha val="54000"/>
                </a:schemeClr>
              </a:solidFill>
              <a:round/>
            </a:ln>
            <a:effectLst/>
          </c:spPr>
        </c:majorGridlines>
        <c:minorGridlines>
          <c:spPr>
            <a:ln w="9525" cap="flat" cmpd="sng" algn="ctr">
              <a:solidFill>
                <a:schemeClr val="dk1">
                  <a:lumMod val="15000"/>
                  <a:lumOff val="85000"/>
                  <a:alpha val="51000"/>
                </a:schemeClr>
              </a:solidFill>
              <a:round/>
            </a:ln>
            <a:effectLst/>
          </c:spPr>
        </c:minorGridlines>
        <c:numFmt formatCode="General" sourceLinked="1"/>
        <c:majorTickMark val="none"/>
        <c:minorTickMark val="none"/>
        <c:tickLblPos val="nextTo"/>
        <c:spPr>
          <a:noFill/>
          <a:ln w="9525" cap="flat" cmpd="sng" algn="ctr">
            <a:solidFill>
              <a:schemeClr val="dk1">
                <a:lumMod val="15000"/>
                <a:lumOff val="85000"/>
              </a:schemeClr>
            </a:solidFill>
            <a:round/>
          </a:ln>
          <a:effectLst/>
        </c:spPr>
        <c:txPr>
          <a:bodyPr rot="-60000000" spcFirstLastPara="1" vertOverflow="ellipsis" vert="horz" wrap="square" anchor="ctr" anchorCtr="1"/>
          <a:lstStyle/>
          <a:p>
            <a:pPr>
              <a:defRPr sz="900" b="0" i="0" u="none" strike="noStrike" kern="1200" cap="none" spc="0" normalizeH="0" baseline="0">
                <a:solidFill>
                  <a:schemeClr val="dk1">
                    <a:lumMod val="65000"/>
                    <a:lumOff val="35000"/>
                  </a:schemeClr>
                </a:solidFill>
                <a:latin typeface="+mn-lt"/>
                <a:ea typeface="+mn-ea"/>
                <a:cs typeface="+mn-cs"/>
              </a:defRPr>
            </a:pPr>
            <a:endParaRPr lang="es-CO"/>
          </a:p>
        </c:txPr>
        <c:crossAx val="239967216"/>
        <c:crosses val="autoZero"/>
        <c:auto val="1"/>
        <c:lblAlgn val="ctr"/>
        <c:lblOffset val="100"/>
        <c:noMultiLvlLbl val="0"/>
      </c:catAx>
      <c:valAx>
        <c:axId val="239967216"/>
        <c:scaling>
          <c:orientation val="minMax"/>
        </c:scaling>
        <c:delete val="0"/>
        <c:axPos val="l"/>
        <c:majorGridlines>
          <c:spPr>
            <a:ln w="9525" cap="flat" cmpd="sng" algn="ctr">
              <a:solidFill>
                <a:schemeClr val="dk1">
                  <a:lumMod val="15000"/>
                  <a:lumOff val="85000"/>
                  <a:alpha val="54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es-CO"/>
          </a:p>
        </c:txPr>
        <c:crossAx val="239966656"/>
        <c:crosses val="autoZero"/>
        <c:crossBetween val="between"/>
      </c:valAx>
      <c:spPr>
        <a:pattFill prst="ltDnDiag">
          <a:fgClr>
            <a:schemeClr val="dk1">
              <a:lumMod val="15000"/>
              <a:lumOff val="85000"/>
            </a:schemeClr>
          </a:fgClr>
          <a:bgClr>
            <a:schemeClr val="lt1"/>
          </a:bgClr>
        </a:pattFill>
        <a:ln>
          <a:noFill/>
        </a:ln>
        <a:effectLst/>
      </c:spPr>
    </c:plotArea>
    <c:plotVisOnly val="1"/>
    <c:dispBlanksAs val="gap"/>
    <c:showDLblsOverMax val="0"/>
  </c:chart>
  <c:spPr>
    <a:solidFill>
      <a:schemeClr val="lt1"/>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2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cap="none" spc="0" normalizeH="0" baseline="0">
              <a:solidFill>
                <a:schemeClr val="dk1">
                  <a:lumMod val="50000"/>
                  <a:lumOff val="50000"/>
                </a:schemeClr>
              </a:solidFill>
              <a:latin typeface="Times New Roman" panose="02020603050405020304" pitchFamily="18" charset="0"/>
              <a:ea typeface="+mj-ea"/>
              <a:cs typeface="Times New Roman" panose="02020603050405020304" pitchFamily="18" charset="0"/>
            </a:defRPr>
          </a:pPr>
          <a:endParaRPr lang="es-CO"/>
        </a:p>
      </c:txPr>
    </c:title>
    <c:autoTitleDeleted val="0"/>
    <c:plotArea>
      <c:layout/>
      <c:lineChart>
        <c:grouping val="standard"/>
        <c:varyColors val="0"/>
        <c:ser>
          <c:idx val="0"/>
          <c:order val="0"/>
          <c:tx>
            <c:strRef>
              <c:f>'COMPARATIVO INDUCTORES'!$B$14</c:f>
              <c:strCache>
                <c:ptCount val="1"/>
                <c:pt idx="0">
                  <c:v>Flujo de caja libre</c:v>
                </c:pt>
              </c:strCache>
            </c:strRef>
          </c:tx>
          <c:spPr>
            <a:ln w="22225" cap="rnd">
              <a:solidFill>
                <a:schemeClr val="accent1"/>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dk1">
                          <a:lumMod val="35000"/>
                          <a:lumOff val="65000"/>
                        </a:schemeClr>
                      </a:solidFill>
                      <a:round/>
                    </a:ln>
                    <a:effectLst/>
                  </c:spPr>
                </c15:leaderLines>
              </c:ext>
            </c:extLst>
          </c:dLbls>
          <c:cat>
            <c:numRef>
              <c:f>'COMPARATIVO INDUCTORES'!$C$5:$F$5</c:f>
              <c:numCache>
                <c:formatCode>General</c:formatCode>
                <c:ptCount val="4"/>
                <c:pt idx="0">
                  <c:v>2014</c:v>
                </c:pt>
                <c:pt idx="1">
                  <c:v>2015</c:v>
                </c:pt>
                <c:pt idx="2">
                  <c:v>2016</c:v>
                </c:pt>
                <c:pt idx="3">
                  <c:v>2017</c:v>
                </c:pt>
              </c:numCache>
            </c:numRef>
          </c:cat>
          <c:val>
            <c:numRef>
              <c:f>'COMPARATIVO INDUCTORES'!$C$14:$F$14</c:f>
              <c:numCache>
                <c:formatCode>_("$"\ * #,##0_);_("$"\ * \(#,##0\);_("$"\ * "-"??_);_(@_)</c:formatCode>
                <c:ptCount val="4"/>
                <c:pt idx="0">
                  <c:v>8174000</c:v>
                </c:pt>
                <c:pt idx="1">
                  <c:v>21036000</c:v>
                </c:pt>
                <c:pt idx="2">
                  <c:v>-15602000</c:v>
                </c:pt>
                <c:pt idx="3">
                  <c:v>124335000</c:v>
                </c:pt>
              </c:numCache>
            </c:numRef>
          </c:val>
          <c:smooth val="0"/>
          <c:extLst>
            <c:ext xmlns:c16="http://schemas.microsoft.com/office/drawing/2014/chart" uri="{C3380CC4-5D6E-409C-BE32-E72D297353CC}">
              <c16:uniqueId val="{00000000-0D15-4E22-BA62-EFFCAC40F940}"/>
            </c:ext>
          </c:extLst>
        </c:ser>
        <c:dLbls>
          <c:dLblPos val="t"/>
          <c:showLegendKey val="0"/>
          <c:showVal val="1"/>
          <c:showCatName val="0"/>
          <c:showSerName val="0"/>
          <c:showPercent val="0"/>
          <c:showBubbleSize val="0"/>
        </c:dLbls>
        <c:smooth val="0"/>
        <c:axId val="239969456"/>
        <c:axId val="239970016"/>
      </c:lineChart>
      <c:catAx>
        <c:axId val="239969456"/>
        <c:scaling>
          <c:orientation val="minMax"/>
        </c:scaling>
        <c:delete val="0"/>
        <c:axPos val="b"/>
        <c:majorGridlines>
          <c:spPr>
            <a:ln w="9525" cap="flat" cmpd="sng" algn="ctr">
              <a:solidFill>
                <a:schemeClr val="dk1">
                  <a:lumMod val="15000"/>
                  <a:lumOff val="85000"/>
                  <a:alpha val="54000"/>
                </a:schemeClr>
              </a:solidFill>
              <a:round/>
            </a:ln>
            <a:effectLst/>
          </c:spPr>
        </c:majorGridlines>
        <c:minorGridlines>
          <c:spPr>
            <a:ln w="9525" cap="flat" cmpd="sng" algn="ctr">
              <a:solidFill>
                <a:schemeClr val="dk1">
                  <a:lumMod val="15000"/>
                  <a:lumOff val="85000"/>
                  <a:alpha val="51000"/>
                </a:schemeClr>
              </a:solidFill>
              <a:round/>
            </a:ln>
            <a:effectLst/>
          </c:spPr>
        </c:minorGridlines>
        <c:numFmt formatCode="General" sourceLinked="1"/>
        <c:majorTickMark val="none"/>
        <c:minorTickMark val="none"/>
        <c:tickLblPos val="nextTo"/>
        <c:spPr>
          <a:noFill/>
          <a:ln w="9525" cap="flat" cmpd="sng" algn="ctr">
            <a:solidFill>
              <a:schemeClr val="dk1">
                <a:lumMod val="15000"/>
                <a:lumOff val="85000"/>
              </a:schemeClr>
            </a:solidFill>
            <a:round/>
          </a:ln>
          <a:effectLst/>
        </c:spPr>
        <c:txPr>
          <a:bodyPr rot="-60000000" spcFirstLastPara="1" vertOverflow="ellipsis" vert="horz" wrap="square" anchor="ctr" anchorCtr="1"/>
          <a:lstStyle/>
          <a:p>
            <a:pPr>
              <a:defRPr sz="900" b="0" i="0" u="none" strike="noStrike" kern="1200" cap="none" spc="0" normalizeH="0" baseline="0">
                <a:solidFill>
                  <a:schemeClr val="dk1">
                    <a:lumMod val="65000"/>
                    <a:lumOff val="35000"/>
                  </a:schemeClr>
                </a:solidFill>
                <a:latin typeface="+mn-lt"/>
                <a:ea typeface="+mn-ea"/>
                <a:cs typeface="+mn-cs"/>
              </a:defRPr>
            </a:pPr>
            <a:endParaRPr lang="es-CO"/>
          </a:p>
        </c:txPr>
        <c:crossAx val="239970016"/>
        <c:crosses val="autoZero"/>
        <c:auto val="1"/>
        <c:lblAlgn val="ctr"/>
        <c:lblOffset val="100"/>
        <c:noMultiLvlLbl val="0"/>
      </c:catAx>
      <c:valAx>
        <c:axId val="239970016"/>
        <c:scaling>
          <c:orientation val="minMax"/>
        </c:scaling>
        <c:delete val="0"/>
        <c:axPos val="l"/>
        <c:majorGridlines>
          <c:spPr>
            <a:ln w="9525" cap="flat" cmpd="sng" algn="ctr">
              <a:solidFill>
                <a:schemeClr val="dk1">
                  <a:lumMod val="15000"/>
                  <a:lumOff val="85000"/>
                  <a:alpha val="54000"/>
                </a:schemeClr>
              </a:solidFill>
              <a:round/>
            </a:ln>
            <a:effectLst/>
          </c:spPr>
        </c:majorGridlines>
        <c:numFmt formatCode="_(&quot;$&quot;\ * #,##0_);_(&quot;$&quot;\ * \(#,##0\);_(&quot;$&quot;\ *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es-CO"/>
          </a:p>
        </c:txPr>
        <c:crossAx val="239969456"/>
        <c:crosses val="autoZero"/>
        <c:crossBetween val="between"/>
      </c:valAx>
      <c:spPr>
        <a:pattFill prst="ltDnDiag">
          <a:fgClr>
            <a:schemeClr val="dk1">
              <a:lumMod val="15000"/>
              <a:lumOff val="85000"/>
            </a:schemeClr>
          </a:fgClr>
          <a:bgClr>
            <a:schemeClr val="lt1"/>
          </a:bgClr>
        </a:pattFill>
        <a:ln>
          <a:noFill/>
        </a:ln>
        <a:effectLst/>
      </c:spPr>
    </c:plotArea>
    <c:plotVisOnly val="1"/>
    <c:dispBlanksAs val="gap"/>
    <c:showDLblsOverMax val="0"/>
  </c:chart>
  <c:spPr>
    <a:solidFill>
      <a:schemeClr val="lt1"/>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3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600" b="0" i="0" u="none" strike="noStrike" kern="1200" cap="none" spc="0" normalizeH="0" baseline="0">
              <a:solidFill>
                <a:schemeClr val="dk1">
                  <a:lumMod val="50000"/>
                  <a:lumOff val="50000"/>
                </a:schemeClr>
              </a:solidFill>
              <a:latin typeface="+mj-lt"/>
              <a:ea typeface="+mj-ea"/>
              <a:cs typeface="+mj-cs"/>
            </a:defRPr>
          </a:pPr>
          <a:endParaRPr lang="es-CO"/>
        </a:p>
      </c:txPr>
    </c:title>
    <c:autoTitleDeleted val="0"/>
    <c:plotArea>
      <c:layout/>
      <c:lineChart>
        <c:grouping val="standard"/>
        <c:varyColors val="0"/>
        <c:ser>
          <c:idx val="0"/>
          <c:order val="0"/>
          <c:tx>
            <c:strRef>
              <c:f>'COMPARATIVO INDUCTORES'!$B$12</c:f>
              <c:strCache>
                <c:ptCount val="1"/>
                <c:pt idx="0">
                  <c:v>CARG </c:v>
                </c:pt>
              </c:strCache>
            </c:strRef>
          </c:tx>
          <c:spPr>
            <a:ln w="22225" cap="rnd">
              <a:solidFill>
                <a:schemeClr val="accent1"/>
              </a:solidFill>
              <a:round/>
            </a:ln>
            <a:effectLst/>
          </c:spPr>
          <c:marker>
            <c:symbol val="none"/>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dk1">
                        <a:lumMod val="75000"/>
                        <a:lumOff val="25000"/>
                      </a:schemeClr>
                    </a:solidFill>
                    <a:latin typeface="+mn-lt"/>
                    <a:ea typeface="+mn-ea"/>
                    <a:cs typeface="+mn-cs"/>
                  </a:defRPr>
                </a:pPr>
                <a:endParaRPr lang="es-CO"/>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dk1">
                          <a:lumMod val="35000"/>
                          <a:lumOff val="65000"/>
                        </a:schemeClr>
                      </a:solidFill>
                      <a:round/>
                    </a:ln>
                    <a:effectLst/>
                  </c:spPr>
                </c15:leaderLines>
              </c:ext>
            </c:extLst>
          </c:dLbls>
          <c:val>
            <c:numRef>
              <c:f>'COMPARATIVO INDUCTORES'!$C$12:$F$12</c:f>
              <c:numCache>
                <c:formatCode>0.00%</c:formatCode>
                <c:ptCount val="4"/>
                <c:pt idx="0">
                  <c:v>0</c:v>
                </c:pt>
                <c:pt idx="1">
                  <c:v>1.9774209014385793</c:v>
                </c:pt>
                <c:pt idx="2">
                  <c:v>0.63908889865144758</c:v>
                </c:pt>
                <c:pt idx="3">
                  <c:v>0.82754917566543562</c:v>
                </c:pt>
              </c:numCache>
            </c:numRef>
          </c:val>
          <c:smooth val="0"/>
          <c:extLst>
            <c:ext xmlns:c16="http://schemas.microsoft.com/office/drawing/2014/chart" uri="{C3380CC4-5D6E-409C-BE32-E72D297353CC}">
              <c16:uniqueId val="{00000000-C488-406F-8831-5A0687C89C42}"/>
            </c:ext>
          </c:extLst>
        </c:ser>
        <c:dLbls>
          <c:dLblPos val="t"/>
          <c:showLegendKey val="0"/>
          <c:showVal val="1"/>
          <c:showCatName val="0"/>
          <c:showSerName val="0"/>
          <c:showPercent val="0"/>
          <c:showBubbleSize val="0"/>
        </c:dLbls>
        <c:smooth val="0"/>
        <c:axId val="240079104"/>
        <c:axId val="240079664"/>
      </c:lineChart>
      <c:catAx>
        <c:axId val="240079104"/>
        <c:scaling>
          <c:orientation val="minMax"/>
        </c:scaling>
        <c:delete val="0"/>
        <c:axPos val="b"/>
        <c:majorGridlines>
          <c:spPr>
            <a:ln w="9525" cap="flat" cmpd="sng" algn="ctr">
              <a:solidFill>
                <a:schemeClr val="dk1">
                  <a:lumMod val="15000"/>
                  <a:lumOff val="85000"/>
                  <a:alpha val="54000"/>
                </a:schemeClr>
              </a:solidFill>
              <a:round/>
            </a:ln>
            <a:effectLst/>
          </c:spPr>
        </c:majorGridlines>
        <c:minorGridlines>
          <c:spPr>
            <a:ln w="9525" cap="flat" cmpd="sng" algn="ctr">
              <a:solidFill>
                <a:schemeClr val="dk1">
                  <a:lumMod val="15000"/>
                  <a:lumOff val="85000"/>
                  <a:alpha val="51000"/>
                </a:schemeClr>
              </a:solidFill>
              <a:round/>
            </a:ln>
            <a:effectLst/>
          </c:spPr>
        </c:minorGridlines>
        <c:majorTickMark val="none"/>
        <c:minorTickMark val="none"/>
        <c:tickLblPos val="nextTo"/>
        <c:spPr>
          <a:noFill/>
          <a:ln w="9525" cap="flat" cmpd="sng" algn="ctr">
            <a:solidFill>
              <a:schemeClr val="dk1">
                <a:lumMod val="15000"/>
                <a:lumOff val="85000"/>
              </a:schemeClr>
            </a:solidFill>
            <a:round/>
          </a:ln>
          <a:effectLst/>
        </c:spPr>
        <c:txPr>
          <a:bodyPr rot="-60000000" spcFirstLastPara="1" vertOverflow="ellipsis" vert="horz" wrap="square" anchor="ctr" anchorCtr="1"/>
          <a:lstStyle/>
          <a:p>
            <a:pPr>
              <a:defRPr sz="900" b="0" i="0" u="none" strike="noStrike" kern="1200" cap="none" spc="0" normalizeH="0" baseline="0">
                <a:solidFill>
                  <a:schemeClr val="dk1">
                    <a:lumMod val="65000"/>
                    <a:lumOff val="35000"/>
                  </a:schemeClr>
                </a:solidFill>
                <a:latin typeface="+mn-lt"/>
                <a:ea typeface="+mn-ea"/>
                <a:cs typeface="+mn-cs"/>
              </a:defRPr>
            </a:pPr>
            <a:endParaRPr lang="es-CO"/>
          </a:p>
        </c:txPr>
        <c:crossAx val="240079664"/>
        <c:crosses val="autoZero"/>
        <c:auto val="1"/>
        <c:lblAlgn val="ctr"/>
        <c:lblOffset val="100"/>
        <c:noMultiLvlLbl val="0"/>
      </c:catAx>
      <c:valAx>
        <c:axId val="240079664"/>
        <c:scaling>
          <c:orientation val="minMax"/>
        </c:scaling>
        <c:delete val="0"/>
        <c:axPos val="l"/>
        <c:majorGridlines>
          <c:spPr>
            <a:ln w="9525" cap="flat" cmpd="sng" algn="ctr">
              <a:solidFill>
                <a:schemeClr val="dk1">
                  <a:lumMod val="15000"/>
                  <a:lumOff val="85000"/>
                  <a:alpha val="54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dk1">
                    <a:lumMod val="65000"/>
                    <a:lumOff val="35000"/>
                  </a:schemeClr>
                </a:solidFill>
                <a:latin typeface="+mn-lt"/>
                <a:ea typeface="+mn-ea"/>
                <a:cs typeface="+mn-cs"/>
              </a:defRPr>
            </a:pPr>
            <a:endParaRPr lang="es-CO"/>
          </a:p>
        </c:txPr>
        <c:crossAx val="240079104"/>
        <c:crosses val="autoZero"/>
        <c:crossBetween val="between"/>
      </c:valAx>
      <c:spPr>
        <a:pattFill prst="ltDnDiag">
          <a:fgClr>
            <a:schemeClr val="dk1">
              <a:lumMod val="15000"/>
              <a:lumOff val="85000"/>
            </a:schemeClr>
          </a:fgClr>
          <a:bgClr>
            <a:schemeClr val="lt1"/>
          </a:bgClr>
        </a:pattFill>
        <a:ln>
          <a:noFill/>
        </a:ln>
        <a:effectLst/>
      </c:spPr>
    </c:plotArea>
    <c:plotVisOnly val="1"/>
    <c:dispBlanksAs val="gap"/>
    <c:showDLblsOverMax val="0"/>
  </c:chart>
  <c:spPr>
    <a:solidFill>
      <a:schemeClr val="lt1"/>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3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s-CO" sz="1200"/>
              <a:t>GRÁFICO COMPARATIVO DEL EST. DE RESULTADOS 2017</a:t>
            </a:r>
          </a:p>
        </c:rich>
      </c:tx>
      <c:overlay val="0"/>
    </c:title>
    <c:autoTitleDeleted val="0"/>
    <c:view3D>
      <c:rotX val="15"/>
      <c:rotY val="20"/>
      <c:rAngAx val="1"/>
    </c:view3D>
    <c:floor>
      <c:thickness val="0"/>
    </c:floor>
    <c:sideWall>
      <c:thickness val="0"/>
    </c:sideWall>
    <c:backWall>
      <c:thickness val="0"/>
    </c:backWall>
    <c:plotArea>
      <c:layout/>
      <c:bar3DChart>
        <c:barDir val="col"/>
        <c:grouping val="clustered"/>
        <c:varyColors val="0"/>
        <c:ser>
          <c:idx val="0"/>
          <c:order val="0"/>
          <c:tx>
            <c:strRef>
              <c:f>'INDICADORES BASICOS'!$B$146</c:f>
              <c:strCache>
                <c:ptCount val="1"/>
                <c:pt idx="0">
                  <c:v>INGRESOS OPERACIONALES</c:v>
                </c:pt>
              </c:strCache>
            </c:strRef>
          </c:tx>
          <c:invertIfNegative val="0"/>
          <c:cat>
            <c:numRef>
              <c:f>'INDICADORES BASICOS'!$C$145</c:f>
              <c:numCache>
                <c:formatCode>m/d/yyyy</c:formatCode>
                <c:ptCount val="1"/>
                <c:pt idx="0">
                  <c:v>43100</c:v>
                </c:pt>
              </c:numCache>
            </c:numRef>
          </c:cat>
          <c:val>
            <c:numRef>
              <c:f>'INDICADORES BASICOS'!$C$146</c:f>
              <c:numCache>
                <c:formatCode>"$"\ #,##0</c:formatCode>
                <c:ptCount val="1"/>
                <c:pt idx="0">
                  <c:v>1148878000</c:v>
                </c:pt>
              </c:numCache>
            </c:numRef>
          </c:val>
          <c:extLst>
            <c:ext xmlns:c16="http://schemas.microsoft.com/office/drawing/2014/chart" uri="{C3380CC4-5D6E-409C-BE32-E72D297353CC}">
              <c16:uniqueId val="{00000000-8618-4F3E-BFC1-4ABFEF2799C8}"/>
            </c:ext>
          </c:extLst>
        </c:ser>
        <c:ser>
          <c:idx val="1"/>
          <c:order val="1"/>
          <c:tx>
            <c:strRef>
              <c:f>'INDICADORES BASICOS'!$B$147</c:f>
              <c:strCache>
                <c:ptCount val="1"/>
                <c:pt idx="0">
                  <c:v>COSTOS DE VENTAS</c:v>
                </c:pt>
              </c:strCache>
            </c:strRef>
          </c:tx>
          <c:invertIfNegative val="0"/>
          <c:cat>
            <c:numRef>
              <c:f>'INDICADORES BASICOS'!$C$145</c:f>
              <c:numCache>
                <c:formatCode>m/d/yyyy</c:formatCode>
                <c:ptCount val="1"/>
                <c:pt idx="0">
                  <c:v>43100</c:v>
                </c:pt>
              </c:numCache>
            </c:numRef>
          </c:cat>
          <c:val>
            <c:numRef>
              <c:f>'INDICADORES BASICOS'!$C$147</c:f>
              <c:numCache>
                <c:formatCode>"$"\ #,##0</c:formatCode>
                <c:ptCount val="1"/>
                <c:pt idx="0">
                  <c:v>1010660000</c:v>
                </c:pt>
              </c:numCache>
            </c:numRef>
          </c:val>
          <c:extLst>
            <c:ext xmlns:c16="http://schemas.microsoft.com/office/drawing/2014/chart" uri="{C3380CC4-5D6E-409C-BE32-E72D297353CC}">
              <c16:uniqueId val="{00000001-8618-4F3E-BFC1-4ABFEF2799C8}"/>
            </c:ext>
          </c:extLst>
        </c:ser>
        <c:ser>
          <c:idx val="2"/>
          <c:order val="2"/>
          <c:tx>
            <c:strRef>
              <c:f>'INDICADORES BASICOS'!$B$148</c:f>
              <c:strCache>
                <c:ptCount val="1"/>
                <c:pt idx="0">
                  <c:v>UTILIDAD BRUTA</c:v>
                </c:pt>
              </c:strCache>
            </c:strRef>
          </c:tx>
          <c:invertIfNegative val="0"/>
          <c:cat>
            <c:numRef>
              <c:f>'INDICADORES BASICOS'!$C$145</c:f>
              <c:numCache>
                <c:formatCode>m/d/yyyy</c:formatCode>
                <c:ptCount val="1"/>
                <c:pt idx="0">
                  <c:v>43100</c:v>
                </c:pt>
              </c:numCache>
            </c:numRef>
          </c:cat>
          <c:val>
            <c:numRef>
              <c:f>'INDICADORES BASICOS'!$C$148</c:f>
              <c:numCache>
                <c:formatCode>"$"\ #,##0</c:formatCode>
                <c:ptCount val="1"/>
                <c:pt idx="0">
                  <c:v>138218000</c:v>
                </c:pt>
              </c:numCache>
            </c:numRef>
          </c:val>
          <c:extLst>
            <c:ext xmlns:c16="http://schemas.microsoft.com/office/drawing/2014/chart" uri="{C3380CC4-5D6E-409C-BE32-E72D297353CC}">
              <c16:uniqueId val="{00000002-8618-4F3E-BFC1-4ABFEF2799C8}"/>
            </c:ext>
          </c:extLst>
        </c:ser>
        <c:ser>
          <c:idx val="3"/>
          <c:order val="3"/>
          <c:tx>
            <c:strRef>
              <c:f>'INDICADORES BASICOS'!$B$151</c:f>
              <c:strCache>
                <c:ptCount val="1"/>
                <c:pt idx="0">
                  <c:v>UTILIDAD OPERACIONAL</c:v>
                </c:pt>
              </c:strCache>
            </c:strRef>
          </c:tx>
          <c:invertIfNegative val="0"/>
          <c:cat>
            <c:numRef>
              <c:f>'INDICADORES BASICOS'!$C$145</c:f>
              <c:numCache>
                <c:formatCode>m/d/yyyy</c:formatCode>
                <c:ptCount val="1"/>
                <c:pt idx="0">
                  <c:v>43100</c:v>
                </c:pt>
              </c:numCache>
            </c:numRef>
          </c:cat>
          <c:val>
            <c:numRef>
              <c:f>'INDICADORES BASICOS'!$C$151</c:f>
              <c:numCache>
                <c:formatCode>"$"\ #,##0</c:formatCode>
                <c:ptCount val="1"/>
                <c:pt idx="0">
                  <c:v>60171000</c:v>
                </c:pt>
              </c:numCache>
            </c:numRef>
          </c:val>
          <c:extLst>
            <c:ext xmlns:c16="http://schemas.microsoft.com/office/drawing/2014/chart" uri="{C3380CC4-5D6E-409C-BE32-E72D297353CC}">
              <c16:uniqueId val="{00000003-8618-4F3E-BFC1-4ABFEF2799C8}"/>
            </c:ext>
          </c:extLst>
        </c:ser>
        <c:ser>
          <c:idx val="4"/>
          <c:order val="4"/>
          <c:tx>
            <c:strRef>
              <c:f>'INDICADORES BASICOS'!$B$154</c:f>
              <c:strCache>
                <c:ptCount val="1"/>
                <c:pt idx="0">
                  <c:v>UTILIDAD ANTES DE IMPUESTO</c:v>
                </c:pt>
              </c:strCache>
            </c:strRef>
          </c:tx>
          <c:invertIfNegative val="0"/>
          <c:cat>
            <c:numRef>
              <c:f>'INDICADORES BASICOS'!$C$145</c:f>
              <c:numCache>
                <c:formatCode>m/d/yyyy</c:formatCode>
                <c:ptCount val="1"/>
                <c:pt idx="0">
                  <c:v>43100</c:v>
                </c:pt>
              </c:numCache>
            </c:numRef>
          </c:cat>
          <c:val>
            <c:numRef>
              <c:f>'INDICADORES BASICOS'!$C$154</c:f>
              <c:numCache>
                <c:formatCode>"$"\ #,##0</c:formatCode>
                <c:ptCount val="1"/>
                <c:pt idx="0">
                  <c:v>47844000</c:v>
                </c:pt>
              </c:numCache>
            </c:numRef>
          </c:val>
          <c:extLst>
            <c:ext xmlns:c16="http://schemas.microsoft.com/office/drawing/2014/chart" uri="{C3380CC4-5D6E-409C-BE32-E72D297353CC}">
              <c16:uniqueId val="{00000004-8618-4F3E-BFC1-4ABFEF2799C8}"/>
            </c:ext>
          </c:extLst>
        </c:ser>
        <c:ser>
          <c:idx val="5"/>
          <c:order val="5"/>
          <c:tx>
            <c:strRef>
              <c:f>'INDICADORES BASICOS'!$B$156</c:f>
              <c:strCache>
                <c:ptCount val="1"/>
                <c:pt idx="0">
                  <c:v>IMPUESTO DE RENTA</c:v>
                </c:pt>
              </c:strCache>
            </c:strRef>
          </c:tx>
          <c:invertIfNegative val="0"/>
          <c:cat>
            <c:numRef>
              <c:f>'INDICADORES BASICOS'!$C$145</c:f>
              <c:numCache>
                <c:formatCode>m/d/yyyy</c:formatCode>
                <c:ptCount val="1"/>
                <c:pt idx="0">
                  <c:v>43100</c:v>
                </c:pt>
              </c:numCache>
            </c:numRef>
          </c:cat>
          <c:val>
            <c:numRef>
              <c:f>'INDICADORES BASICOS'!$C$156</c:f>
              <c:numCache>
                <c:formatCode>"$"\ #,##0</c:formatCode>
                <c:ptCount val="1"/>
                <c:pt idx="0">
                  <c:v>16267000.000000002</c:v>
                </c:pt>
              </c:numCache>
            </c:numRef>
          </c:val>
          <c:extLst>
            <c:ext xmlns:c16="http://schemas.microsoft.com/office/drawing/2014/chart" uri="{C3380CC4-5D6E-409C-BE32-E72D297353CC}">
              <c16:uniqueId val="{00000005-8618-4F3E-BFC1-4ABFEF2799C8}"/>
            </c:ext>
          </c:extLst>
        </c:ser>
        <c:ser>
          <c:idx val="6"/>
          <c:order val="6"/>
          <c:tx>
            <c:strRef>
              <c:f>'INDICADORES BASICOS'!$B$157</c:f>
              <c:strCache>
                <c:ptCount val="1"/>
                <c:pt idx="0">
                  <c:v>UTILIDAD NETA</c:v>
                </c:pt>
              </c:strCache>
            </c:strRef>
          </c:tx>
          <c:invertIfNegative val="0"/>
          <c:cat>
            <c:numRef>
              <c:f>'INDICADORES BASICOS'!$C$145</c:f>
              <c:numCache>
                <c:formatCode>m/d/yyyy</c:formatCode>
                <c:ptCount val="1"/>
                <c:pt idx="0">
                  <c:v>43100</c:v>
                </c:pt>
              </c:numCache>
            </c:numRef>
          </c:cat>
          <c:val>
            <c:numRef>
              <c:f>'INDICADORES BASICOS'!$C$157</c:f>
              <c:numCache>
                <c:formatCode>"$"\ #,##0</c:formatCode>
                <c:ptCount val="1"/>
                <c:pt idx="0">
                  <c:v>31577000</c:v>
                </c:pt>
              </c:numCache>
            </c:numRef>
          </c:val>
          <c:extLst>
            <c:ext xmlns:c16="http://schemas.microsoft.com/office/drawing/2014/chart" uri="{C3380CC4-5D6E-409C-BE32-E72D297353CC}">
              <c16:uniqueId val="{00000006-8618-4F3E-BFC1-4ABFEF2799C8}"/>
            </c:ext>
          </c:extLst>
        </c:ser>
        <c:dLbls>
          <c:showLegendKey val="0"/>
          <c:showVal val="0"/>
          <c:showCatName val="0"/>
          <c:showSerName val="0"/>
          <c:showPercent val="0"/>
          <c:showBubbleSize val="0"/>
        </c:dLbls>
        <c:gapWidth val="150"/>
        <c:shape val="box"/>
        <c:axId val="240085264"/>
        <c:axId val="240085824"/>
        <c:axId val="0"/>
      </c:bar3DChart>
      <c:dateAx>
        <c:axId val="240085264"/>
        <c:scaling>
          <c:orientation val="minMax"/>
        </c:scaling>
        <c:delete val="0"/>
        <c:axPos val="b"/>
        <c:numFmt formatCode="m/d/yyyy" sourceLinked="1"/>
        <c:majorTickMark val="none"/>
        <c:minorTickMark val="none"/>
        <c:tickLblPos val="nextTo"/>
        <c:crossAx val="240085824"/>
        <c:crosses val="autoZero"/>
        <c:auto val="1"/>
        <c:lblOffset val="100"/>
        <c:baseTimeUnit val="days"/>
      </c:dateAx>
      <c:valAx>
        <c:axId val="240085824"/>
        <c:scaling>
          <c:orientation val="minMax"/>
        </c:scaling>
        <c:delete val="0"/>
        <c:axPos val="l"/>
        <c:majorGridlines/>
        <c:numFmt formatCode="&quot;$&quot;\ #,##0" sourceLinked="1"/>
        <c:majorTickMark val="none"/>
        <c:minorTickMark val="none"/>
        <c:tickLblPos val="nextTo"/>
        <c:crossAx val="240085264"/>
        <c:crosses val="autoZero"/>
        <c:crossBetween val="between"/>
      </c:valAx>
    </c:plotArea>
    <c:legend>
      <c:legendPos val="r"/>
      <c:layout>
        <c:manualLayout>
          <c:xMode val="edge"/>
          <c:yMode val="edge"/>
          <c:x val="0.64703784807964093"/>
          <c:y val="0.27025874984511056"/>
          <c:w val="0.32929351286710462"/>
          <c:h val="0.71298705687540131"/>
        </c:manualLayout>
      </c:layout>
      <c:overlay val="0"/>
      <c:txPr>
        <a:bodyPr/>
        <a:lstStyle/>
        <a:p>
          <a:pPr>
            <a:defRPr sz="800"/>
          </a:pPr>
          <a:endParaRPr lang="es-CO"/>
        </a:p>
      </c:txPr>
    </c:legend>
    <c:plotVisOnly val="1"/>
    <c:dispBlanksAs val="gap"/>
    <c:showDLblsOverMax val="0"/>
  </c:chart>
  <c:printSettings>
    <c:headerFooter/>
    <c:pageMargins b="0.75" l="0.7" r="0.7" t="0.75" header="0.3" footer="0.3"/>
    <c:pageSetup/>
  </c:printSettings>
</c:chartSpace>
</file>

<file path=xl/charts/chart3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s-CO" sz="1100"/>
              <a:t>GRÁFICO</a:t>
            </a:r>
            <a:r>
              <a:rPr lang="es-CO" sz="1100" baseline="0"/>
              <a:t> COMPARATIVO BALANCE GENERAL 2017</a:t>
            </a:r>
            <a:endParaRPr lang="es-CO" sz="1100"/>
          </a:p>
        </c:rich>
      </c:tx>
      <c:layout>
        <c:manualLayout>
          <c:xMode val="edge"/>
          <c:yMode val="edge"/>
          <c:x val="0.13607017543859651"/>
          <c:y val="3.5087719298245612E-2"/>
        </c:manualLayout>
      </c:layout>
      <c:overlay val="0"/>
    </c:title>
    <c:autoTitleDeleted val="0"/>
    <c:view3D>
      <c:rotX val="15"/>
      <c:rotY val="20"/>
      <c:rAngAx val="1"/>
    </c:view3D>
    <c:floor>
      <c:thickness val="0"/>
    </c:floor>
    <c:sideWall>
      <c:thickness val="0"/>
    </c:sideWall>
    <c:backWall>
      <c:thickness val="0"/>
    </c:backWall>
    <c:plotArea>
      <c:layout/>
      <c:bar3DChart>
        <c:barDir val="col"/>
        <c:grouping val="clustered"/>
        <c:varyColors val="0"/>
        <c:ser>
          <c:idx val="0"/>
          <c:order val="0"/>
          <c:tx>
            <c:strRef>
              <c:f>'INDICADORES BASICOS'!$B$164</c:f>
              <c:strCache>
                <c:ptCount val="1"/>
                <c:pt idx="0">
                  <c:v>TOTAL ACTIVOS CORRIENTES</c:v>
                </c:pt>
              </c:strCache>
            </c:strRef>
          </c:tx>
          <c:invertIfNegative val="0"/>
          <c:val>
            <c:numRef>
              <c:f>'INDICADORES BASICOS'!$C$164</c:f>
              <c:numCache>
                <c:formatCode>"$"\ #,##0</c:formatCode>
                <c:ptCount val="1"/>
                <c:pt idx="0">
                  <c:v>436704000</c:v>
                </c:pt>
              </c:numCache>
            </c:numRef>
          </c:val>
          <c:extLst>
            <c:ext xmlns:c15="http://schemas.microsoft.com/office/drawing/2012/chart" uri="{02D57815-91ED-43cb-92C2-25804820EDAC}">
              <c15:filteredCategoryTitle>
                <c15:cat>
                  <c:strRef>
                    <c:extLst xmlns:c16="http://schemas.microsoft.com/office/drawing/2014/chart">
                      <c:ext uri="{02D57815-91ED-43cb-92C2-25804820EDAC}">
                        <c15:formulaRef>
                          <c15:sqref>TABLAS!#REF!</c15:sqref>
                        </c15:formulaRef>
                      </c:ext>
                    </c:extLst>
                    <c:strCache>
                      <c:ptCount val="1"/>
                      <c:pt idx="0">
                        <c:v>#¡REF!</c:v>
                      </c:pt>
                    </c:strCache>
                  </c:strRef>
                </c15:cat>
              </c15:filteredCategoryTitle>
            </c:ext>
            <c:ext xmlns:c16="http://schemas.microsoft.com/office/drawing/2014/chart" uri="{C3380CC4-5D6E-409C-BE32-E72D297353CC}">
              <c16:uniqueId val="{00000000-EE91-4760-AFC2-57F48CB24872}"/>
            </c:ext>
          </c:extLst>
        </c:ser>
        <c:ser>
          <c:idx val="1"/>
          <c:order val="1"/>
          <c:tx>
            <c:strRef>
              <c:f>'INDICADORES BASICOS'!$B$178</c:f>
              <c:strCache>
                <c:ptCount val="1"/>
                <c:pt idx="0">
                  <c:v>TOTAL PASIVO CORRIENTE</c:v>
                </c:pt>
              </c:strCache>
            </c:strRef>
          </c:tx>
          <c:invertIfNegative val="0"/>
          <c:val>
            <c:numRef>
              <c:f>'INDICADORES BASICOS'!$C$178</c:f>
              <c:numCache>
                <c:formatCode>"$"\ #,##0</c:formatCode>
                <c:ptCount val="1"/>
                <c:pt idx="0">
                  <c:v>281788000</c:v>
                </c:pt>
              </c:numCache>
            </c:numRef>
          </c:val>
          <c:extLst>
            <c:ext xmlns:c15="http://schemas.microsoft.com/office/drawing/2012/chart" uri="{02D57815-91ED-43cb-92C2-25804820EDAC}">
              <c15:filteredCategoryTitle>
                <c15:cat>
                  <c:strRef>
                    <c:extLst xmlns:c16="http://schemas.microsoft.com/office/drawing/2014/chart">
                      <c:ext uri="{02D57815-91ED-43cb-92C2-25804820EDAC}">
                        <c15:formulaRef>
                          <c15:sqref>TABLAS!#REF!</c15:sqref>
                        </c15:formulaRef>
                      </c:ext>
                    </c:extLst>
                    <c:strCache>
                      <c:ptCount val="1"/>
                      <c:pt idx="0">
                        <c:v>#¡REF!</c:v>
                      </c:pt>
                    </c:strCache>
                  </c:strRef>
                </c15:cat>
              </c15:filteredCategoryTitle>
            </c:ext>
            <c:ext xmlns:c16="http://schemas.microsoft.com/office/drawing/2014/chart" uri="{C3380CC4-5D6E-409C-BE32-E72D297353CC}">
              <c16:uniqueId val="{00000001-EE91-4760-AFC2-57F48CB24872}"/>
            </c:ext>
          </c:extLst>
        </c:ser>
        <c:ser>
          <c:idx val="2"/>
          <c:order val="2"/>
          <c:tx>
            <c:strRef>
              <c:f>'INDICADORES BASICOS'!$B$170</c:f>
              <c:strCache>
                <c:ptCount val="1"/>
                <c:pt idx="0">
                  <c:v>TOTAL ACTIVO</c:v>
                </c:pt>
              </c:strCache>
            </c:strRef>
          </c:tx>
          <c:invertIfNegative val="0"/>
          <c:val>
            <c:numRef>
              <c:f>'INDICADORES BASICOS'!$C$170</c:f>
              <c:numCache>
                <c:formatCode>"$"\ #,##0</c:formatCode>
                <c:ptCount val="1"/>
                <c:pt idx="0">
                  <c:v>1010330000</c:v>
                </c:pt>
              </c:numCache>
            </c:numRef>
          </c:val>
          <c:extLst>
            <c:ext xmlns:c15="http://schemas.microsoft.com/office/drawing/2012/chart" uri="{02D57815-91ED-43cb-92C2-25804820EDAC}">
              <c15:filteredCategoryTitle>
                <c15:cat>
                  <c:strRef>
                    <c:extLst xmlns:c16="http://schemas.microsoft.com/office/drawing/2014/chart">
                      <c:ext uri="{02D57815-91ED-43cb-92C2-25804820EDAC}">
                        <c15:formulaRef>
                          <c15:sqref>TABLAS!#REF!</c15:sqref>
                        </c15:formulaRef>
                      </c:ext>
                    </c:extLst>
                    <c:strCache>
                      <c:ptCount val="1"/>
                      <c:pt idx="0">
                        <c:v>#¡REF!</c:v>
                      </c:pt>
                    </c:strCache>
                  </c:strRef>
                </c15:cat>
              </c15:filteredCategoryTitle>
            </c:ext>
            <c:ext xmlns:c16="http://schemas.microsoft.com/office/drawing/2014/chart" uri="{C3380CC4-5D6E-409C-BE32-E72D297353CC}">
              <c16:uniqueId val="{00000002-EE91-4760-AFC2-57F48CB24872}"/>
            </c:ext>
          </c:extLst>
        </c:ser>
        <c:ser>
          <c:idx val="3"/>
          <c:order val="3"/>
          <c:tx>
            <c:strRef>
              <c:f>'INDICADORES BASICOS'!$B$179</c:f>
              <c:strCache>
                <c:ptCount val="1"/>
                <c:pt idx="0">
                  <c:v>TOTAL PASIVO</c:v>
                </c:pt>
              </c:strCache>
            </c:strRef>
          </c:tx>
          <c:invertIfNegative val="0"/>
          <c:val>
            <c:numRef>
              <c:f>'INDICADORES BASICOS'!$C$179</c:f>
              <c:numCache>
                <c:formatCode>"$"\ #,##0</c:formatCode>
                <c:ptCount val="1"/>
                <c:pt idx="0">
                  <c:v>281788000</c:v>
                </c:pt>
              </c:numCache>
            </c:numRef>
          </c:val>
          <c:extLst>
            <c:ext xmlns:c15="http://schemas.microsoft.com/office/drawing/2012/chart" uri="{02D57815-91ED-43cb-92C2-25804820EDAC}">
              <c15:filteredCategoryTitle>
                <c15:cat>
                  <c:strRef>
                    <c:extLst xmlns:c16="http://schemas.microsoft.com/office/drawing/2014/chart">
                      <c:ext uri="{02D57815-91ED-43cb-92C2-25804820EDAC}">
                        <c15:formulaRef>
                          <c15:sqref>TABLAS!#REF!</c15:sqref>
                        </c15:formulaRef>
                      </c:ext>
                    </c:extLst>
                    <c:strCache>
                      <c:ptCount val="1"/>
                      <c:pt idx="0">
                        <c:v>#¡REF!</c:v>
                      </c:pt>
                    </c:strCache>
                  </c:strRef>
                </c15:cat>
              </c15:filteredCategoryTitle>
            </c:ext>
            <c:ext xmlns:c16="http://schemas.microsoft.com/office/drawing/2014/chart" uri="{C3380CC4-5D6E-409C-BE32-E72D297353CC}">
              <c16:uniqueId val="{00000003-EE91-4760-AFC2-57F48CB24872}"/>
            </c:ext>
          </c:extLst>
        </c:ser>
        <c:ser>
          <c:idx val="4"/>
          <c:order val="4"/>
          <c:tx>
            <c:strRef>
              <c:f>'INDICADORES BASICOS'!$B$186</c:f>
              <c:strCache>
                <c:ptCount val="1"/>
                <c:pt idx="0">
                  <c:v>TOTAL PATRIMONIO</c:v>
                </c:pt>
              </c:strCache>
            </c:strRef>
          </c:tx>
          <c:invertIfNegative val="0"/>
          <c:val>
            <c:numRef>
              <c:f>'INDICADORES BASICOS'!$C$186</c:f>
              <c:numCache>
                <c:formatCode>"$"\ #,##0</c:formatCode>
                <c:ptCount val="1"/>
                <c:pt idx="0">
                  <c:v>728542000</c:v>
                </c:pt>
              </c:numCache>
            </c:numRef>
          </c:val>
          <c:extLst>
            <c:ext xmlns:c15="http://schemas.microsoft.com/office/drawing/2012/chart" uri="{02D57815-91ED-43cb-92C2-25804820EDAC}">
              <c15:filteredCategoryTitle>
                <c15:cat>
                  <c:strRef>
                    <c:extLst xmlns:c16="http://schemas.microsoft.com/office/drawing/2014/chart">
                      <c:ext uri="{02D57815-91ED-43cb-92C2-25804820EDAC}">
                        <c15:formulaRef>
                          <c15:sqref>TABLAS!#REF!</c15:sqref>
                        </c15:formulaRef>
                      </c:ext>
                    </c:extLst>
                    <c:strCache>
                      <c:ptCount val="1"/>
                      <c:pt idx="0">
                        <c:v>#¡REF!</c:v>
                      </c:pt>
                    </c:strCache>
                  </c:strRef>
                </c15:cat>
              </c15:filteredCategoryTitle>
            </c:ext>
            <c:ext xmlns:c16="http://schemas.microsoft.com/office/drawing/2014/chart" uri="{C3380CC4-5D6E-409C-BE32-E72D297353CC}">
              <c16:uniqueId val="{00000004-EE91-4760-AFC2-57F48CB24872}"/>
            </c:ext>
          </c:extLst>
        </c:ser>
        <c:dLbls>
          <c:showLegendKey val="0"/>
          <c:showVal val="0"/>
          <c:showCatName val="0"/>
          <c:showSerName val="0"/>
          <c:showPercent val="0"/>
          <c:showBubbleSize val="0"/>
        </c:dLbls>
        <c:gapWidth val="150"/>
        <c:shape val="box"/>
        <c:axId val="238790784"/>
        <c:axId val="238791344"/>
        <c:axId val="0"/>
      </c:bar3DChart>
      <c:catAx>
        <c:axId val="238790784"/>
        <c:scaling>
          <c:orientation val="minMax"/>
        </c:scaling>
        <c:delete val="1"/>
        <c:axPos val="b"/>
        <c:title>
          <c:tx>
            <c:rich>
              <a:bodyPr/>
              <a:lstStyle/>
              <a:p>
                <a:pPr>
                  <a:defRPr/>
                </a:pPr>
                <a:r>
                  <a:rPr lang="es-CO"/>
                  <a:t>31/10/2017</a:t>
                </a:r>
              </a:p>
            </c:rich>
          </c:tx>
          <c:overlay val="0"/>
        </c:title>
        <c:numFmt formatCode="General" sourceLinked="1"/>
        <c:majorTickMark val="none"/>
        <c:minorTickMark val="none"/>
        <c:tickLblPos val="nextTo"/>
        <c:crossAx val="238791344"/>
        <c:crosses val="autoZero"/>
        <c:auto val="1"/>
        <c:lblAlgn val="ctr"/>
        <c:lblOffset val="100"/>
        <c:noMultiLvlLbl val="0"/>
      </c:catAx>
      <c:valAx>
        <c:axId val="238791344"/>
        <c:scaling>
          <c:orientation val="minMax"/>
        </c:scaling>
        <c:delete val="0"/>
        <c:axPos val="l"/>
        <c:majorGridlines/>
        <c:numFmt formatCode="&quot;$&quot;\ #,##0" sourceLinked="1"/>
        <c:majorTickMark val="out"/>
        <c:minorTickMark val="none"/>
        <c:tickLblPos val="nextTo"/>
        <c:crossAx val="238790784"/>
        <c:crosses val="autoZero"/>
        <c:crossBetween val="between"/>
      </c:valAx>
    </c:plotArea>
    <c:legend>
      <c:legendPos val="r"/>
      <c:overlay val="0"/>
      <c:txPr>
        <a:bodyPr/>
        <a:lstStyle/>
        <a:p>
          <a:pPr>
            <a:defRPr sz="800"/>
          </a:pPr>
          <a:endParaRPr lang="es-CO"/>
        </a:p>
      </c:txPr>
    </c:legend>
    <c:plotVisOnly val="1"/>
    <c:dispBlanksAs val="gap"/>
    <c:showDLblsOverMax val="0"/>
  </c:chart>
  <c:printSettings>
    <c:headerFooter/>
    <c:pageMargins b="0.75" l="0.7" r="0.7" t="0.75" header="0.3" footer="0.3"/>
    <c:pageSetup/>
  </c:printSettings>
</c:chartSpace>
</file>

<file path=xl/charts/chart3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600"/>
            </a:pPr>
            <a:r>
              <a:rPr lang="es-CO" sz="1600"/>
              <a:t>ANÁLISIS</a:t>
            </a:r>
            <a:r>
              <a:rPr lang="es-CO" sz="1600" baseline="0"/>
              <a:t> VERTICAL-ESTADO DE RESULTADOS 2016</a:t>
            </a:r>
            <a:endParaRPr lang="es-CO" sz="1600"/>
          </a:p>
        </c:rich>
      </c:tx>
      <c:overlay val="0"/>
    </c:title>
    <c:autoTitleDeleted val="0"/>
    <c:view3D>
      <c:rotX val="15"/>
      <c:rotY val="20"/>
      <c:rAngAx val="1"/>
    </c:view3D>
    <c:floor>
      <c:thickness val="0"/>
    </c:floor>
    <c:sideWall>
      <c:thickness val="0"/>
    </c:sideWall>
    <c:backWall>
      <c:thickness val="0"/>
    </c:backWall>
    <c:plotArea>
      <c:layout/>
      <c:bar3DChart>
        <c:barDir val="bar"/>
        <c:grouping val="clustered"/>
        <c:varyColors val="0"/>
        <c:ser>
          <c:idx val="4"/>
          <c:order val="0"/>
          <c:tx>
            <c:v>UTILIDAD OPERACIONAL</c:v>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val>
            <c:numRef>
              <c:f>'INDICADORES BASICOS'!$D$26</c:f>
              <c:numCache>
                <c:formatCode>0.00%</c:formatCode>
                <c:ptCount val="1"/>
                <c:pt idx="0">
                  <c:v>1</c:v>
                </c:pt>
              </c:numCache>
            </c:numRef>
          </c:val>
          <c:extLst>
            <c:ext xmlns:c16="http://schemas.microsoft.com/office/drawing/2014/chart" uri="{C3380CC4-5D6E-409C-BE32-E72D297353CC}">
              <c16:uniqueId val="{00000000-9AD9-4E3A-BD3F-70C78D9AF7F5}"/>
            </c:ext>
          </c:extLst>
        </c:ser>
        <c:ser>
          <c:idx val="3"/>
          <c:order val="1"/>
          <c:tx>
            <c:strRef>
              <c:f>'INDICADORES BASICOS'!$B$27</c:f>
              <c:strCache>
                <c:ptCount val="1"/>
                <c:pt idx="0">
                  <c:v>COSTO DE VENTAS</c:v>
                </c:pt>
              </c:strCache>
            </c:strRef>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val>
            <c:numRef>
              <c:f>'INDICADORES BASICOS'!$D$27</c:f>
              <c:numCache>
                <c:formatCode>0.00%</c:formatCode>
                <c:ptCount val="1"/>
                <c:pt idx="0">
                  <c:v>0.85894589842041602</c:v>
                </c:pt>
              </c:numCache>
            </c:numRef>
          </c:val>
          <c:extLst>
            <c:ext xmlns:c16="http://schemas.microsoft.com/office/drawing/2014/chart" uri="{C3380CC4-5D6E-409C-BE32-E72D297353CC}">
              <c16:uniqueId val="{00000001-9AD9-4E3A-BD3F-70C78D9AF7F5}"/>
            </c:ext>
          </c:extLst>
        </c:ser>
        <c:ser>
          <c:idx val="2"/>
          <c:order val="2"/>
          <c:tx>
            <c:v>UTILIDAD BRUTA</c:v>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val>
            <c:numRef>
              <c:f>'INDICADORES BASICOS'!$D$508</c:f>
              <c:numCache>
                <c:formatCode>0.00%</c:formatCode>
                <c:ptCount val="1"/>
                <c:pt idx="0">
                  <c:v>0.14105410157958395</c:v>
                </c:pt>
              </c:numCache>
            </c:numRef>
          </c:val>
          <c:extLst>
            <c:ext xmlns:c16="http://schemas.microsoft.com/office/drawing/2014/chart" uri="{C3380CC4-5D6E-409C-BE32-E72D297353CC}">
              <c16:uniqueId val="{00000002-9AD9-4E3A-BD3F-70C78D9AF7F5}"/>
            </c:ext>
          </c:extLst>
        </c:ser>
        <c:ser>
          <c:idx val="1"/>
          <c:order val="3"/>
          <c:tx>
            <c:v>UTILIDAD OPERACIONAL</c:v>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val>
            <c:numRef>
              <c:f>'INDICADORES BASICOS'!$D$509</c:f>
              <c:numCache>
                <c:formatCode>0.00%</c:formatCode>
                <c:ptCount val="1"/>
                <c:pt idx="0">
                  <c:v>5.7885402496810366E-2</c:v>
                </c:pt>
              </c:numCache>
            </c:numRef>
          </c:val>
          <c:extLst>
            <c:ext xmlns:c16="http://schemas.microsoft.com/office/drawing/2014/chart" uri="{C3380CC4-5D6E-409C-BE32-E72D297353CC}">
              <c16:uniqueId val="{00000003-9AD9-4E3A-BD3F-70C78D9AF7F5}"/>
            </c:ext>
          </c:extLst>
        </c:ser>
        <c:ser>
          <c:idx val="0"/>
          <c:order val="4"/>
          <c:tx>
            <c:v>UTILIDAD NETA</c:v>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val>
            <c:numRef>
              <c:f>'INDICADORES BASICOS'!$D$510</c:f>
              <c:numCache>
                <c:formatCode>0.00%</c:formatCode>
                <c:ptCount val="1"/>
                <c:pt idx="0">
                  <c:v>3.5821899421794458E-2</c:v>
                </c:pt>
              </c:numCache>
            </c:numRef>
          </c:val>
          <c:extLst>
            <c:ext xmlns:c16="http://schemas.microsoft.com/office/drawing/2014/chart" uri="{C3380CC4-5D6E-409C-BE32-E72D297353CC}">
              <c16:uniqueId val="{00000004-9AD9-4E3A-BD3F-70C78D9AF7F5}"/>
            </c:ext>
          </c:extLst>
        </c:ser>
        <c:dLbls>
          <c:showLegendKey val="0"/>
          <c:showVal val="1"/>
          <c:showCatName val="0"/>
          <c:showSerName val="0"/>
          <c:showPercent val="0"/>
          <c:showBubbleSize val="0"/>
        </c:dLbls>
        <c:gapWidth val="150"/>
        <c:shape val="cylinder"/>
        <c:axId val="240721680"/>
        <c:axId val="240722240"/>
        <c:axId val="0"/>
      </c:bar3DChart>
      <c:catAx>
        <c:axId val="240721680"/>
        <c:scaling>
          <c:orientation val="minMax"/>
        </c:scaling>
        <c:delete val="0"/>
        <c:axPos val="l"/>
        <c:majorTickMark val="none"/>
        <c:minorTickMark val="none"/>
        <c:tickLblPos val="nextTo"/>
        <c:crossAx val="240722240"/>
        <c:crosses val="autoZero"/>
        <c:auto val="1"/>
        <c:lblAlgn val="ctr"/>
        <c:lblOffset val="100"/>
        <c:noMultiLvlLbl val="0"/>
      </c:catAx>
      <c:valAx>
        <c:axId val="240722240"/>
        <c:scaling>
          <c:orientation val="minMax"/>
        </c:scaling>
        <c:delete val="0"/>
        <c:axPos val="b"/>
        <c:majorGridlines/>
        <c:numFmt formatCode="0.00%" sourceLinked="1"/>
        <c:majorTickMark val="none"/>
        <c:minorTickMark val="none"/>
        <c:tickLblPos val="nextTo"/>
        <c:crossAx val="240721680"/>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3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s-CO" b="1"/>
              <a:t>ANÁLISIS HORIZONTAL-ESTADO DE RESULTADOS 2016-2015</a:t>
            </a:r>
          </a:p>
        </c:rich>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s-CO"/>
        </a:p>
      </c:txPr>
    </c:title>
    <c:autoTitleDeleted val="0"/>
    <c:view3D>
      <c:rotX val="15"/>
      <c:rotY val="20"/>
      <c:depthPercent val="100"/>
      <c:rAngAx val="1"/>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bar3DChart>
        <c:barDir val="bar"/>
        <c:grouping val="clustered"/>
        <c:varyColors val="0"/>
        <c:ser>
          <c:idx val="4"/>
          <c:order val="0"/>
          <c:tx>
            <c:v>INGRESOS OPERACIONALES</c:v>
          </c:tx>
          <c:spPr>
            <a:solidFill>
              <a:schemeClr val="accent5"/>
            </a:solidFill>
            <a:ln>
              <a:noFill/>
            </a:ln>
            <a:effectLst/>
            <a:sp3d/>
          </c:spPr>
          <c:invertIfNegative val="0"/>
          <c:val>
            <c:numRef>
              <c:f>'INDICADORES BASICOS'!$E$26</c:f>
              <c:numCache>
                <c:formatCode>0.00%</c:formatCode>
                <c:ptCount val="1"/>
                <c:pt idx="0">
                  <c:v>0.92678022444223607</c:v>
                </c:pt>
              </c:numCache>
            </c:numRef>
          </c:val>
          <c:extLst>
            <c:ext xmlns:c16="http://schemas.microsoft.com/office/drawing/2014/chart" uri="{C3380CC4-5D6E-409C-BE32-E72D297353CC}">
              <c16:uniqueId val="{00000000-899C-4AA2-81DD-FC1BE7131882}"/>
            </c:ext>
          </c:extLst>
        </c:ser>
        <c:ser>
          <c:idx val="3"/>
          <c:order val="1"/>
          <c:tx>
            <c:v>COSTOS DE VENTAS</c:v>
          </c:tx>
          <c:spPr>
            <a:solidFill>
              <a:schemeClr val="accent4"/>
            </a:solidFill>
            <a:ln>
              <a:noFill/>
            </a:ln>
            <a:effectLst/>
            <a:sp3d/>
          </c:spPr>
          <c:invertIfNegative val="0"/>
          <c:val>
            <c:numRef>
              <c:f>'INDICADORES BASICOS'!$E$27</c:f>
              <c:numCache>
                <c:formatCode>0.00%</c:formatCode>
                <c:ptCount val="1"/>
                <c:pt idx="0">
                  <c:v>1.3401208774503157</c:v>
                </c:pt>
              </c:numCache>
            </c:numRef>
          </c:val>
          <c:extLst>
            <c:ext xmlns:c16="http://schemas.microsoft.com/office/drawing/2014/chart" uri="{C3380CC4-5D6E-409C-BE32-E72D297353CC}">
              <c16:uniqueId val="{00000001-899C-4AA2-81DD-FC1BE7131882}"/>
            </c:ext>
          </c:extLst>
        </c:ser>
        <c:ser>
          <c:idx val="2"/>
          <c:order val="2"/>
          <c:tx>
            <c:v>UTILIDAD BRUTA</c:v>
          </c:tx>
          <c:spPr>
            <a:solidFill>
              <a:schemeClr val="accent3"/>
            </a:solidFill>
            <a:ln>
              <a:noFill/>
            </a:ln>
            <a:effectLst/>
            <a:sp3d/>
          </c:spPr>
          <c:invertIfNegative val="0"/>
          <c:val>
            <c:numRef>
              <c:f>'INDICADORES BASICOS'!$E$28</c:f>
              <c:numCache>
                <c:formatCode>0.00%</c:formatCode>
                <c:ptCount val="1"/>
                <c:pt idx="0">
                  <c:v>-7.1698675003721846E-2</c:v>
                </c:pt>
              </c:numCache>
            </c:numRef>
          </c:val>
          <c:extLst>
            <c:ext xmlns:c16="http://schemas.microsoft.com/office/drawing/2014/chart" uri="{C3380CC4-5D6E-409C-BE32-E72D297353CC}">
              <c16:uniqueId val="{00000002-899C-4AA2-81DD-FC1BE7131882}"/>
            </c:ext>
          </c:extLst>
        </c:ser>
        <c:ser>
          <c:idx val="1"/>
          <c:order val="3"/>
          <c:tx>
            <c:v>UTILIDAD OPERACIONAL</c:v>
          </c:tx>
          <c:spPr>
            <a:solidFill>
              <a:schemeClr val="accent2"/>
            </a:solidFill>
            <a:ln>
              <a:noFill/>
            </a:ln>
            <a:effectLst/>
            <a:sp3d/>
          </c:spPr>
          <c:invertIfNegative val="0"/>
          <c:val>
            <c:numRef>
              <c:f>'INDICADORES BASICOS'!$E$31</c:f>
              <c:numCache>
                <c:formatCode>0.00%</c:formatCode>
                <c:ptCount val="1"/>
                <c:pt idx="0">
                  <c:v>-0.4684678446795546</c:v>
                </c:pt>
              </c:numCache>
            </c:numRef>
          </c:val>
          <c:extLst>
            <c:ext xmlns:c16="http://schemas.microsoft.com/office/drawing/2014/chart" uri="{C3380CC4-5D6E-409C-BE32-E72D297353CC}">
              <c16:uniqueId val="{00000003-899C-4AA2-81DD-FC1BE7131882}"/>
            </c:ext>
          </c:extLst>
        </c:ser>
        <c:ser>
          <c:idx val="0"/>
          <c:order val="4"/>
          <c:tx>
            <c:v>UTILIDAD NETA</c:v>
          </c:tx>
          <c:spPr>
            <a:solidFill>
              <a:schemeClr val="accent1"/>
            </a:solidFill>
            <a:ln>
              <a:noFill/>
            </a:ln>
            <a:effectLst/>
            <a:sp3d/>
          </c:spPr>
          <c:invertIfNegative val="0"/>
          <c:val>
            <c:numRef>
              <c:f>'INDICADORES BASICOS'!$E$37</c:f>
              <c:numCache>
                <c:formatCode>0.00%</c:formatCode>
                <c:ptCount val="1"/>
                <c:pt idx="0">
                  <c:v>-0.50326236981889672</c:v>
                </c:pt>
              </c:numCache>
            </c:numRef>
          </c:val>
          <c:extLst>
            <c:ext xmlns:c16="http://schemas.microsoft.com/office/drawing/2014/chart" uri="{C3380CC4-5D6E-409C-BE32-E72D297353CC}">
              <c16:uniqueId val="{00000004-899C-4AA2-81DD-FC1BE7131882}"/>
            </c:ext>
          </c:extLst>
        </c:ser>
        <c:dLbls>
          <c:showLegendKey val="0"/>
          <c:showVal val="0"/>
          <c:showCatName val="0"/>
          <c:showSerName val="0"/>
          <c:showPercent val="0"/>
          <c:showBubbleSize val="0"/>
        </c:dLbls>
        <c:gapWidth val="150"/>
        <c:shape val="box"/>
        <c:axId val="241103440"/>
        <c:axId val="241104000"/>
        <c:axId val="0"/>
      </c:bar3DChart>
      <c:catAx>
        <c:axId val="241103440"/>
        <c:scaling>
          <c:orientation val="minMax"/>
        </c:scaling>
        <c:delete val="1"/>
        <c:axPos val="l"/>
        <c:majorTickMark val="none"/>
        <c:minorTickMark val="none"/>
        <c:tickLblPos val="nextTo"/>
        <c:crossAx val="241104000"/>
        <c:crosses val="autoZero"/>
        <c:auto val="1"/>
        <c:lblAlgn val="ctr"/>
        <c:lblOffset val="100"/>
        <c:noMultiLvlLbl val="0"/>
      </c:catAx>
      <c:valAx>
        <c:axId val="241104000"/>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41103440"/>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3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a:pPr>
            <a:r>
              <a:rPr lang="es-CO" sz="1400"/>
              <a:t>ESTRUCTURA</a:t>
            </a:r>
            <a:r>
              <a:rPr lang="es-CO" sz="1400" baseline="0"/>
              <a:t> DE SITUACIÓN FINANCIERA - VARIACIÓN RELATIVA 2016</a:t>
            </a:r>
            <a:endParaRPr lang="es-CO" sz="1400"/>
          </a:p>
        </c:rich>
      </c:tx>
      <c:overlay val="0"/>
    </c:title>
    <c:autoTitleDeleted val="0"/>
    <c:view3D>
      <c:rotX val="15"/>
      <c:rotY val="20"/>
      <c:rAngAx val="1"/>
    </c:view3D>
    <c:floor>
      <c:thickness val="0"/>
    </c:floor>
    <c:sideWall>
      <c:thickness val="0"/>
    </c:sideWall>
    <c:backWall>
      <c:thickness val="0"/>
    </c:backWall>
    <c:plotArea>
      <c:layout/>
      <c:bar3DChart>
        <c:barDir val="bar"/>
        <c:grouping val="clustered"/>
        <c:varyColors val="0"/>
        <c:ser>
          <c:idx val="6"/>
          <c:order val="0"/>
          <c:tx>
            <c:v>TOTAL ACTIVOS</c:v>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val>
            <c:numRef>
              <c:f>'INDICADORES BASICOS'!$D$95</c:f>
              <c:numCache>
                <c:formatCode>0.00%</c:formatCode>
                <c:ptCount val="1"/>
                <c:pt idx="0">
                  <c:v>1</c:v>
                </c:pt>
              </c:numCache>
            </c:numRef>
          </c:val>
          <c:extLst>
            <c:ext xmlns:c16="http://schemas.microsoft.com/office/drawing/2014/chart" uri="{C3380CC4-5D6E-409C-BE32-E72D297353CC}">
              <c16:uniqueId val="{00000000-6E2C-47FF-9633-4BF9AE5D3F1C}"/>
            </c:ext>
          </c:extLst>
        </c:ser>
        <c:ser>
          <c:idx val="5"/>
          <c:order val="1"/>
          <c:tx>
            <c:v>TOTAL ACTIVOS CORRIENTES</c:v>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val>
            <c:numRef>
              <c:f>'INDICADORES BASICOS'!$D$91</c:f>
              <c:numCache>
                <c:formatCode>0.00%</c:formatCode>
                <c:ptCount val="1"/>
                <c:pt idx="0">
                  <c:v>0.1595446105850101</c:v>
                </c:pt>
              </c:numCache>
            </c:numRef>
          </c:val>
          <c:extLst>
            <c:ext xmlns:c16="http://schemas.microsoft.com/office/drawing/2014/chart" uri="{C3380CC4-5D6E-409C-BE32-E72D297353CC}">
              <c16:uniqueId val="{00000001-6E2C-47FF-9633-4BF9AE5D3F1C}"/>
            </c:ext>
          </c:extLst>
        </c:ser>
        <c:ser>
          <c:idx val="4"/>
          <c:order val="2"/>
          <c:tx>
            <c:v>TOTAL ACTIVOS NO CORRIENTES</c:v>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val>
            <c:numRef>
              <c:f>'INDICADORES BASICOS'!$D$94</c:f>
              <c:numCache>
                <c:formatCode>0.00%</c:formatCode>
                <c:ptCount val="1"/>
                <c:pt idx="0">
                  <c:v>0.84045538941498987</c:v>
                </c:pt>
              </c:numCache>
            </c:numRef>
          </c:val>
          <c:extLst>
            <c:ext xmlns:c16="http://schemas.microsoft.com/office/drawing/2014/chart" uri="{C3380CC4-5D6E-409C-BE32-E72D297353CC}">
              <c16:uniqueId val="{00000002-6E2C-47FF-9633-4BF9AE5D3F1C}"/>
            </c:ext>
          </c:extLst>
        </c:ser>
        <c:ser>
          <c:idx val="3"/>
          <c:order val="3"/>
          <c:tx>
            <c:v>TOTAL PASIVO</c:v>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val>
            <c:numRef>
              <c:f>'INDICADORES BASICOS'!$D$105</c:f>
              <c:numCache>
                <c:formatCode>0.00%</c:formatCode>
                <c:ptCount val="1"/>
                <c:pt idx="0">
                  <c:v>0.18867463287720668</c:v>
                </c:pt>
              </c:numCache>
            </c:numRef>
          </c:val>
          <c:extLst>
            <c:ext xmlns:c16="http://schemas.microsoft.com/office/drawing/2014/chart" uri="{C3380CC4-5D6E-409C-BE32-E72D297353CC}">
              <c16:uniqueId val="{00000003-6E2C-47FF-9633-4BF9AE5D3F1C}"/>
            </c:ext>
          </c:extLst>
        </c:ser>
        <c:ser>
          <c:idx val="2"/>
          <c:order val="4"/>
          <c:tx>
            <c:v>TOTAL PASIVO CORRIENTE</c:v>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val>
            <c:numRef>
              <c:f>'INDICADORES BASICOS'!$D$104</c:f>
              <c:numCache>
                <c:formatCode>0.00%</c:formatCode>
                <c:ptCount val="1"/>
                <c:pt idx="0">
                  <c:v>0.18867463287720668</c:v>
                </c:pt>
              </c:numCache>
            </c:numRef>
          </c:val>
          <c:extLst>
            <c:ext xmlns:c16="http://schemas.microsoft.com/office/drawing/2014/chart" uri="{C3380CC4-5D6E-409C-BE32-E72D297353CC}">
              <c16:uniqueId val="{00000004-6E2C-47FF-9633-4BF9AE5D3F1C}"/>
            </c:ext>
          </c:extLst>
        </c:ser>
        <c:ser>
          <c:idx val="1"/>
          <c:order val="5"/>
          <c:tx>
            <c:v>TOTAL PASIVO NO CORRIENTE</c:v>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val>
            <c:numRef>
              <c:f>TABLAS!#REF!</c:f>
              <c:numCache>
                <c:formatCode>General</c:formatCode>
                <c:ptCount val="1"/>
                <c:pt idx="0">
                  <c:v>1</c:v>
                </c:pt>
              </c:numCache>
            </c:numRef>
          </c:val>
          <c:extLst>
            <c:ext xmlns:c16="http://schemas.microsoft.com/office/drawing/2014/chart" uri="{C3380CC4-5D6E-409C-BE32-E72D297353CC}">
              <c16:uniqueId val="{00000005-6E2C-47FF-9633-4BF9AE5D3F1C}"/>
            </c:ext>
          </c:extLst>
        </c:ser>
        <c:ser>
          <c:idx val="0"/>
          <c:order val="6"/>
          <c:tx>
            <c:v>TOTAL PATRIMONIO</c:v>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val>
            <c:numRef>
              <c:f>'INDICADORES BASICOS'!$D$112</c:f>
              <c:numCache>
                <c:formatCode>0.00%</c:formatCode>
                <c:ptCount val="1"/>
                <c:pt idx="0">
                  <c:v>0.81132536712279335</c:v>
                </c:pt>
              </c:numCache>
            </c:numRef>
          </c:val>
          <c:extLst>
            <c:ext xmlns:c16="http://schemas.microsoft.com/office/drawing/2014/chart" uri="{C3380CC4-5D6E-409C-BE32-E72D297353CC}">
              <c16:uniqueId val="{00000006-6E2C-47FF-9633-4BF9AE5D3F1C}"/>
            </c:ext>
          </c:extLst>
        </c:ser>
        <c:dLbls>
          <c:showLegendKey val="0"/>
          <c:showVal val="1"/>
          <c:showCatName val="0"/>
          <c:showSerName val="0"/>
          <c:showPercent val="0"/>
          <c:showBubbleSize val="0"/>
        </c:dLbls>
        <c:gapWidth val="150"/>
        <c:shape val="cylinder"/>
        <c:axId val="241110160"/>
        <c:axId val="241110720"/>
        <c:axId val="0"/>
      </c:bar3DChart>
      <c:catAx>
        <c:axId val="241110160"/>
        <c:scaling>
          <c:orientation val="minMax"/>
        </c:scaling>
        <c:delete val="1"/>
        <c:axPos val="l"/>
        <c:majorTickMark val="none"/>
        <c:minorTickMark val="none"/>
        <c:tickLblPos val="nextTo"/>
        <c:crossAx val="241110720"/>
        <c:crosses val="autoZero"/>
        <c:auto val="1"/>
        <c:lblAlgn val="ctr"/>
        <c:lblOffset val="100"/>
        <c:noMultiLvlLbl val="0"/>
      </c:catAx>
      <c:valAx>
        <c:axId val="241110720"/>
        <c:scaling>
          <c:orientation val="minMax"/>
        </c:scaling>
        <c:delete val="0"/>
        <c:axPos val="b"/>
        <c:majorGridlines/>
        <c:numFmt formatCode="0.00%" sourceLinked="1"/>
        <c:majorTickMark val="none"/>
        <c:minorTickMark val="none"/>
        <c:tickLblPos val="nextTo"/>
        <c:crossAx val="241110160"/>
        <c:crosses val="autoZero"/>
        <c:crossBetween val="between"/>
      </c:valAx>
    </c:plotArea>
    <c:legend>
      <c:legendPos val="r"/>
      <c:overlay val="0"/>
      <c:txPr>
        <a:bodyPr/>
        <a:lstStyle/>
        <a:p>
          <a:pPr>
            <a:defRPr sz="900"/>
          </a:pPr>
          <a:endParaRPr lang="es-CO"/>
        </a:p>
      </c:txPr>
    </c:legend>
    <c:plotVisOnly val="1"/>
    <c:dispBlanksAs val="gap"/>
    <c:showDLblsOverMax val="0"/>
  </c:chart>
  <c:printSettings>
    <c:headerFooter/>
    <c:pageMargins b="0.75" l="0.7" r="0.7" t="0.75" header="0.3" footer="0.3"/>
    <c:pageSetup/>
  </c:printSettings>
</c:chartSpace>
</file>

<file path=xl/charts/chart3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26"/>
    </mc:Choice>
    <mc:Fallback>
      <c:style val="26"/>
    </mc:Fallback>
  </mc:AlternateContent>
  <c:chart>
    <c:title>
      <c:tx>
        <c:rich>
          <a:bodyPr rot="0" vert="horz"/>
          <a:lstStyle/>
          <a:p>
            <a:pPr>
              <a:defRPr/>
            </a:pPr>
            <a:r>
              <a:rPr lang="es-CO"/>
              <a:t>GRÁFICO COMPARATIVO DEL EST. DE RESULTADOS 2016</a:t>
            </a:r>
          </a:p>
        </c:rich>
      </c:tx>
      <c:overlay val="0"/>
    </c:title>
    <c:autoTitleDeleted val="0"/>
    <c:plotArea>
      <c:layout/>
      <c:barChart>
        <c:barDir val="col"/>
        <c:grouping val="clustered"/>
        <c:varyColors val="0"/>
        <c:ser>
          <c:idx val="0"/>
          <c:order val="0"/>
          <c:tx>
            <c:strRef>
              <c:f>'INDICADORES BASICOS'!$B$236</c:f>
              <c:strCache>
                <c:ptCount val="1"/>
                <c:pt idx="0">
                  <c:v>INGRESOS OPERACIONALES</c:v>
                </c:pt>
              </c:strCache>
            </c:strRef>
          </c:tx>
          <c:invertIfNegative val="0"/>
          <c:cat>
            <c:numRef>
              <c:f>'INDICADORES BASICOS'!$C$235</c:f>
              <c:numCache>
                <c:formatCode>m/d/yyyy</c:formatCode>
                <c:ptCount val="1"/>
                <c:pt idx="0">
                  <c:v>42735</c:v>
                </c:pt>
              </c:numCache>
            </c:numRef>
          </c:cat>
          <c:val>
            <c:numRef>
              <c:f>'INDICADORES BASICOS'!$C$236</c:f>
              <c:numCache>
                <c:formatCode>"$"\ #,##0</c:formatCode>
                <c:ptCount val="1"/>
                <c:pt idx="0">
                  <c:v>663086000</c:v>
                </c:pt>
              </c:numCache>
            </c:numRef>
          </c:val>
          <c:extLst>
            <c:ext xmlns:c16="http://schemas.microsoft.com/office/drawing/2014/chart" uri="{C3380CC4-5D6E-409C-BE32-E72D297353CC}">
              <c16:uniqueId val="{00000000-3727-514C-95B3-905E412CE888}"/>
            </c:ext>
          </c:extLst>
        </c:ser>
        <c:ser>
          <c:idx val="1"/>
          <c:order val="1"/>
          <c:tx>
            <c:strRef>
              <c:f>'INDICADORES BASICOS'!$B$237</c:f>
              <c:strCache>
                <c:ptCount val="1"/>
                <c:pt idx="0">
                  <c:v>COSTOS DE VENTAS</c:v>
                </c:pt>
              </c:strCache>
            </c:strRef>
          </c:tx>
          <c:invertIfNegative val="0"/>
          <c:cat>
            <c:numRef>
              <c:f>'INDICADORES BASICOS'!$C$235</c:f>
              <c:numCache>
                <c:formatCode>m/d/yyyy</c:formatCode>
                <c:ptCount val="1"/>
                <c:pt idx="0">
                  <c:v>42735</c:v>
                </c:pt>
              </c:numCache>
            </c:numRef>
          </c:cat>
          <c:val>
            <c:numRef>
              <c:f>'INDICADORES BASICOS'!$C$237</c:f>
              <c:numCache>
                <c:formatCode>"$"\ #,##0</c:formatCode>
                <c:ptCount val="1"/>
                <c:pt idx="0">
                  <c:v>569555000</c:v>
                </c:pt>
              </c:numCache>
            </c:numRef>
          </c:val>
          <c:extLst>
            <c:ext xmlns:c16="http://schemas.microsoft.com/office/drawing/2014/chart" uri="{C3380CC4-5D6E-409C-BE32-E72D297353CC}">
              <c16:uniqueId val="{00000001-3727-514C-95B3-905E412CE888}"/>
            </c:ext>
          </c:extLst>
        </c:ser>
        <c:ser>
          <c:idx val="2"/>
          <c:order val="2"/>
          <c:tx>
            <c:strRef>
              <c:f>'INDICADORES BASICOS'!$B$238</c:f>
              <c:strCache>
                <c:ptCount val="1"/>
                <c:pt idx="0">
                  <c:v>UTILIDAD BRUTA</c:v>
                </c:pt>
              </c:strCache>
            </c:strRef>
          </c:tx>
          <c:invertIfNegative val="0"/>
          <c:cat>
            <c:numRef>
              <c:f>'INDICADORES BASICOS'!$C$235</c:f>
              <c:numCache>
                <c:formatCode>m/d/yyyy</c:formatCode>
                <c:ptCount val="1"/>
                <c:pt idx="0">
                  <c:v>42735</c:v>
                </c:pt>
              </c:numCache>
            </c:numRef>
          </c:cat>
          <c:val>
            <c:numRef>
              <c:f>'INDICADORES BASICOS'!$C$238</c:f>
              <c:numCache>
                <c:formatCode>"$"\ #,##0</c:formatCode>
                <c:ptCount val="1"/>
                <c:pt idx="0">
                  <c:v>93531000</c:v>
                </c:pt>
              </c:numCache>
            </c:numRef>
          </c:val>
          <c:extLst>
            <c:ext xmlns:c16="http://schemas.microsoft.com/office/drawing/2014/chart" uri="{C3380CC4-5D6E-409C-BE32-E72D297353CC}">
              <c16:uniqueId val="{00000002-3727-514C-95B3-905E412CE888}"/>
            </c:ext>
          </c:extLst>
        </c:ser>
        <c:ser>
          <c:idx val="3"/>
          <c:order val="3"/>
          <c:tx>
            <c:strRef>
              <c:f>'INDICADORES BASICOS'!$B$241</c:f>
              <c:strCache>
                <c:ptCount val="1"/>
                <c:pt idx="0">
                  <c:v>UTILIDAD OPERACIONAL</c:v>
                </c:pt>
              </c:strCache>
            </c:strRef>
          </c:tx>
          <c:invertIfNegative val="0"/>
          <c:cat>
            <c:numRef>
              <c:f>'INDICADORES BASICOS'!$C$235</c:f>
              <c:numCache>
                <c:formatCode>m/d/yyyy</c:formatCode>
                <c:ptCount val="1"/>
                <c:pt idx="0">
                  <c:v>42735</c:v>
                </c:pt>
              </c:numCache>
            </c:numRef>
          </c:cat>
          <c:val>
            <c:numRef>
              <c:f>'INDICADORES BASICOS'!$C$241</c:f>
              <c:numCache>
                <c:formatCode>"$"\ #,##0</c:formatCode>
                <c:ptCount val="1"/>
                <c:pt idx="0">
                  <c:v>38383000</c:v>
                </c:pt>
              </c:numCache>
            </c:numRef>
          </c:val>
          <c:extLst>
            <c:ext xmlns:c16="http://schemas.microsoft.com/office/drawing/2014/chart" uri="{C3380CC4-5D6E-409C-BE32-E72D297353CC}">
              <c16:uniqueId val="{00000003-3727-514C-95B3-905E412CE888}"/>
            </c:ext>
          </c:extLst>
        </c:ser>
        <c:ser>
          <c:idx val="4"/>
          <c:order val="4"/>
          <c:tx>
            <c:strRef>
              <c:f>'INDICADORES BASICOS'!$B$244</c:f>
              <c:strCache>
                <c:ptCount val="1"/>
                <c:pt idx="0">
                  <c:v>UTILIDAD ANTES DE IMPUESTO</c:v>
                </c:pt>
              </c:strCache>
            </c:strRef>
          </c:tx>
          <c:invertIfNegative val="0"/>
          <c:cat>
            <c:numRef>
              <c:f>'INDICADORES BASICOS'!$C$235</c:f>
              <c:numCache>
                <c:formatCode>m/d/yyyy</c:formatCode>
                <c:ptCount val="1"/>
                <c:pt idx="0">
                  <c:v>42735</c:v>
                </c:pt>
              </c:numCache>
            </c:numRef>
          </c:cat>
          <c:val>
            <c:numRef>
              <c:f>'INDICADORES BASICOS'!$C$244</c:f>
              <c:numCache>
                <c:formatCode>"$"\ #,##0</c:formatCode>
                <c:ptCount val="1"/>
                <c:pt idx="0">
                  <c:v>35989000</c:v>
                </c:pt>
              </c:numCache>
            </c:numRef>
          </c:val>
          <c:extLst>
            <c:ext xmlns:c16="http://schemas.microsoft.com/office/drawing/2014/chart" uri="{C3380CC4-5D6E-409C-BE32-E72D297353CC}">
              <c16:uniqueId val="{00000004-3727-514C-95B3-905E412CE888}"/>
            </c:ext>
          </c:extLst>
        </c:ser>
        <c:ser>
          <c:idx val="5"/>
          <c:order val="5"/>
          <c:tx>
            <c:strRef>
              <c:f>'INDICADORES BASICOS'!$B$246</c:f>
              <c:strCache>
                <c:ptCount val="1"/>
                <c:pt idx="0">
                  <c:v>IMPUESTO DE RENTA</c:v>
                </c:pt>
              </c:strCache>
            </c:strRef>
          </c:tx>
          <c:invertIfNegative val="0"/>
          <c:cat>
            <c:numRef>
              <c:f>'INDICADORES BASICOS'!$C$235</c:f>
              <c:numCache>
                <c:formatCode>m/d/yyyy</c:formatCode>
                <c:ptCount val="1"/>
                <c:pt idx="0">
                  <c:v>42735</c:v>
                </c:pt>
              </c:numCache>
            </c:numRef>
          </c:cat>
          <c:val>
            <c:numRef>
              <c:f>'INDICADORES BASICOS'!$C$246</c:f>
              <c:numCache>
                <c:formatCode>"$"\ #,##0</c:formatCode>
                <c:ptCount val="1"/>
                <c:pt idx="0">
                  <c:v>8997000</c:v>
                </c:pt>
              </c:numCache>
            </c:numRef>
          </c:val>
          <c:extLst>
            <c:ext xmlns:c16="http://schemas.microsoft.com/office/drawing/2014/chart" uri="{C3380CC4-5D6E-409C-BE32-E72D297353CC}">
              <c16:uniqueId val="{00000005-3727-514C-95B3-905E412CE888}"/>
            </c:ext>
          </c:extLst>
        </c:ser>
        <c:ser>
          <c:idx val="6"/>
          <c:order val="6"/>
          <c:tx>
            <c:strRef>
              <c:f>'INDICADORES BASICOS'!$B$247</c:f>
              <c:strCache>
                <c:ptCount val="1"/>
                <c:pt idx="0">
                  <c:v>UTILIDAD NETA</c:v>
                </c:pt>
              </c:strCache>
            </c:strRef>
          </c:tx>
          <c:invertIfNegative val="0"/>
          <c:cat>
            <c:numRef>
              <c:f>'INDICADORES BASICOS'!$C$235</c:f>
              <c:numCache>
                <c:formatCode>m/d/yyyy</c:formatCode>
                <c:ptCount val="1"/>
                <c:pt idx="0">
                  <c:v>42735</c:v>
                </c:pt>
              </c:numCache>
            </c:numRef>
          </c:cat>
          <c:val>
            <c:numRef>
              <c:f>'INDICADORES BASICOS'!$C$247</c:f>
              <c:numCache>
                <c:formatCode>"$"\ #,##0</c:formatCode>
                <c:ptCount val="1"/>
                <c:pt idx="0">
                  <c:v>23753000</c:v>
                </c:pt>
              </c:numCache>
            </c:numRef>
          </c:val>
          <c:extLst>
            <c:ext xmlns:c16="http://schemas.microsoft.com/office/drawing/2014/chart" uri="{C3380CC4-5D6E-409C-BE32-E72D297353CC}">
              <c16:uniqueId val="{00000006-3727-514C-95B3-905E412CE888}"/>
            </c:ext>
          </c:extLst>
        </c:ser>
        <c:dLbls>
          <c:showLegendKey val="0"/>
          <c:showVal val="0"/>
          <c:showCatName val="0"/>
          <c:showSerName val="0"/>
          <c:showPercent val="0"/>
          <c:showBubbleSize val="0"/>
        </c:dLbls>
        <c:gapWidth val="150"/>
        <c:axId val="241148880"/>
        <c:axId val="241149440"/>
      </c:barChart>
      <c:dateAx>
        <c:axId val="241148880"/>
        <c:scaling>
          <c:orientation val="minMax"/>
        </c:scaling>
        <c:delete val="0"/>
        <c:axPos val="b"/>
        <c:numFmt formatCode="m/d/yyyy" sourceLinked="1"/>
        <c:majorTickMark val="none"/>
        <c:minorTickMark val="none"/>
        <c:tickLblPos val="nextTo"/>
        <c:txPr>
          <a:bodyPr rot="-60000000" vert="horz"/>
          <a:lstStyle/>
          <a:p>
            <a:pPr>
              <a:defRPr/>
            </a:pPr>
            <a:endParaRPr lang="es-CO"/>
          </a:p>
        </c:txPr>
        <c:crossAx val="241149440"/>
        <c:crosses val="autoZero"/>
        <c:auto val="0"/>
        <c:lblOffset val="100"/>
        <c:baseTimeUnit val="days"/>
      </c:dateAx>
      <c:valAx>
        <c:axId val="241149440"/>
        <c:scaling>
          <c:orientation val="minMax"/>
        </c:scaling>
        <c:delete val="0"/>
        <c:axPos val="l"/>
        <c:majorGridlines/>
        <c:numFmt formatCode="&quot;$&quot;\ #,##0" sourceLinked="1"/>
        <c:majorTickMark val="none"/>
        <c:minorTickMark val="none"/>
        <c:tickLblPos val="nextTo"/>
        <c:txPr>
          <a:bodyPr rot="-60000000" vert="horz"/>
          <a:lstStyle/>
          <a:p>
            <a:pPr>
              <a:defRPr/>
            </a:pPr>
            <a:endParaRPr lang="es-CO"/>
          </a:p>
        </c:txPr>
        <c:crossAx val="241148880"/>
        <c:crosses val="autoZero"/>
        <c:crossBetween val="between"/>
      </c:valAx>
    </c:plotArea>
    <c:legend>
      <c:legendPos val="r"/>
      <c:layout>
        <c:manualLayout>
          <c:xMode val="edge"/>
          <c:yMode val="edge"/>
          <c:x val="0.66743595501449093"/>
          <c:y val="0.27593498291137081"/>
          <c:w val="0.31146514680762871"/>
          <c:h val="0.66087677635446884"/>
        </c:manualLayout>
      </c:layout>
      <c:overlay val="0"/>
      <c:txPr>
        <a:bodyPr rot="0" vert="horz"/>
        <a:lstStyle/>
        <a:p>
          <a:pPr>
            <a:defRPr/>
          </a:pPr>
          <a:endParaRPr lang="es-CO"/>
        </a:p>
      </c:txPr>
    </c:legend>
    <c:plotVisOnly val="1"/>
    <c:dispBlanksAs val="gap"/>
    <c:showDLblsOverMax val="0"/>
  </c:chart>
  <c:printSettings>
    <c:headerFooter/>
    <c:pageMargins b="0.75" l="0.7" r="0.7" t="0.75" header="0.3" footer="0.3"/>
    <c:pageSetup/>
  </c:printSettings>
</c:chartSpace>
</file>

<file path=xl/charts/chart3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26"/>
    </mc:Choice>
    <mc:Fallback>
      <c:style val="26"/>
    </mc:Fallback>
  </mc:AlternateContent>
  <c:chart>
    <c:title>
      <c:tx>
        <c:rich>
          <a:bodyPr rot="0" vert="horz"/>
          <a:lstStyle/>
          <a:p>
            <a:pPr>
              <a:defRPr/>
            </a:pPr>
            <a:r>
              <a:rPr lang="es-CO"/>
              <a:t>GRÁFICO COMPARATIVO BALANCE GENERAL 2016</a:t>
            </a:r>
          </a:p>
        </c:rich>
      </c:tx>
      <c:overlay val="0"/>
    </c:title>
    <c:autoTitleDeleted val="0"/>
    <c:plotArea>
      <c:layout/>
      <c:barChart>
        <c:barDir val="col"/>
        <c:grouping val="clustered"/>
        <c:varyColors val="0"/>
        <c:ser>
          <c:idx val="0"/>
          <c:order val="0"/>
          <c:tx>
            <c:strRef>
              <c:f>'INDICADORES BASICOS'!$B$255</c:f>
              <c:strCache>
                <c:ptCount val="1"/>
                <c:pt idx="0">
                  <c:v>TOTAL ACTIVOS CORRIENTES</c:v>
                </c:pt>
              </c:strCache>
            </c:strRef>
          </c:tx>
          <c:invertIfNegative val="0"/>
          <c:cat>
            <c:numRef>
              <c:f>'INDICADORES BASICOS'!$C$272</c:f>
              <c:numCache>
                <c:formatCode>m/d/yyyy</c:formatCode>
                <c:ptCount val="1"/>
                <c:pt idx="0">
                  <c:v>42735</c:v>
                </c:pt>
              </c:numCache>
            </c:numRef>
          </c:cat>
          <c:val>
            <c:numRef>
              <c:f>'INDICADORES BASICOS'!$C$255</c:f>
              <c:numCache>
                <c:formatCode>"$"\ #,##0</c:formatCode>
                <c:ptCount val="1"/>
                <c:pt idx="0">
                  <c:v>137056000</c:v>
                </c:pt>
              </c:numCache>
            </c:numRef>
          </c:val>
          <c:extLst>
            <c:ext xmlns:c16="http://schemas.microsoft.com/office/drawing/2014/chart" uri="{C3380CC4-5D6E-409C-BE32-E72D297353CC}">
              <c16:uniqueId val="{00000000-FE0C-EB44-81EA-028C4EEB4C10}"/>
            </c:ext>
          </c:extLst>
        </c:ser>
        <c:ser>
          <c:idx val="1"/>
          <c:order val="1"/>
          <c:tx>
            <c:strRef>
              <c:f>'INDICADORES BASICOS'!$B$261</c:f>
              <c:strCache>
                <c:ptCount val="1"/>
                <c:pt idx="0">
                  <c:v>TOTAL ACTIVO</c:v>
                </c:pt>
              </c:strCache>
            </c:strRef>
          </c:tx>
          <c:invertIfNegative val="0"/>
          <c:cat>
            <c:numRef>
              <c:f>'INDICADORES BASICOS'!$C$272</c:f>
              <c:numCache>
                <c:formatCode>m/d/yyyy</c:formatCode>
                <c:ptCount val="1"/>
                <c:pt idx="0">
                  <c:v>42735</c:v>
                </c:pt>
              </c:numCache>
            </c:numRef>
          </c:cat>
          <c:val>
            <c:numRef>
              <c:f>'INDICADORES BASICOS'!$C$261</c:f>
              <c:numCache>
                <c:formatCode>"$"\ #,##0</c:formatCode>
                <c:ptCount val="1"/>
                <c:pt idx="0">
                  <c:v>859045000</c:v>
                </c:pt>
              </c:numCache>
            </c:numRef>
          </c:val>
          <c:extLst>
            <c:ext xmlns:c16="http://schemas.microsoft.com/office/drawing/2014/chart" uri="{C3380CC4-5D6E-409C-BE32-E72D297353CC}">
              <c16:uniqueId val="{00000001-FE0C-EB44-81EA-028C4EEB4C10}"/>
            </c:ext>
          </c:extLst>
        </c:ser>
        <c:ser>
          <c:idx val="2"/>
          <c:order val="2"/>
          <c:tx>
            <c:strRef>
              <c:f>'INDICADORES BASICOS'!$B$269</c:f>
              <c:strCache>
                <c:ptCount val="1"/>
                <c:pt idx="0">
                  <c:v>TOTAL PASIVO CORRIENTE</c:v>
                </c:pt>
              </c:strCache>
            </c:strRef>
          </c:tx>
          <c:invertIfNegative val="0"/>
          <c:cat>
            <c:numRef>
              <c:f>'INDICADORES BASICOS'!$C$272</c:f>
              <c:numCache>
                <c:formatCode>m/d/yyyy</c:formatCode>
                <c:ptCount val="1"/>
                <c:pt idx="0">
                  <c:v>42735</c:v>
                </c:pt>
              </c:numCache>
            </c:numRef>
          </c:cat>
          <c:val>
            <c:numRef>
              <c:f>'INDICADORES BASICOS'!$C$269</c:f>
              <c:numCache>
                <c:formatCode>"$"\ #,##0</c:formatCode>
                <c:ptCount val="1"/>
                <c:pt idx="0">
                  <c:v>162080000</c:v>
                </c:pt>
              </c:numCache>
            </c:numRef>
          </c:val>
          <c:extLst>
            <c:ext xmlns:c16="http://schemas.microsoft.com/office/drawing/2014/chart" uri="{C3380CC4-5D6E-409C-BE32-E72D297353CC}">
              <c16:uniqueId val="{00000002-FE0C-EB44-81EA-028C4EEB4C10}"/>
            </c:ext>
          </c:extLst>
        </c:ser>
        <c:ser>
          <c:idx val="3"/>
          <c:order val="3"/>
          <c:tx>
            <c:strRef>
              <c:f>'INDICADORES BASICOS'!$B$270</c:f>
              <c:strCache>
                <c:ptCount val="1"/>
                <c:pt idx="0">
                  <c:v>TOTAL PASIVO</c:v>
                </c:pt>
              </c:strCache>
            </c:strRef>
          </c:tx>
          <c:invertIfNegative val="0"/>
          <c:cat>
            <c:numRef>
              <c:f>'INDICADORES BASICOS'!$C$272</c:f>
              <c:numCache>
                <c:formatCode>m/d/yyyy</c:formatCode>
                <c:ptCount val="1"/>
                <c:pt idx="0">
                  <c:v>42735</c:v>
                </c:pt>
              </c:numCache>
            </c:numRef>
          </c:cat>
          <c:val>
            <c:numRef>
              <c:f>'INDICADORES BASICOS'!$C$270</c:f>
              <c:numCache>
                <c:formatCode>"$"\ #,##0</c:formatCode>
                <c:ptCount val="1"/>
                <c:pt idx="0">
                  <c:v>162080000</c:v>
                </c:pt>
              </c:numCache>
            </c:numRef>
          </c:val>
          <c:extLst>
            <c:ext xmlns:c16="http://schemas.microsoft.com/office/drawing/2014/chart" uri="{C3380CC4-5D6E-409C-BE32-E72D297353CC}">
              <c16:uniqueId val="{00000003-FE0C-EB44-81EA-028C4EEB4C10}"/>
            </c:ext>
          </c:extLst>
        </c:ser>
        <c:ser>
          <c:idx val="4"/>
          <c:order val="4"/>
          <c:tx>
            <c:strRef>
              <c:f>'INDICADORES BASICOS'!$B$277</c:f>
              <c:strCache>
                <c:ptCount val="1"/>
                <c:pt idx="0">
                  <c:v>TOTAL PATRIMONIO</c:v>
                </c:pt>
              </c:strCache>
            </c:strRef>
          </c:tx>
          <c:invertIfNegative val="0"/>
          <c:cat>
            <c:numRef>
              <c:f>'INDICADORES BASICOS'!$C$272</c:f>
              <c:numCache>
                <c:formatCode>m/d/yyyy</c:formatCode>
                <c:ptCount val="1"/>
                <c:pt idx="0">
                  <c:v>42735</c:v>
                </c:pt>
              </c:numCache>
            </c:numRef>
          </c:cat>
          <c:val>
            <c:numRef>
              <c:f>'INDICADORES BASICOS'!$C$277</c:f>
              <c:numCache>
                <c:formatCode>"$"\ #,##0</c:formatCode>
                <c:ptCount val="1"/>
                <c:pt idx="0">
                  <c:v>696965000</c:v>
                </c:pt>
              </c:numCache>
            </c:numRef>
          </c:val>
          <c:extLst>
            <c:ext xmlns:c16="http://schemas.microsoft.com/office/drawing/2014/chart" uri="{C3380CC4-5D6E-409C-BE32-E72D297353CC}">
              <c16:uniqueId val="{00000004-FE0C-EB44-81EA-028C4EEB4C10}"/>
            </c:ext>
          </c:extLst>
        </c:ser>
        <c:dLbls>
          <c:showLegendKey val="0"/>
          <c:showVal val="0"/>
          <c:showCatName val="0"/>
          <c:showSerName val="0"/>
          <c:showPercent val="0"/>
          <c:showBubbleSize val="0"/>
        </c:dLbls>
        <c:gapWidth val="150"/>
        <c:axId val="241466704"/>
        <c:axId val="241467264"/>
      </c:barChart>
      <c:dateAx>
        <c:axId val="241466704"/>
        <c:scaling>
          <c:orientation val="minMax"/>
        </c:scaling>
        <c:delete val="0"/>
        <c:axPos val="b"/>
        <c:numFmt formatCode="m/d/yyyy" sourceLinked="1"/>
        <c:majorTickMark val="none"/>
        <c:minorTickMark val="none"/>
        <c:tickLblPos val="nextTo"/>
        <c:txPr>
          <a:bodyPr rot="-60000000" vert="horz"/>
          <a:lstStyle/>
          <a:p>
            <a:pPr>
              <a:defRPr/>
            </a:pPr>
            <a:endParaRPr lang="es-CO"/>
          </a:p>
        </c:txPr>
        <c:crossAx val="241467264"/>
        <c:crosses val="autoZero"/>
        <c:auto val="1"/>
        <c:lblOffset val="100"/>
        <c:baseTimeUnit val="days"/>
      </c:dateAx>
      <c:valAx>
        <c:axId val="241467264"/>
        <c:scaling>
          <c:orientation val="minMax"/>
        </c:scaling>
        <c:delete val="0"/>
        <c:axPos val="l"/>
        <c:majorGridlines/>
        <c:numFmt formatCode="&quot;$&quot;\ #,##0" sourceLinked="1"/>
        <c:majorTickMark val="none"/>
        <c:minorTickMark val="none"/>
        <c:tickLblPos val="nextTo"/>
        <c:txPr>
          <a:bodyPr rot="-60000000" vert="horz"/>
          <a:lstStyle/>
          <a:p>
            <a:pPr>
              <a:defRPr/>
            </a:pPr>
            <a:endParaRPr lang="es-CO"/>
          </a:p>
        </c:txPr>
        <c:crossAx val="241466704"/>
        <c:crosses val="autoZero"/>
        <c:crossBetween val="between"/>
      </c:valAx>
    </c:plotArea>
    <c:legend>
      <c:legendPos val="r"/>
      <c:overlay val="0"/>
      <c:txPr>
        <a:bodyPr rot="0" vert="horz"/>
        <a:lstStyle/>
        <a:p>
          <a:pPr>
            <a:defRPr/>
          </a:pPr>
          <a:endParaRPr lang="es-CO"/>
        </a:p>
      </c:txPr>
    </c:legend>
    <c:plotVisOnly val="1"/>
    <c:dispBlanksAs val="gap"/>
    <c:showDLblsOverMax val="0"/>
  </c:chart>
  <c:printSettings>
    <c:headerFooter/>
    <c:pageMargins b="0.75" l="0.7" r="0.7" t="0.75" header="0.3" footer="0.3"/>
    <c:pageSetup/>
  </c:printSettings>
</c:chartSpace>
</file>

<file path=xl/charts/chart3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s-CO" b="1"/>
              <a:t>GRÁFICO COMPARATIVO DEL EST. DE RESULTADOS 2015</a:t>
            </a:r>
          </a:p>
        </c:rich>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s-CO"/>
        </a:p>
      </c:txPr>
    </c:title>
    <c:autoTitleDeleted val="0"/>
    <c:view3D>
      <c:rotX val="15"/>
      <c:rotY val="20"/>
      <c:depthPercent val="100"/>
      <c:rAngAx val="1"/>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bar3DChart>
        <c:barDir val="col"/>
        <c:grouping val="clustered"/>
        <c:varyColors val="0"/>
        <c:ser>
          <c:idx val="0"/>
          <c:order val="0"/>
          <c:tx>
            <c:strRef>
              <c:f>'INDICADORES BASICOS'!$B$320</c:f>
              <c:strCache>
                <c:ptCount val="1"/>
                <c:pt idx="0">
                  <c:v>INGRESOS OPERACIONALES</c:v>
                </c:pt>
              </c:strCache>
            </c:strRef>
          </c:tx>
          <c:spPr>
            <a:solidFill>
              <a:schemeClr val="accent1"/>
            </a:solidFill>
            <a:ln>
              <a:noFill/>
            </a:ln>
            <a:effectLst/>
            <a:sp3d/>
          </c:spPr>
          <c:invertIfNegative val="0"/>
          <c:cat>
            <c:numRef>
              <c:f>'INDICADORES BASICOS'!$C$335</c:f>
              <c:numCache>
                <c:formatCode>m/d/yyyy</c:formatCode>
                <c:ptCount val="1"/>
                <c:pt idx="0">
                  <c:v>42369</c:v>
                </c:pt>
              </c:numCache>
            </c:numRef>
          </c:cat>
          <c:val>
            <c:numRef>
              <c:f>'INDICADORES BASICOS'!$C$320</c:f>
              <c:numCache>
                <c:formatCode>"$"\ #,##0</c:formatCode>
                <c:ptCount val="1"/>
                <c:pt idx="0">
                  <c:v>344142000</c:v>
                </c:pt>
              </c:numCache>
            </c:numRef>
          </c:val>
          <c:extLst>
            <c:ext xmlns:c16="http://schemas.microsoft.com/office/drawing/2014/chart" uri="{C3380CC4-5D6E-409C-BE32-E72D297353CC}">
              <c16:uniqueId val="{00000000-74D7-FC4C-A54C-531E031A0A4A}"/>
            </c:ext>
          </c:extLst>
        </c:ser>
        <c:ser>
          <c:idx val="1"/>
          <c:order val="1"/>
          <c:tx>
            <c:strRef>
              <c:f>'INDICADORES BASICOS'!$B$321</c:f>
              <c:strCache>
                <c:ptCount val="1"/>
                <c:pt idx="0">
                  <c:v>COSTOS DE VENTAS</c:v>
                </c:pt>
              </c:strCache>
            </c:strRef>
          </c:tx>
          <c:spPr>
            <a:solidFill>
              <a:schemeClr val="accent2"/>
            </a:solidFill>
            <a:ln>
              <a:noFill/>
            </a:ln>
            <a:effectLst/>
            <a:sp3d/>
          </c:spPr>
          <c:invertIfNegative val="0"/>
          <c:cat>
            <c:numRef>
              <c:f>'INDICADORES BASICOS'!$C$335</c:f>
              <c:numCache>
                <c:formatCode>m/d/yyyy</c:formatCode>
                <c:ptCount val="1"/>
                <c:pt idx="0">
                  <c:v>42369</c:v>
                </c:pt>
              </c:numCache>
            </c:numRef>
          </c:cat>
          <c:val>
            <c:numRef>
              <c:f>'INDICADORES BASICOS'!$C$321</c:f>
              <c:numCache>
                <c:formatCode>"$"\ #,##0</c:formatCode>
                <c:ptCount val="1"/>
                <c:pt idx="0">
                  <c:v>243387000</c:v>
                </c:pt>
              </c:numCache>
            </c:numRef>
          </c:val>
          <c:extLst>
            <c:ext xmlns:c16="http://schemas.microsoft.com/office/drawing/2014/chart" uri="{C3380CC4-5D6E-409C-BE32-E72D297353CC}">
              <c16:uniqueId val="{00000001-74D7-FC4C-A54C-531E031A0A4A}"/>
            </c:ext>
          </c:extLst>
        </c:ser>
        <c:ser>
          <c:idx val="2"/>
          <c:order val="2"/>
          <c:tx>
            <c:strRef>
              <c:f>'INDICADORES BASICOS'!$B$322</c:f>
              <c:strCache>
                <c:ptCount val="1"/>
                <c:pt idx="0">
                  <c:v>UTILIDAD BRUTA</c:v>
                </c:pt>
              </c:strCache>
            </c:strRef>
          </c:tx>
          <c:spPr>
            <a:solidFill>
              <a:schemeClr val="accent3"/>
            </a:solidFill>
            <a:ln>
              <a:noFill/>
            </a:ln>
            <a:effectLst/>
            <a:sp3d/>
          </c:spPr>
          <c:invertIfNegative val="0"/>
          <c:cat>
            <c:numRef>
              <c:f>'INDICADORES BASICOS'!$C$335</c:f>
              <c:numCache>
                <c:formatCode>m/d/yyyy</c:formatCode>
                <c:ptCount val="1"/>
                <c:pt idx="0">
                  <c:v>42369</c:v>
                </c:pt>
              </c:numCache>
            </c:numRef>
          </c:cat>
          <c:val>
            <c:numRef>
              <c:f>'INDICADORES BASICOS'!$C$322</c:f>
              <c:numCache>
                <c:formatCode>"$"\ #,##0</c:formatCode>
                <c:ptCount val="1"/>
                <c:pt idx="0">
                  <c:v>100755000</c:v>
                </c:pt>
              </c:numCache>
            </c:numRef>
          </c:val>
          <c:extLst>
            <c:ext xmlns:c16="http://schemas.microsoft.com/office/drawing/2014/chart" uri="{C3380CC4-5D6E-409C-BE32-E72D297353CC}">
              <c16:uniqueId val="{00000002-74D7-FC4C-A54C-531E031A0A4A}"/>
            </c:ext>
          </c:extLst>
        </c:ser>
        <c:ser>
          <c:idx val="3"/>
          <c:order val="3"/>
          <c:tx>
            <c:strRef>
              <c:f>'INDICADORES BASICOS'!$B$325</c:f>
              <c:strCache>
                <c:ptCount val="1"/>
                <c:pt idx="0">
                  <c:v>UTILIDAD OPERACIONAL</c:v>
                </c:pt>
              </c:strCache>
            </c:strRef>
          </c:tx>
          <c:spPr>
            <a:solidFill>
              <a:schemeClr val="accent4"/>
            </a:solidFill>
            <a:ln>
              <a:noFill/>
            </a:ln>
            <a:effectLst/>
            <a:sp3d/>
          </c:spPr>
          <c:invertIfNegative val="0"/>
          <c:cat>
            <c:numRef>
              <c:f>'INDICADORES BASICOS'!$C$335</c:f>
              <c:numCache>
                <c:formatCode>m/d/yyyy</c:formatCode>
                <c:ptCount val="1"/>
                <c:pt idx="0">
                  <c:v>42369</c:v>
                </c:pt>
              </c:numCache>
            </c:numRef>
          </c:cat>
          <c:val>
            <c:numRef>
              <c:f>'INDICADORES BASICOS'!$C$325</c:f>
              <c:numCache>
                <c:formatCode>"$"\ #,##0</c:formatCode>
                <c:ptCount val="1"/>
                <c:pt idx="0">
                  <c:v>72212000</c:v>
                </c:pt>
              </c:numCache>
            </c:numRef>
          </c:val>
          <c:extLst>
            <c:ext xmlns:c16="http://schemas.microsoft.com/office/drawing/2014/chart" uri="{C3380CC4-5D6E-409C-BE32-E72D297353CC}">
              <c16:uniqueId val="{00000003-74D7-FC4C-A54C-531E031A0A4A}"/>
            </c:ext>
          </c:extLst>
        </c:ser>
        <c:ser>
          <c:idx val="4"/>
          <c:order val="4"/>
          <c:tx>
            <c:strRef>
              <c:f>'INDICADORES BASICOS'!$B$328</c:f>
              <c:strCache>
                <c:ptCount val="1"/>
                <c:pt idx="0">
                  <c:v>UTILIDAD ANTES DE IMPUESTO</c:v>
                </c:pt>
              </c:strCache>
            </c:strRef>
          </c:tx>
          <c:spPr>
            <a:solidFill>
              <a:schemeClr val="accent5"/>
            </a:solidFill>
            <a:ln>
              <a:noFill/>
            </a:ln>
            <a:effectLst/>
            <a:sp3d/>
          </c:spPr>
          <c:invertIfNegative val="0"/>
          <c:cat>
            <c:numRef>
              <c:f>'INDICADORES BASICOS'!$C$335</c:f>
              <c:numCache>
                <c:formatCode>m/d/yyyy</c:formatCode>
                <c:ptCount val="1"/>
                <c:pt idx="0">
                  <c:v>42369</c:v>
                </c:pt>
              </c:numCache>
            </c:numRef>
          </c:cat>
          <c:val>
            <c:numRef>
              <c:f>'INDICADORES BASICOS'!$C$328</c:f>
              <c:numCache>
                <c:formatCode>"$"\ #,##0</c:formatCode>
                <c:ptCount val="1"/>
                <c:pt idx="0">
                  <c:v>68781000</c:v>
                </c:pt>
              </c:numCache>
            </c:numRef>
          </c:val>
          <c:extLst>
            <c:ext xmlns:c16="http://schemas.microsoft.com/office/drawing/2014/chart" uri="{C3380CC4-5D6E-409C-BE32-E72D297353CC}">
              <c16:uniqueId val="{00000004-74D7-FC4C-A54C-531E031A0A4A}"/>
            </c:ext>
          </c:extLst>
        </c:ser>
        <c:ser>
          <c:idx val="5"/>
          <c:order val="5"/>
          <c:tx>
            <c:strRef>
              <c:f>'INDICADORES BASICOS'!$B$330</c:f>
              <c:strCache>
                <c:ptCount val="1"/>
                <c:pt idx="0">
                  <c:v>IMPUESTO DE RENTA</c:v>
                </c:pt>
              </c:strCache>
            </c:strRef>
          </c:tx>
          <c:spPr>
            <a:solidFill>
              <a:schemeClr val="accent6"/>
            </a:solidFill>
            <a:ln>
              <a:noFill/>
            </a:ln>
            <a:effectLst/>
            <a:sp3d/>
          </c:spPr>
          <c:invertIfNegative val="0"/>
          <c:cat>
            <c:numRef>
              <c:f>'INDICADORES BASICOS'!$C$335</c:f>
              <c:numCache>
                <c:formatCode>m/d/yyyy</c:formatCode>
                <c:ptCount val="1"/>
                <c:pt idx="0">
                  <c:v>42369</c:v>
                </c:pt>
              </c:numCache>
            </c:numRef>
          </c:cat>
          <c:val>
            <c:numRef>
              <c:f>'INDICADORES BASICOS'!$C$330</c:f>
              <c:numCache>
                <c:formatCode>"$"\ #,##0</c:formatCode>
                <c:ptCount val="1"/>
                <c:pt idx="0">
                  <c:v>17195000</c:v>
                </c:pt>
              </c:numCache>
            </c:numRef>
          </c:val>
          <c:extLst>
            <c:ext xmlns:c16="http://schemas.microsoft.com/office/drawing/2014/chart" uri="{C3380CC4-5D6E-409C-BE32-E72D297353CC}">
              <c16:uniqueId val="{00000005-74D7-FC4C-A54C-531E031A0A4A}"/>
            </c:ext>
          </c:extLst>
        </c:ser>
        <c:ser>
          <c:idx val="6"/>
          <c:order val="6"/>
          <c:tx>
            <c:strRef>
              <c:f>'INDICADORES BASICOS'!$B$331</c:f>
              <c:strCache>
                <c:ptCount val="1"/>
                <c:pt idx="0">
                  <c:v>UTILIDAD NETA</c:v>
                </c:pt>
              </c:strCache>
            </c:strRef>
          </c:tx>
          <c:spPr>
            <a:solidFill>
              <a:schemeClr val="accent1">
                <a:lumMod val="60000"/>
              </a:schemeClr>
            </a:solidFill>
            <a:ln>
              <a:noFill/>
            </a:ln>
            <a:effectLst/>
            <a:sp3d/>
          </c:spPr>
          <c:invertIfNegative val="0"/>
          <c:cat>
            <c:numRef>
              <c:f>'INDICADORES BASICOS'!$C$335</c:f>
              <c:numCache>
                <c:formatCode>m/d/yyyy</c:formatCode>
                <c:ptCount val="1"/>
                <c:pt idx="0">
                  <c:v>42369</c:v>
                </c:pt>
              </c:numCache>
            </c:numRef>
          </c:cat>
          <c:val>
            <c:numRef>
              <c:f>'INDICADORES BASICOS'!$C$331</c:f>
              <c:numCache>
                <c:formatCode>"$"\ #,##0</c:formatCode>
                <c:ptCount val="1"/>
                <c:pt idx="0">
                  <c:v>47818000</c:v>
                </c:pt>
              </c:numCache>
            </c:numRef>
          </c:val>
          <c:extLst>
            <c:ext xmlns:c16="http://schemas.microsoft.com/office/drawing/2014/chart" uri="{C3380CC4-5D6E-409C-BE32-E72D297353CC}">
              <c16:uniqueId val="{00000006-74D7-FC4C-A54C-531E031A0A4A}"/>
            </c:ext>
          </c:extLst>
        </c:ser>
        <c:dLbls>
          <c:showLegendKey val="0"/>
          <c:showVal val="0"/>
          <c:showCatName val="0"/>
          <c:showSerName val="0"/>
          <c:showPercent val="0"/>
          <c:showBubbleSize val="0"/>
        </c:dLbls>
        <c:gapWidth val="150"/>
        <c:shape val="box"/>
        <c:axId val="262801808"/>
        <c:axId val="262802368"/>
        <c:axId val="0"/>
      </c:bar3DChart>
      <c:dateAx>
        <c:axId val="262801808"/>
        <c:scaling>
          <c:orientation val="minMax"/>
        </c:scaling>
        <c:delete val="0"/>
        <c:axPos val="b"/>
        <c:numFmt formatCode="m/d/yyyy"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62802368"/>
        <c:crosses val="autoZero"/>
        <c:auto val="1"/>
        <c:lblOffset val="100"/>
        <c:baseTimeUnit val="days"/>
      </c:dateAx>
      <c:valAx>
        <c:axId val="262802368"/>
        <c:scaling>
          <c:orientation val="minMax"/>
        </c:scaling>
        <c:delete val="0"/>
        <c:axPos val="l"/>
        <c:majorGridlines>
          <c:spPr>
            <a:ln w="9525" cap="flat" cmpd="sng" algn="ctr">
              <a:solidFill>
                <a:schemeClr val="tx1">
                  <a:lumMod val="15000"/>
                  <a:lumOff val="85000"/>
                </a:schemeClr>
              </a:solidFill>
              <a:round/>
            </a:ln>
            <a:effectLst/>
          </c:spPr>
        </c:majorGridlines>
        <c:numFmt formatCode="&quot;$&quot;\ #,##0"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62801808"/>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3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s-CO"/>
              <a:t>GRÁFICO COMPARATIVO BALANCE GENERAL 2015</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view3D>
      <c:rotX val="15"/>
      <c:rotY val="20"/>
      <c:depthPercent val="100"/>
      <c:rAngAx val="1"/>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bar3DChart>
        <c:barDir val="col"/>
        <c:grouping val="clustered"/>
        <c:varyColors val="0"/>
        <c:ser>
          <c:idx val="0"/>
          <c:order val="0"/>
          <c:tx>
            <c:strRef>
              <c:f>'INDICADORES BASICOS'!$B$339</c:f>
              <c:strCache>
                <c:ptCount val="1"/>
                <c:pt idx="0">
                  <c:v>TOTAL ACTIVOS CORRIENTES</c:v>
                </c:pt>
              </c:strCache>
            </c:strRef>
          </c:tx>
          <c:spPr>
            <a:solidFill>
              <a:schemeClr val="accent1"/>
            </a:solidFill>
            <a:ln>
              <a:noFill/>
            </a:ln>
            <a:effectLst/>
            <a:sp3d/>
          </c:spPr>
          <c:invertIfNegative val="0"/>
          <c:cat>
            <c:numRef>
              <c:f>'INDICADORES BASICOS'!$C$356</c:f>
              <c:numCache>
                <c:formatCode>m/d/yyyy</c:formatCode>
                <c:ptCount val="1"/>
                <c:pt idx="0">
                  <c:v>42369</c:v>
                </c:pt>
              </c:numCache>
            </c:numRef>
          </c:cat>
          <c:val>
            <c:numRef>
              <c:f>'INDICADORES BASICOS'!$C$339</c:f>
              <c:numCache>
                <c:formatCode>"$"\ #,##0</c:formatCode>
                <c:ptCount val="1"/>
                <c:pt idx="0">
                  <c:v>47151000</c:v>
                </c:pt>
              </c:numCache>
            </c:numRef>
          </c:val>
          <c:extLst>
            <c:ext xmlns:c16="http://schemas.microsoft.com/office/drawing/2014/chart" uri="{C3380CC4-5D6E-409C-BE32-E72D297353CC}">
              <c16:uniqueId val="{00000000-CE13-0C40-83FE-DEB059B04291}"/>
            </c:ext>
          </c:extLst>
        </c:ser>
        <c:ser>
          <c:idx val="1"/>
          <c:order val="1"/>
          <c:tx>
            <c:strRef>
              <c:f>'INDICADORES BASICOS'!$B$345</c:f>
              <c:strCache>
                <c:ptCount val="1"/>
                <c:pt idx="0">
                  <c:v>TOTAL ACTIVO</c:v>
                </c:pt>
              </c:strCache>
            </c:strRef>
          </c:tx>
          <c:spPr>
            <a:solidFill>
              <a:schemeClr val="accent2"/>
            </a:solidFill>
            <a:ln>
              <a:noFill/>
            </a:ln>
            <a:effectLst/>
            <a:sp3d/>
          </c:spPr>
          <c:invertIfNegative val="0"/>
          <c:cat>
            <c:numRef>
              <c:f>'INDICADORES BASICOS'!$C$356</c:f>
              <c:numCache>
                <c:formatCode>m/d/yyyy</c:formatCode>
                <c:ptCount val="1"/>
                <c:pt idx="0">
                  <c:v>42369</c:v>
                </c:pt>
              </c:numCache>
            </c:numRef>
          </c:cat>
          <c:val>
            <c:numRef>
              <c:f>'INDICADORES BASICOS'!$C$345</c:f>
              <c:numCache>
                <c:formatCode>"$"\ #,##0</c:formatCode>
                <c:ptCount val="1"/>
                <c:pt idx="0">
                  <c:v>798251000</c:v>
                </c:pt>
              </c:numCache>
            </c:numRef>
          </c:val>
          <c:extLst>
            <c:ext xmlns:c16="http://schemas.microsoft.com/office/drawing/2014/chart" uri="{C3380CC4-5D6E-409C-BE32-E72D297353CC}">
              <c16:uniqueId val="{00000001-CE13-0C40-83FE-DEB059B04291}"/>
            </c:ext>
          </c:extLst>
        </c:ser>
        <c:ser>
          <c:idx val="2"/>
          <c:order val="2"/>
          <c:tx>
            <c:strRef>
              <c:f>'INDICADORES BASICOS'!$B$353</c:f>
              <c:strCache>
                <c:ptCount val="1"/>
                <c:pt idx="0">
                  <c:v>TOTAL PASIVO CORRIENTE</c:v>
                </c:pt>
              </c:strCache>
            </c:strRef>
          </c:tx>
          <c:spPr>
            <a:solidFill>
              <a:schemeClr val="accent3"/>
            </a:solidFill>
            <a:ln>
              <a:noFill/>
            </a:ln>
            <a:effectLst/>
            <a:sp3d/>
          </c:spPr>
          <c:invertIfNegative val="0"/>
          <c:cat>
            <c:numRef>
              <c:f>'INDICADORES BASICOS'!$C$356</c:f>
              <c:numCache>
                <c:formatCode>m/d/yyyy</c:formatCode>
                <c:ptCount val="1"/>
                <c:pt idx="0">
                  <c:v>42369</c:v>
                </c:pt>
              </c:numCache>
            </c:numRef>
          </c:cat>
          <c:val>
            <c:numRef>
              <c:f>'INDICADORES BASICOS'!$C$353</c:f>
              <c:numCache>
                <c:formatCode>"$"\ #,##0</c:formatCode>
                <c:ptCount val="1"/>
                <c:pt idx="0">
                  <c:v>125039000</c:v>
                </c:pt>
              </c:numCache>
            </c:numRef>
          </c:val>
          <c:extLst>
            <c:ext xmlns:c16="http://schemas.microsoft.com/office/drawing/2014/chart" uri="{C3380CC4-5D6E-409C-BE32-E72D297353CC}">
              <c16:uniqueId val="{00000002-CE13-0C40-83FE-DEB059B04291}"/>
            </c:ext>
          </c:extLst>
        </c:ser>
        <c:ser>
          <c:idx val="3"/>
          <c:order val="3"/>
          <c:tx>
            <c:strRef>
              <c:f>'INDICADORES BASICOS'!$B$354</c:f>
              <c:strCache>
                <c:ptCount val="1"/>
                <c:pt idx="0">
                  <c:v>TOTAL PASIVO</c:v>
                </c:pt>
              </c:strCache>
            </c:strRef>
          </c:tx>
          <c:spPr>
            <a:solidFill>
              <a:schemeClr val="accent4"/>
            </a:solidFill>
            <a:ln>
              <a:noFill/>
            </a:ln>
            <a:effectLst/>
            <a:sp3d/>
          </c:spPr>
          <c:invertIfNegative val="0"/>
          <c:cat>
            <c:numRef>
              <c:f>'INDICADORES BASICOS'!$C$356</c:f>
              <c:numCache>
                <c:formatCode>m/d/yyyy</c:formatCode>
                <c:ptCount val="1"/>
                <c:pt idx="0">
                  <c:v>42369</c:v>
                </c:pt>
              </c:numCache>
            </c:numRef>
          </c:cat>
          <c:val>
            <c:numRef>
              <c:f>'INDICADORES BASICOS'!$C$354</c:f>
              <c:numCache>
                <c:formatCode>"$"\ #,##0</c:formatCode>
                <c:ptCount val="1"/>
                <c:pt idx="0">
                  <c:v>125039000</c:v>
                </c:pt>
              </c:numCache>
            </c:numRef>
          </c:val>
          <c:extLst>
            <c:ext xmlns:c16="http://schemas.microsoft.com/office/drawing/2014/chart" uri="{C3380CC4-5D6E-409C-BE32-E72D297353CC}">
              <c16:uniqueId val="{00000003-CE13-0C40-83FE-DEB059B04291}"/>
            </c:ext>
          </c:extLst>
        </c:ser>
        <c:ser>
          <c:idx val="4"/>
          <c:order val="4"/>
          <c:tx>
            <c:strRef>
              <c:f>'INDICADORES BASICOS'!$B$361</c:f>
              <c:strCache>
                <c:ptCount val="1"/>
                <c:pt idx="0">
                  <c:v>TOTAL PATRIMONIO</c:v>
                </c:pt>
              </c:strCache>
            </c:strRef>
          </c:tx>
          <c:spPr>
            <a:solidFill>
              <a:schemeClr val="accent5"/>
            </a:solidFill>
            <a:ln>
              <a:noFill/>
            </a:ln>
            <a:effectLst/>
            <a:sp3d/>
          </c:spPr>
          <c:invertIfNegative val="0"/>
          <c:cat>
            <c:numRef>
              <c:f>'INDICADORES BASICOS'!$C$356</c:f>
              <c:numCache>
                <c:formatCode>m/d/yyyy</c:formatCode>
                <c:ptCount val="1"/>
                <c:pt idx="0">
                  <c:v>42369</c:v>
                </c:pt>
              </c:numCache>
            </c:numRef>
          </c:cat>
          <c:val>
            <c:numRef>
              <c:f>'INDICADORES BASICOS'!$C$361</c:f>
              <c:numCache>
                <c:formatCode>"$"\ #,##0</c:formatCode>
                <c:ptCount val="1"/>
                <c:pt idx="0">
                  <c:v>673212000</c:v>
                </c:pt>
              </c:numCache>
            </c:numRef>
          </c:val>
          <c:extLst>
            <c:ext xmlns:c16="http://schemas.microsoft.com/office/drawing/2014/chart" uri="{C3380CC4-5D6E-409C-BE32-E72D297353CC}">
              <c16:uniqueId val="{00000004-CE13-0C40-83FE-DEB059B04291}"/>
            </c:ext>
          </c:extLst>
        </c:ser>
        <c:dLbls>
          <c:showLegendKey val="0"/>
          <c:showVal val="0"/>
          <c:showCatName val="0"/>
          <c:showSerName val="0"/>
          <c:showPercent val="0"/>
          <c:showBubbleSize val="0"/>
        </c:dLbls>
        <c:gapWidth val="150"/>
        <c:shape val="box"/>
        <c:axId val="262807408"/>
        <c:axId val="262807968"/>
        <c:axId val="0"/>
      </c:bar3DChart>
      <c:dateAx>
        <c:axId val="262807408"/>
        <c:scaling>
          <c:orientation val="minMax"/>
        </c:scaling>
        <c:delete val="0"/>
        <c:axPos val="b"/>
        <c:numFmt formatCode="m/d/yyyy"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62807968"/>
        <c:crosses val="autoZero"/>
        <c:auto val="1"/>
        <c:lblOffset val="100"/>
        <c:baseTimeUnit val="days"/>
      </c:dateAx>
      <c:valAx>
        <c:axId val="262807968"/>
        <c:scaling>
          <c:orientation val="minMax"/>
        </c:scaling>
        <c:delete val="0"/>
        <c:axPos val="l"/>
        <c:majorGridlines>
          <c:spPr>
            <a:ln w="9525" cap="flat" cmpd="sng" algn="ctr">
              <a:solidFill>
                <a:schemeClr val="tx1">
                  <a:lumMod val="15000"/>
                  <a:lumOff val="85000"/>
                </a:schemeClr>
              </a:solidFill>
              <a:round/>
            </a:ln>
            <a:effectLst/>
          </c:spPr>
        </c:majorGridlines>
        <c:numFmt formatCode="&quot;$&quot;\ #,##0"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62807408"/>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4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s-CO"/>
              <a:t>GRÁFICO COMPARATIVO DEL EST. DE RESULTADOS 2014</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view3D>
      <c:rotX val="15"/>
      <c:rotY val="20"/>
      <c:depthPercent val="100"/>
      <c:rAngAx val="1"/>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bar3DChart>
        <c:barDir val="col"/>
        <c:grouping val="clustered"/>
        <c:varyColors val="0"/>
        <c:ser>
          <c:idx val="0"/>
          <c:order val="0"/>
          <c:tx>
            <c:strRef>
              <c:f>'INDICADORES BASICOS'!$B$402</c:f>
              <c:strCache>
                <c:ptCount val="1"/>
                <c:pt idx="0">
                  <c:v>INGRESOS OPERACIONALES</c:v>
                </c:pt>
              </c:strCache>
            </c:strRef>
          </c:tx>
          <c:spPr>
            <a:solidFill>
              <a:schemeClr val="accent1"/>
            </a:solidFill>
            <a:ln>
              <a:noFill/>
            </a:ln>
            <a:effectLst/>
            <a:sp3d/>
          </c:spPr>
          <c:invertIfNegative val="0"/>
          <c:cat>
            <c:numRef>
              <c:f>'INDICADORES BASICOS'!$C$417</c:f>
              <c:numCache>
                <c:formatCode>m/d/yyyy</c:formatCode>
                <c:ptCount val="1"/>
                <c:pt idx="0">
                  <c:v>42004</c:v>
                </c:pt>
              </c:numCache>
            </c:numRef>
          </c:cat>
          <c:val>
            <c:numRef>
              <c:f>'INDICADORES BASICOS'!$C$402</c:f>
              <c:numCache>
                <c:formatCode>"$"\ #,##0</c:formatCode>
                <c:ptCount val="1"/>
                <c:pt idx="0">
                  <c:v>61980000</c:v>
                </c:pt>
              </c:numCache>
            </c:numRef>
          </c:val>
          <c:extLst>
            <c:ext xmlns:c16="http://schemas.microsoft.com/office/drawing/2014/chart" uri="{C3380CC4-5D6E-409C-BE32-E72D297353CC}">
              <c16:uniqueId val="{00000000-A0B9-5E4E-901E-6CF38CE718BE}"/>
            </c:ext>
          </c:extLst>
        </c:ser>
        <c:ser>
          <c:idx val="1"/>
          <c:order val="1"/>
          <c:tx>
            <c:strRef>
              <c:f>'INDICADORES BASICOS'!$B$403</c:f>
              <c:strCache>
                <c:ptCount val="1"/>
                <c:pt idx="0">
                  <c:v>COSTOS DE VENTAS</c:v>
                </c:pt>
              </c:strCache>
            </c:strRef>
          </c:tx>
          <c:spPr>
            <a:solidFill>
              <a:schemeClr val="accent2"/>
            </a:solidFill>
            <a:ln>
              <a:noFill/>
            </a:ln>
            <a:effectLst/>
            <a:sp3d/>
          </c:spPr>
          <c:invertIfNegative val="0"/>
          <c:cat>
            <c:numRef>
              <c:f>'INDICADORES BASICOS'!$C$417</c:f>
              <c:numCache>
                <c:formatCode>m/d/yyyy</c:formatCode>
                <c:ptCount val="1"/>
                <c:pt idx="0">
                  <c:v>42004</c:v>
                </c:pt>
              </c:numCache>
            </c:numRef>
          </c:cat>
          <c:val>
            <c:numRef>
              <c:f>'INDICADORES BASICOS'!$C$403</c:f>
              <c:numCache>
                <c:formatCode>"$"\ #,##0</c:formatCode>
                <c:ptCount val="1"/>
                <c:pt idx="0">
                  <c:v>51870000</c:v>
                </c:pt>
              </c:numCache>
            </c:numRef>
          </c:val>
          <c:extLst>
            <c:ext xmlns:c16="http://schemas.microsoft.com/office/drawing/2014/chart" uri="{C3380CC4-5D6E-409C-BE32-E72D297353CC}">
              <c16:uniqueId val="{00000001-A0B9-5E4E-901E-6CF38CE718BE}"/>
            </c:ext>
          </c:extLst>
        </c:ser>
        <c:ser>
          <c:idx val="2"/>
          <c:order val="2"/>
          <c:tx>
            <c:strRef>
              <c:f>'INDICADORES BASICOS'!$B$404</c:f>
              <c:strCache>
                <c:ptCount val="1"/>
                <c:pt idx="0">
                  <c:v>UTILIDAD BRUTA</c:v>
                </c:pt>
              </c:strCache>
            </c:strRef>
          </c:tx>
          <c:spPr>
            <a:solidFill>
              <a:schemeClr val="accent3"/>
            </a:solidFill>
            <a:ln>
              <a:noFill/>
            </a:ln>
            <a:effectLst/>
            <a:sp3d/>
          </c:spPr>
          <c:invertIfNegative val="0"/>
          <c:cat>
            <c:numRef>
              <c:f>'INDICADORES BASICOS'!$C$417</c:f>
              <c:numCache>
                <c:formatCode>m/d/yyyy</c:formatCode>
                <c:ptCount val="1"/>
                <c:pt idx="0">
                  <c:v>42004</c:v>
                </c:pt>
              </c:numCache>
            </c:numRef>
          </c:cat>
          <c:val>
            <c:numRef>
              <c:f>'INDICADORES BASICOS'!$C$404</c:f>
              <c:numCache>
                <c:formatCode>"$"\ #,##0</c:formatCode>
                <c:ptCount val="1"/>
                <c:pt idx="0">
                  <c:v>10110000</c:v>
                </c:pt>
              </c:numCache>
            </c:numRef>
          </c:val>
          <c:extLst>
            <c:ext xmlns:c16="http://schemas.microsoft.com/office/drawing/2014/chart" uri="{C3380CC4-5D6E-409C-BE32-E72D297353CC}">
              <c16:uniqueId val="{00000002-A0B9-5E4E-901E-6CF38CE718BE}"/>
            </c:ext>
          </c:extLst>
        </c:ser>
        <c:ser>
          <c:idx val="3"/>
          <c:order val="3"/>
          <c:tx>
            <c:strRef>
              <c:f>'INDICADORES BASICOS'!$B$407</c:f>
              <c:strCache>
                <c:ptCount val="1"/>
                <c:pt idx="0">
                  <c:v>UTILIDAD OPERACIONAL</c:v>
                </c:pt>
              </c:strCache>
            </c:strRef>
          </c:tx>
          <c:spPr>
            <a:solidFill>
              <a:schemeClr val="accent4"/>
            </a:solidFill>
            <a:ln>
              <a:noFill/>
            </a:ln>
            <a:effectLst/>
            <a:sp3d/>
          </c:spPr>
          <c:invertIfNegative val="0"/>
          <c:cat>
            <c:numRef>
              <c:f>'INDICADORES BASICOS'!$C$417</c:f>
              <c:numCache>
                <c:formatCode>m/d/yyyy</c:formatCode>
                <c:ptCount val="1"/>
                <c:pt idx="0">
                  <c:v>42004</c:v>
                </c:pt>
              </c:numCache>
            </c:numRef>
          </c:cat>
          <c:val>
            <c:numRef>
              <c:f>'INDICADORES BASICOS'!$C$407</c:f>
              <c:numCache>
                <c:formatCode>"$"\ #,##0</c:formatCode>
                <c:ptCount val="1"/>
                <c:pt idx="0">
                  <c:v>8174000</c:v>
                </c:pt>
              </c:numCache>
            </c:numRef>
          </c:val>
          <c:extLst>
            <c:ext xmlns:c16="http://schemas.microsoft.com/office/drawing/2014/chart" uri="{C3380CC4-5D6E-409C-BE32-E72D297353CC}">
              <c16:uniqueId val="{00000003-A0B9-5E4E-901E-6CF38CE718BE}"/>
            </c:ext>
          </c:extLst>
        </c:ser>
        <c:ser>
          <c:idx val="4"/>
          <c:order val="4"/>
          <c:tx>
            <c:strRef>
              <c:f>'INDICADORES BASICOS'!$B$410</c:f>
              <c:strCache>
                <c:ptCount val="1"/>
                <c:pt idx="0">
                  <c:v>UTILIDAD ANTES DE IMPUESTO</c:v>
                </c:pt>
              </c:strCache>
            </c:strRef>
          </c:tx>
          <c:spPr>
            <a:solidFill>
              <a:schemeClr val="accent5"/>
            </a:solidFill>
            <a:ln>
              <a:noFill/>
            </a:ln>
            <a:effectLst/>
            <a:sp3d/>
          </c:spPr>
          <c:invertIfNegative val="0"/>
          <c:cat>
            <c:numRef>
              <c:f>'INDICADORES BASICOS'!$C$417</c:f>
              <c:numCache>
                <c:formatCode>m/d/yyyy</c:formatCode>
                <c:ptCount val="1"/>
                <c:pt idx="0">
                  <c:v>42004</c:v>
                </c:pt>
              </c:numCache>
            </c:numRef>
          </c:cat>
          <c:val>
            <c:numRef>
              <c:f>'INDICADORES BASICOS'!$C$410</c:f>
              <c:numCache>
                <c:formatCode>"$"\ #,##0</c:formatCode>
                <c:ptCount val="1"/>
                <c:pt idx="0">
                  <c:v>8174000</c:v>
                </c:pt>
              </c:numCache>
            </c:numRef>
          </c:val>
          <c:extLst>
            <c:ext xmlns:c16="http://schemas.microsoft.com/office/drawing/2014/chart" uri="{C3380CC4-5D6E-409C-BE32-E72D297353CC}">
              <c16:uniqueId val="{00000004-A0B9-5E4E-901E-6CF38CE718BE}"/>
            </c:ext>
          </c:extLst>
        </c:ser>
        <c:ser>
          <c:idx val="5"/>
          <c:order val="5"/>
          <c:tx>
            <c:strRef>
              <c:f>'INDICADORES BASICOS'!$B$412</c:f>
              <c:strCache>
                <c:ptCount val="1"/>
                <c:pt idx="0">
                  <c:v>IMPUESTO DE RENTA</c:v>
                </c:pt>
              </c:strCache>
            </c:strRef>
          </c:tx>
          <c:spPr>
            <a:solidFill>
              <a:schemeClr val="accent6"/>
            </a:solidFill>
            <a:ln>
              <a:noFill/>
            </a:ln>
            <a:effectLst/>
            <a:sp3d/>
          </c:spPr>
          <c:invertIfNegative val="0"/>
          <c:cat>
            <c:numRef>
              <c:f>'INDICADORES BASICOS'!$C$417</c:f>
              <c:numCache>
                <c:formatCode>m/d/yyyy</c:formatCode>
                <c:ptCount val="1"/>
                <c:pt idx="0">
                  <c:v>42004</c:v>
                </c:pt>
              </c:numCache>
            </c:numRef>
          </c:cat>
          <c:val>
            <c:numRef>
              <c:f>'INDICADORES BASICOS'!$C$412</c:f>
              <c:numCache>
                <c:formatCode>"$"\ #,##0</c:formatCode>
                <c:ptCount val="1"/>
                <c:pt idx="0">
                  <c:v>0</c:v>
                </c:pt>
              </c:numCache>
            </c:numRef>
          </c:val>
          <c:extLst>
            <c:ext xmlns:c16="http://schemas.microsoft.com/office/drawing/2014/chart" uri="{C3380CC4-5D6E-409C-BE32-E72D297353CC}">
              <c16:uniqueId val="{00000005-A0B9-5E4E-901E-6CF38CE718BE}"/>
            </c:ext>
          </c:extLst>
        </c:ser>
        <c:ser>
          <c:idx val="6"/>
          <c:order val="6"/>
          <c:tx>
            <c:strRef>
              <c:f>'INDICADORES BASICOS'!$B$413</c:f>
              <c:strCache>
                <c:ptCount val="1"/>
                <c:pt idx="0">
                  <c:v>UTILIDAD NETA</c:v>
                </c:pt>
              </c:strCache>
            </c:strRef>
          </c:tx>
          <c:spPr>
            <a:solidFill>
              <a:schemeClr val="accent1">
                <a:lumMod val="60000"/>
              </a:schemeClr>
            </a:solidFill>
            <a:ln>
              <a:noFill/>
            </a:ln>
            <a:effectLst/>
            <a:sp3d/>
          </c:spPr>
          <c:invertIfNegative val="0"/>
          <c:cat>
            <c:numRef>
              <c:f>'INDICADORES BASICOS'!$C$417</c:f>
              <c:numCache>
                <c:formatCode>m/d/yyyy</c:formatCode>
                <c:ptCount val="1"/>
                <c:pt idx="0">
                  <c:v>42004</c:v>
                </c:pt>
              </c:numCache>
            </c:numRef>
          </c:cat>
          <c:val>
            <c:numRef>
              <c:f>'INDICADORES BASICOS'!$C$413</c:f>
              <c:numCache>
                <c:formatCode>"$"\ #,##0</c:formatCode>
                <c:ptCount val="1"/>
                <c:pt idx="0">
                  <c:v>8174000</c:v>
                </c:pt>
              </c:numCache>
            </c:numRef>
          </c:val>
          <c:extLst>
            <c:ext xmlns:c16="http://schemas.microsoft.com/office/drawing/2014/chart" uri="{C3380CC4-5D6E-409C-BE32-E72D297353CC}">
              <c16:uniqueId val="{00000006-A0B9-5E4E-901E-6CF38CE718BE}"/>
            </c:ext>
          </c:extLst>
        </c:ser>
        <c:dLbls>
          <c:showLegendKey val="0"/>
          <c:showVal val="0"/>
          <c:showCatName val="0"/>
          <c:showSerName val="0"/>
          <c:showPercent val="0"/>
          <c:showBubbleSize val="0"/>
        </c:dLbls>
        <c:gapWidth val="150"/>
        <c:shape val="box"/>
        <c:axId val="262814128"/>
        <c:axId val="262814688"/>
        <c:axId val="0"/>
      </c:bar3DChart>
      <c:dateAx>
        <c:axId val="262814128"/>
        <c:scaling>
          <c:orientation val="minMax"/>
        </c:scaling>
        <c:delete val="0"/>
        <c:axPos val="b"/>
        <c:numFmt formatCode="m/d/yyyy"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62814688"/>
        <c:crosses val="autoZero"/>
        <c:auto val="1"/>
        <c:lblOffset val="100"/>
        <c:baseTimeUnit val="days"/>
      </c:dateAx>
      <c:valAx>
        <c:axId val="262814688"/>
        <c:scaling>
          <c:orientation val="minMax"/>
        </c:scaling>
        <c:delete val="0"/>
        <c:axPos val="l"/>
        <c:majorGridlines>
          <c:spPr>
            <a:ln w="9525" cap="flat" cmpd="sng" algn="ctr">
              <a:solidFill>
                <a:schemeClr val="tx1">
                  <a:lumMod val="15000"/>
                  <a:lumOff val="85000"/>
                </a:schemeClr>
              </a:solidFill>
              <a:round/>
            </a:ln>
            <a:effectLst/>
          </c:spPr>
        </c:majorGridlines>
        <c:numFmt formatCode="&quot;$&quot;\ #,##0"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62814128"/>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4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s-CO"/>
              <a:t>GRÁFICO COMPARATIVO BALANCE GENERAL 2014</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view3D>
      <c:rotX val="15"/>
      <c:rotY val="20"/>
      <c:depthPercent val="100"/>
      <c:rAngAx val="1"/>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bar3DChart>
        <c:barDir val="col"/>
        <c:grouping val="clustered"/>
        <c:varyColors val="0"/>
        <c:ser>
          <c:idx val="0"/>
          <c:order val="0"/>
          <c:tx>
            <c:strRef>
              <c:f>'INDICADORES BASICOS'!$B$421</c:f>
              <c:strCache>
                <c:ptCount val="1"/>
                <c:pt idx="0">
                  <c:v>TOTAL ACTIVOS CORRIENTES</c:v>
                </c:pt>
              </c:strCache>
            </c:strRef>
          </c:tx>
          <c:spPr>
            <a:solidFill>
              <a:schemeClr val="accent1"/>
            </a:solidFill>
            <a:ln>
              <a:noFill/>
            </a:ln>
            <a:effectLst/>
            <a:sp3d/>
          </c:spPr>
          <c:invertIfNegative val="0"/>
          <c:cat>
            <c:numRef>
              <c:f>'INDICADORES BASICOS'!$C$438</c:f>
              <c:numCache>
                <c:formatCode>m/d/yyyy</c:formatCode>
                <c:ptCount val="1"/>
                <c:pt idx="0">
                  <c:v>42004</c:v>
                </c:pt>
              </c:numCache>
            </c:numRef>
          </c:cat>
          <c:val>
            <c:numRef>
              <c:f>'INDICADORES BASICOS'!$C$421</c:f>
              <c:numCache>
                <c:formatCode>"$"\ #,##0</c:formatCode>
                <c:ptCount val="1"/>
                <c:pt idx="0">
                  <c:v>57903000</c:v>
                </c:pt>
              </c:numCache>
            </c:numRef>
          </c:val>
          <c:extLst>
            <c:ext xmlns:c16="http://schemas.microsoft.com/office/drawing/2014/chart" uri="{C3380CC4-5D6E-409C-BE32-E72D297353CC}">
              <c16:uniqueId val="{00000000-227E-5E4C-8AFF-3C7DD51E800B}"/>
            </c:ext>
          </c:extLst>
        </c:ser>
        <c:ser>
          <c:idx val="1"/>
          <c:order val="1"/>
          <c:tx>
            <c:strRef>
              <c:f>'INDICADORES BASICOS'!$B$427</c:f>
              <c:strCache>
                <c:ptCount val="1"/>
                <c:pt idx="0">
                  <c:v>TOTAL ACTIVO</c:v>
                </c:pt>
              </c:strCache>
            </c:strRef>
          </c:tx>
          <c:spPr>
            <a:solidFill>
              <a:schemeClr val="accent2"/>
            </a:solidFill>
            <a:ln>
              <a:noFill/>
            </a:ln>
            <a:effectLst/>
            <a:sp3d/>
          </c:spPr>
          <c:invertIfNegative val="0"/>
          <c:cat>
            <c:numRef>
              <c:f>'INDICADORES BASICOS'!$C$438</c:f>
              <c:numCache>
                <c:formatCode>m/d/yyyy</c:formatCode>
                <c:ptCount val="1"/>
                <c:pt idx="0">
                  <c:v>42004</c:v>
                </c:pt>
              </c:numCache>
            </c:numRef>
          </c:cat>
          <c:val>
            <c:numRef>
              <c:f>'INDICADORES BASICOS'!$C$427</c:f>
              <c:numCache>
                <c:formatCode>"$"\ #,##0</c:formatCode>
                <c:ptCount val="1"/>
                <c:pt idx="0">
                  <c:v>657903000</c:v>
                </c:pt>
              </c:numCache>
            </c:numRef>
          </c:val>
          <c:extLst>
            <c:ext xmlns:c16="http://schemas.microsoft.com/office/drawing/2014/chart" uri="{C3380CC4-5D6E-409C-BE32-E72D297353CC}">
              <c16:uniqueId val="{00000001-227E-5E4C-8AFF-3C7DD51E800B}"/>
            </c:ext>
          </c:extLst>
        </c:ser>
        <c:ser>
          <c:idx val="2"/>
          <c:order val="2"/>
          <c:tx>
            <c:strRef>
              <c:f>'INDICADORES BASICOS'!$B$435</c:f>
              <c:strCache>
                <c:ptCount val="1"/>
                <c:pt idx="0">
                  <c:v>TOTAL PASIVO CORRIENTE</c:v>
                </c:pt>
              </c:strCache>
            </c:strRef>
          </c:tx>
          <c:spPr>
            <a:solidFill>
              <a:schemeClr val="accent3"/>
            </a:solidFill>
            <a:ln>
              <a:noFill/>
            </a:ln>
            <a:effectLst/>
            <a:sp3d/>
          </c:spPr>
          <c:invertIfNegative val="0"/>
          <c:cat>
            <c:numRef>
              <c:f>'INDICADORES BASICOS'!$C$438</c:f>
              <c:numCache>
                <c:formatCode>m/d/yyyy</c:formatCode>
                <c:ptCount val="1"/>
                <c:pt idx="0">
                  <c:v>42004</c:v>
                </c:pt>
              </c:numCache>
            </c:numRef>
          </c:cat>
          <c:val>
            <c:numRef>
              <c:f>'INDICADORES BASICOS'!$C$435</c:f>
              <c:numCache>
                <c:formatCode>"$"\ #,##0</c:formatCode>
                <c:ptCount val="1"/>
                <c:pt idx="0">
                  <c:v>29729000</c:v>
                </c:pt>
              </c:numCache>
            </c:numRef>
          </c:val>
          <c:extLst>
            <c:ext xmlns:c16="http://schemas.microsoft.com/office/drawing/2014/chart" uri="{C3380CC4-5D6E-409C-BE32-E72D297353CC}">
              <c16:uniqueId val="{00000002-227E-5E4C-8AFF-3C7DD51E800B}"/>
            </c:ext>
          </c:extLst>
        </c:ser>
        <c:ser>
          <c:idx val="3"/>
          <c:order val="3"/>
          <c:tx>
            <c:strRef>
              <c:f>'INDICADORES BASICOS'!$B$436</c:f>
              <c:strCache>
                <c:ptCount val="1"/>
                <c:pt idx="0">
                  <c:v>TOTAL PASIVO</c:v>
                </c:pt>
              </c:strCache>
            </c:strRef>
          </c:tx>
          <c:spPr>
            <a:solidFill>
              <a:schemeClr val="accent4"/>
            </a:solidFill>
            <a:ln>
              <a:noFill/>
            </a:ln>
            <a:effectLst/>
            <a:sp3d/>
          </c:spPr>
          <c:invertIfNegative val="0"/>
          <c:cat>
            <c:numRef>
              <c:f>'INDICADORES BASICOS'!$C$438</c:f>
              <c:numCache>
                <c:formatCode>m/d/yyyy</c:formatCode>
                <c:ptCount val="1"/>
                <c:pt idx="0">
                  <c:v>42004</c:v>
                </c:pt>
              </c:numCache>
            </c:numRef>
          </c:cat>
          <c:val>
            <c:numRef>
              <c:f>'INDICADORES BASICOS'!$C$436</c:f>
              <c:numCache>
                <c:formatCode>"$"\ #,##0</c:formatCode>
                <c:ptCount val="1"/>
                <c:pt idx="0">
                  <c:v>29729000</c:v>
                </c:pt>
              </c:numCache>
            </c:numRef>
          </c:val>
          <c:extLst>
            <c:ext xmlns:c16="http://schemas.microsoft.com/office/drawing/2014/chart" uri="{C3380CC4-5D6E-409C-BE32-E72D297353CC}">
              <c16:uniqueId val="{00000003-227E-5E4C-8AFF-3C7DD51E800B}"/>
            </c:ext>
          </c:extLst>
        </c:ser>
        <c:ser>
          <c:idx val="4"/>
          <c:order val="4"/>
          <c:tx>
            <c:strRef>
              <c:f>'INDICADORES BASICOS'!$B$443</c:f>
              <c:strCache>
                <c:ptCount val="1"/>
                <c:pt idx="0">
                  <c:v>TOTAL PATRIMONIO</c:v>
                </c:pt>
              </c:strCache>
            </c:strRef>
          </c:tx>
          <c:spPr>
            <a:solidFill>
              <a:schemeClr val="accent5"/>
            </a:solidFill>
            <a:ln>
              <a:noFill/>
            </a:ln>
            <a:effectLst/>
            <a:sp3d/>
          </c:spPr>
          <c:invertIfNegative val="0"/>
          <c:cat>
            <c:numRef>
              <c:f>'INDICADORES BASICOS'!$C$438</c:f>
              <c:numCache>
                <c:formatCode>m/d/yyyy</c:formatCode>
                <c:ptCount val="1"/>
                <c:pt idx="0">
                  <c:v>42004</c:v>
                </c:pt>
              </c:numCache>
            </c:numRef>
          </c:cat>
          <c:val>
            <c:numRef>
              <c:f>'INDICADORES BASICOS'!$C$443</c:f>
              <c:numCache>
                <c:formatCode>"$"\ #,##0</c:formatCode>
                <c:ptCount val="1"/>
                <c:pt idx="0">
                  <c:v>625394000</c:v>
                </c:pt>
              </c:numCache>
            </c:numRef>
          </c:val>
          <c:extLst>
            <c:ext xmlns:c16="http://schemas.microsoft.com/office/drawing/2014/chart" uri="{C3380CC4-5D6E-409C-BE32-E72D297353CC}">
              <c16:uniqueId val="{00000004-227E-5E4C-8AFF-3C7DD51E800B}"/>
            </c:ext>
          </c:extLst>
        </c:ser>
        <c:dLbls>
          <c:showLegendKey val="0"/>
          <c:showVal val="0"/>
          <c:showCatName val="0"/>
          <c:showSerName val="0"/>
          <c:showPercent val="0"/>
          <c:showBubbleSize val="0"/>
        </c:dLbls>
        <c:gapWidth val="150"/>
        <c:shape val="box"/>
        <c:axId val="262541312"/>
        <c:axId val="262541872"/>
        <c:axId val="0"/>
      </c:bar3DChart>
      <c:dateAx>
        <c:axId val="262541312"/>
        <c:scaling>
          <c:orientation val="minMax"/>
        </c:scaling>
        <c:delete val="0"/>
        <c:axPos val="b"/>
        <c:numFmt formatCode="m/d/yyyy"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62541872"/>
        <c:crosses val="autoZero"/>
        <c:auto val="1"/>
        <c:lblOffset val="100"/>
        <c:baseTimeUnit val="days"/>
      </c:dateAx>
      <c:valAx>
        <c:axId val="262541872"/>
        <c:scaling>
          <c:orientation val="minMax"/>
        </c:scaling>
        <c:delete val="0"/>
        <c:axPos val="l"/>
        <c:majorGridlines>
          <c:spPr>
            <a:ln w="9525" cap="flat" cmpd="sng" algn="ctr">
              <a:solidFill>
                <a:schemeClr val="tx1">
                  <a:lumMod val="15000"/>
                  <a:lumOff val="85000"/>
                </a:schemeClr>
              </a:solidFill>
              <a:round/>
            </a:ln>
            <a:effectLst/>
          </c:spPr>
        </c:majorGridlines>
        <c:numFmt formatCode="&quot;$&quot;\ #,##0"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62541312"/>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4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1" i="0" u="none" strike="noStrike" kern="1200" cap="all" spc="120" normalizeH="0" baseline="0">
                <a:solidFill>
                  <a:schemeClr val="tx1">
                    <a:lumMod val="65000"/>
                    <a:lumOff val="35000"/>
                  </a:schemeClr>
                </a:solidFill>
                <a:latin typeface="+mn-lt"/>
                <a:ea typeface="+mn-ea"/>
                <a:cs typeface="+mn-cs"/>
              </a:defRPr>
            </a:pPr>
            <a:r>
              <a:rPr lang="es-CO" sz="1200"/>
              <a:t>VARIACIÓN ESTADO</a:t>
            </a:r>
            <a:r>
              <a:rPr lang="es-CO" sz="1200" baseline="0"/>
              <a:t> DE RESULTADOS 2017-2016</a:t>
            </a:r>
            <a:endParaRPr lang="es-CO" sz="1200"/>
          </a:p>
        </c:rich>
      </c:tx>
      <c:overlay val="0"/>
      <c:spPr>
        <a:noFill/>
        <a:ln>
          <a:noFill/>
        </a:ln>
        <a:effectLst/>
      </c:spPr>
    </c:title>
    <c:autoTitleDeleted val="0"/>
    <c:plotArea>
      <c:layout/>
      <c:lineChart>
        <c:grouping val="standard"/>
        <c:varyColors val="0"/>
        <c:ser>
          <c:idx val="0"/>
          <c:order val="0"/>
          <c:tx>
            <c:strRef>
              <c:f>'INDICADORES BASICOS'!$B$26</c:f>
              <c:strCache>
                <c:ptCount val="1"/>
                <c:pt idx="0">
                  <c:v>INGRESOS OPERACIONALES</c:v>
                </c:pt>
              </c:strCache>
            </c:strRef>
          </c:tx>
          <c:spPr>
            <a:ln w="22225" cap="rnd">
              <a:solidFill>
                <a:schemeClr val="accent1"/>
              </a:solidFill>
              <a:round/>
            </a:ln>
            <a:effectLst/>
          </c:spPr>
          <c:marker>
            <c:symbol val="diamond"/>
            <c:size val="6"/>
            <c:spPr>
              <a:solidFill>
                <a:schemeClr val="accent1"/>
              </a:solidFill>
              <a:ln w="9525">
                <a:solidFill>
                  <a:schemeClr val="accent1"/>
                </a:solidFill>
                <a:round/>
              </a:ln>
              <a:effectLst/>
            </c:spPr>
          </c:marker>
          <c:cat>
            <c:numRef>
              <c:f>'INDICADORES BASICOS'!$I$8:$J$8</c:f>
              <c:numCache>
                <c:formatCode>General</c:formatCode>
                <c:ptCount val="2"/>
              </c:numCache>
            </c:numRef>
          </c:cat>
          <c:val>
            <c:numRef>
              <c:f>('INDICADORES BASICOS'!$C$8,'INDICADORES BASICOS'!$F$8)</c:f>
              <c:numCache>
                <c:formatCode>"$"\ #,##0</c:formatCode>
                <c:ptCount val="2"/>
                <c:pt idx="0" formatCode="&quot;$&quot;#,##0_);\(&quot;$&quot;#,##0\)">
                  <c:v>1148878000</c:v>
                </c:pt>
                <c:pt idx="1">
                  <c:v>663086000</c:v>
                </c:pt>
              </c:numCache>
            </c:numRef>
          </c:val>
          <c:smooth val="0"/>
          <c:extLst>
            <c:ext xmlns:c16="http://schemas.microsoft.com/office/drawing/2014/chart" uri="{C3380CC4-5D6E-409C-BE32-E72D297353CC}">
              <c16:uniqueId val="{00000000-A843-8D42-A2A7-C3F6228BCD45}"/>
            </c:ext>
          </c:extLst>
        </c:ser>
        <c:ser>
          <c:idx val="1"/>
          <c:order val="1"/>
          <c:tx>
            <c:strRef>
              <c:f>'INDICADORES BASICOS'!$B$31</c:f>
              <c:strCache>
                <c:ptCount val="1"/>
                <c:pt idx="0">
                  <c:v>UTILIDAD OPERACIONAL</c:v>
                </c:pt>
              </c:strCache>
            </c:strRef>
          </c:tx>
          <c:spPr>
            <a:ln w="22225" cap="rnd">
              <a:solidFill>
                <a:schemeClr val="accent2"/>
              </a:solidFill>
              <a:round/>
            </a:ln>
            <a:effectLst/>
          </c:spPr>
          <c:marker>
            <c:symbol val="square"/>
            <c:size val="6"/>
            <c:spPr>
              <a:solidFill>
                <a:schemeClr val="accent2"/>
              </a:solidFill>
              <a:ln w="9525">
                <a:solidFill>
                  <a:schemeClr val="accent2"/>
                </a:solidFill>
                <a:round/>
              </a:ln>
              <a:effectLst/>
            </c:spPr>
          </c:marker>
          <c:cat>
            <c:numRef>
              <c:f>'INDICADORES BASICOS'!$I$8:$J$8</c:f>
              <c:numCache>
                <c:formatCode>General</c:formatCode>
                <c:ptCount val="2"/>
              </c:numCache>
            </c:numRef>
          </c:cat>
          <c:val>
            <c:numRef>
              <c:f>('INDICADORES BASICOS'!$C$13,'INDICADORES BASICOS'!$F$13)</c:f>
              <c:numCache>
                <c:formatCode>"$"\ #,##0</c:formatCode>
                <c:ptCount val="2"/>
                <c:pt idx="0" formatCode="&quot;$&quot;#,##0_);\(&quot;$&quot;#,##0\)">
                  <c:v>60171000</c:v>
                </c:pt>
                <c:pt idx="1">
                  <c:v>38383000</c:v>
                </c:pt>
              </c:numCache>
            </c:numRef>
          </c:val>
          <c:smooth val="0"/>
          <c:extLst>
            <c:ext xmlns:c16="http://schemas.microsoft.com/office/drawing/2014/chart" uri="{C3380CC4-5D6E-409C-BE32-E72D297353CC}">
              <c16:uniqueId val="{00000001-A843-8D42-A2A7-C3F6228BCD45}"/>
            </c:ext>
          </c:extLst>
        </c:ser>
        <c:ser>
          <c:idx val="2"/>
          <c:order val="2"/>
          <c:tx>
            <c:strRef>
              <c:f>'INDICADORES BASICOS'!$B$37</c:f>
              <c:strCache>
                <c:ptCount val="1"/>
                <c:pt idx="0">
                  <c:v>UTILIDAD NETA</c:v>
                </c:pt>
              </c:strCache>
            </c:strRef>
          </c:tx>
          <c:spPr>
            <a:ln w="22225" cap="rnd">
              <a:solidFill>
                <a:schemeClr val="accent3"/>
              </a:solidFill>
              <a:round/>
            </a:ln>
            <a:effectLst/>
          </c:spPr>
          <c:marker>
            <c:symbol val="triangle"/>
            <c:size val="6"/>
            <c:spPr>
              <a:solidFill>
                <a:schemeClr val="accent3"/>
              </a:solidFill>
              <a:ln w="9525">
                <a:solidFill>
                  <a:schemeClr val="accent3"/>
                </a:solidFill>
                <a:round/>
              </a:ln>
              <a:effectLst/>
            </c:spPr>
          </c:marker>
          <c:cat>
            <c:numRef>
              <c:f>'INDICADORES BASICOS'!$I$8:$J$8</c:f>
              <c:numCache>
                <c:formatCode>General</c:formatCode>
                <c:ptCount val="2"/>
              </c:numCache>
            </c:numRef>
          </c:cat>
          <c:val>
            <c:numRef>
              <c:f>('INDICADORES BASICOS'!$C$19,'INDICADORES BASICOS'!$F$19)</c:f>
              <c:numCache>
                <c:formatCode>"$"\ #,##0</c:formatCode>
                <c:ptCount val="2"/>
                <c:pt idx="0" formatCode="&quot;$&quot;#,##0_);\(&quot;$&quot;#,##0\)">
                  <c:v>31577000</c:v>
                </c:pt>
                <c:pt idx="1">
                  <c:v>23753000</c:v>
                </c:pt>
              </c:numCache>
            </c:numRef>
          </c:val>
          <c:smooth val="0"/>
          <c:extLst>
            <c:ext xmlns:c16="http://schemas.microsoft.com/office/drawing/2014/chart" uri="{C3380CC4-5D6E-409C-BE32-E72D297353CC}">
              <c16:uniqueId val="{00000002-A843-8D42-A2A7-C3F6228BCD45}"/>
            </c:ext>
          </c:extLst>
        </c:ser>
        <c:dLbls>
          <c:showLegendKey val="0"/>
          <c:showVal val="0"/>
          <c:showCatName val="0"/>
          <c:showSerName val="0"/>
          <c:showPercent val="0"/>
          <c:showBubbleSize val="0"/>
        </c:dLbls>
        <c:hiLowLines>
          <c:spPr>
            <a:ln w="9525">
              <a:solidFill>
                <a:schemeClr val="tx1">
                  <a:lumMod val="50000"/>
                  <a:lumOff val="50000"/>
                </a:schemeClr>
              </a:solidFill>
            </a:ln>
            <a:effectLst/>
          </c:spPr>
        </c:hiLowLines>
        <c:marker val="1"/>
        <c:smooth val="0"/>
        <c:axId val="262545792"/>
        <c:axId val="262546352"/>
      </c:lineChart>
      <c:catAx>
        <c:axId val="26254579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0" i="0" u="none" strike="noStrike" kern="1200" cap="all" spc="120" normalizeH="0" baseline="0">
                <a:solidFill>
                  <a:schemeClr val="tx1">
                    <a:lumMod val="65000"/>
                    <a:lumOff val="35000"/>
                  </a:schemeClr>
                </a:solidFill>
                <a:latin typeface="+mn-lt"/>
                <a:ea typeface="+mn-ea"/>
                <a:cs typeface="+mn-cs"/>
              </a:defRPr>
            </a:pPr>
            <a:endParaRPr lang="es-CO"/>
          </a:p>
        </c:txPr>
        <c:crossAx val="262546352"/>
        <c:crosses val="autoZero"/>
        <c:auto val="1"/>
        <c:lblAlgn val="ctr"/>
        <c:lblOffset val="100"/>
        <c:noMultiLvlLbl val="0"/>
      </c:catAx>
      <c:valAx>
        <c:axId val="262546352"/>
        <c:scaling>
          <c:orientation val="minMax"/>
        </c:scaling>
        <c:delete val="0"/>
        <c:axPos val="l"/>
        <c:majorGridlines>
          <c:spPr>
            <a:ln w="9525" cap="flat" cmpd="sng" algn="ctr">
              <a:solidFill>
                <a:schemeClr val="tx1">
                  <a:lumMod val="15000"/>
                  <a:lumOff val="85000"/>
                </a:schemeClr>
              </a:solidFill>
              <a:round/>
            </a:ln>
            <a:effectLst/>
          </c:spPr>
        </c:majorGridlines>
        <c:numFmt formatCode="&quot;$&quot;#,##0_);\(&quot;$&quot;#,##0\)" sourceLinked="1"/>
        <c:majorTickMark val="out"/>
        <c:minorTickMark val="none"/>
        <c:tickLblPos val="nextTo"/>
        <c:spPr>
          <a:noFill/>
          <a:ln w="9525" cap="flat" cmpd="sng" algn="ctr">
            <a:solidFill>
              <a:schemeClr val="dk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62545792"/>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lt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4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s-CO"/>
              <a:t>VARIACIÓN</a:t>
            </a:r>
            <a:r>
              <a:rPr lang="es-CO" baseline="0"/>
              <a:t> SITUACIÓN FINANCIERA 2017-2016</a:t>
            </a:r>
            <a:endParaRPr lang="es-CO"/>
          </a:p>
        </c:rich>
      </c:tx>
      <c:overlay val="0"/>
      <c:spPr>
        <a:noFill/>
        <a:ln>
          <a:noFill/>
        </a:ln>
        <a:effectLst/>
      </c:spPr>
    </c:title>
    <c:autoTitleDeleted val="0"/>
    <c:plotArea>
      <c:layout/>
      <c:lineChart>
        <c:grouping val="standard"/>
        <c:varyColors val="0"/>
        <c:ser>
          <c:idx val="0"/>
          <c:order val="0"/>
          <c:tx>
            <c:strRef>
              <c:f>'INDICADORES BASICOS'!$B$60</c:f>
              <c:strCache>
                <c:ptCount val="1"/>
                <c:pt idx="0">
                  <c:v>TOTAL ACTIVOS CORRIENTES</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cat>
            <c:numRef>
              <c:f>'INDICADORES BASICOS'!$I$8:$J$8</c:f>
              <c:numCache>
                <c:formatCode>General</c:formatCode>
                <c:ptCount val="2"/>
              </c:numCache>
            </c:numRef>
          </c:cat>
          <c:val>
            <c:numRef>
              <c:f>('INDICADORES BASICOS'!$C$60,'INDICADORES BASICOS'!$F$60)</c:f>
              <c:numCache>
                <c:formatCode>"$"\ #,##0</c:formatCode>
                <c:ptCount val="2"/>
                <c:pt idx="0" formatCode="&quot;$&quot;\ #,##0_);[Red]\(&quot;$&quot;\ #,##0\)">
                  <c:v>436704000</c:v>
                </c:pt>
                <c:pt idx="1">
                  <c:v>137056000</c:v>
                </c:pt>
              </c:numCache>
            </c:numRef>
          </c:val>
          <c:smooth val="0"/>
          <c:extLst>
            <c:ext xmlns:c16="http://schemas.microsoft.com/office/drawing/2014/chart" uri="{C3380CC4-5D6E-409C-BE32-E72D297353CC}">
              <c16:uniqueId val="{00000000-E653-4A42-8C05-BC023EDF4DA9}"/>
            </c:ext>
          </c:extLst>
        </c:ser>
        <c:ser>
          <c:idx val="1"/>
          <c:order val="1"/>
          <c:tx>
            <c:strRef>
              <c:f>'INDICADORES BASICOS'!$B$64</c:f>
              <c:strCache>
                <c:ptCount val="1"/>
                <c:pt idx="0">
                  <c:v>TOTAL ACTIVO</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cat>
            <c:numRef>
              <c:f>'INDICADORES BASICOS'!$I$8:$J$8</c:f>
              <c:numCache>
                <c:formatCode>General</c:formatCode>
                <c:ptCount val="2"/>
              </c:numCache>
            </c:numRef>
          </c:cat>
          <c:val>
            <c:numRef>
              <c:f>('INDICADORES BASICOS'!$C$64,'INDICADORES BASICOS'!$F$64)</c:f>
              <c:numCache>
                <c:formatCode>"$"\ #,##0</c:formatCode>
                <c:ptCount val="2"/>
                <c:pt idx="0" formatCode="&quot;$&quot;\ #,##0_);[Red]\(&quot;$&quot;\ #,##0\)">
                  <c:v>1010330000</c:v>
                </c:pt>
                <c:pt idx="1">
                  <c:v>859045000</c:v>
                </c:pt>
              </c:numCache>
            </c:numRef>
          </c:val>
          <c:smooth val="0"/>
          <c:extLst>
            <c:ext xmlns:c16="http://schemas.microsoft.com/office/drawing/2014/chart" uri="{C3380CC4-5D6E-409C-BE32-E72D297353CC}">
              <c16:uniqueId val="{00000001-E653-4A42-8C05-BC023EDF4DA9}"/>
            </c:ext>
          </c:extLst>
        </c:ser>
        <c:ser>
          <c:idx val="2"/>
          <c:order val="2"/>
          <c:tx>
            <c:strRef>
              <c:f>'INDICADORES BASICOS'!$B$73</c:f>
              <c:strCache>
                <c:ptCount val="1"/>
                <c:pt idx="0">
                  <c:v>TOTAL PASIVO CORRIENTE</c:v>
                </c:pt>
              </c:strCache>
            </c:strRef>
          </c:tx>
          <c:spPr>
            <a:ln w="28575" cap="rnd">
              <a:solidFill>
                <a:schemeClr val="accent3"/>
              </a:solidFill>
              <a:round/>
            </a:ln>
            <a:effectLst/>
          </c:spPr>
          <c:marker>
            <c:symbol val="circle"/>
            <c:size val="5"/>
            <c:spPr>
              <a:solidFill>
                <a:schemeClr val="accent3"/>
              </a:solidFill>
              <a:ln w="9525">
                <a:solidFill>
                  <a:schemeClr val="accent3"/>
                </a:solidFill>
              </a:ln>
              <a:effectLst/>
            </c:spPr>
          </c:marker>
          <c:cat>
            <c:numRef>
              <c:f>'INDICADORES BASICOS'!$I$8:$J$8</c:f>
              <c:numCache>
                <c:formatCode>General</c:formatCode>
                <c:ptCount val="2"/>
              </c:numCache>
            </c:numRef>
          </c:cat>
          <c:val>
            <c:numRef>
              <c:f>('INDICADORES BASICOS'!$C$73,'INDICADORES BASICOS'!$F$73)</c:f>
              <c:numCache>
                <c:formatCode>[$$-240A]\ #,##0</c:formatCode>
                <c:ptCount val="2"/>
                <c:pt idx="0" formatCode="&quot;$&quot;\ #,##0">
                  <c:v>281788000</c:v>
                </c:pt>
                <c:pt idx="1">
                  <c:v>162080000</c:v>
                </c:pt>
              </c:numCache>
            </c:numRef>
          </c:val>
          <c:smooth val="0"/>
          <c:extLst>
            <c:ext xmlns:c16="http://schemas.microsoft.com/office/drawing/2014/chart" uri="{C3380CC4-5D6E-409C-BE32-E72D297353CC}">
              <c16:uniqueId val="{00000002-E653-4A42-8C05-BC023EDF4DA9}"/>
            </c:ext>
          </c:extLst>
        </c:ser>
        <c:ser>
          <c:idx val="3"/>
          <c:order val="3"/>
          <c:tx>
            <c:strRef>
              <c:f>'INDICADORES BASICOS'!$B$74</c:f>
              <c:strCache>
                <c:ptCount val="1"/>
                <c:pt idx="0">
                  <c:v>TOTAL PASIVO</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cat>
            <c:numRef>
              <c:f>'INDICADORES BASICOS'!$I$8:$J$8</c:f>
              <c:numCache>
                <c:formatCode>General</c:formatCode>
                <c:ptCount val="2"/>
              </c:numCache>
            </c:numRef>
          </c:cat>
          <c:val>
            <c:numRef>
              <c:f>('INDICADORES BASICOS'!$C$74,'INDICADORES BASICOS'!$F$74)</c:f>
              <c:numCache>
                <c:formatCode>[$$-240A]\ #,##0</c:formatCode>
                <c:ptCount val="2"/>
                <c:pt idx="0" formatCode="&quot;$&quot;\ #,##0">
                  <c:v>281788000</c:v>
                </c:pt>
                <c:pt idx="1">
                  <c:v>162080000</c:v>
                </c:pt>
              </c:numCache>
            </c:numRef>
          </c:val>
          <c:smooth val="0"/>
          <c:extLst>
            <c:ext xmlns:c16="http://schemas.microsoft.com/office/drawing/2014/chart" uri="{C3380CC4-5D6E-409C-BE32-E72D297353CC}">
              <c16:uniqueId val="{00000003-E653-4A42-8C05-BC023EDF4DA9}"/>
            </c:ext>
          </c:extLst>
        </c:ser>
        <c:ser>
          <c:idx val="4"/>
          <c:order val="4"/>
          <c:tx>
            <c:strRef>
              <c:f>'INDICADORES BASICOS'!$B$81</c:f>
              <c:strCache>
                <c:ptCount val="1"/>
                <c:pt idx="0">
                  <c:v>TOTAL PATRIMONIO</c:v>
                </c:pt>
              </c:strCache>
            </c:strRef>
          </c:tx>
          <c:spPr>
            <a:ln w="28575" cap="rnd">
              <a:solidFill>
                <a:schemeClr val="accent5"/>
              </a:solidFill>
              <a:round/>
            </a:ln>
            <a:effectLst/>
          </c:spPr>
          <c:marker>
            <c:symbol val="circle"/>
            <c:size val="5"/>
            <c:spPr>
              <a:solidFill>
                <a:schemeClr val="accent5"/>
              </a:solidFill>
              <a:ln w="9525">
                <a:solidFill>
                  <a:schemeClr val="accent5"/>
                </a:solidFill>
              </a:ln>
              <a:effectLst/>
            </c:spPr>
          </c:marker>
          <c:cat>
            <c:numRef>
              <c:f>'INDICADORES BASICOS'!$I$8:$J$8</c:f>
              <c:numCache>
                <c:formatCode>General</c:formatCode>
                <c:ptCount val="2"/>
              </c:numCache>
            </c:numRef>
          </c:cat>
          <c:val>
            <c:numRef>
              <c:f>('INDICADORES BASICOS'!$C$81,'INDICADORES BASICOS'!$F$81)</c:f>
              <c:numCache>
                <c:formatCode>"$"\ #,##0</c:formatCode>
                <c:ptCount val="2"/>
                <c:pt idx="0">
                  <c:v>728542000</c:v>
                </c:pt>
                <c:pt idx="1">
                  <c:v>696965000</c:v>
                </c:pt>
              </c:numCache>
            </c:numRef>
          </c:val>
          <c:smooth val="0"/>
          <c:extLst>
            <c:ext xmlns:c16="http://schemas.microsoft.com/office/drawing/2014/chart" uri="{C3380CC4-5D6E-409C-BE32-E72D297353CC}">
              <c16:uniqueId val="{00000004-E653-4A42-8C05-BC023EDF4DA9}"/>
            </c:ext>
          </c:extLst>
        </c:ser>
        <c:dLbls>
          <c:showLegendKey val="0"/>
          <c:showVal val="0"/>
          <c:showCatName val="0"/>
          <c:showSerName val="0"/>
          <c:showPercent val="0"/>
          <c:showBubbleSize val="0"/>
        </c:dLbls>
        <c:marker val="1"/>
        <c:smooth val="0"/>
        <c:axId val="262551392"/>
        <c:axId val="262551952"/>
      </c:lineChart>
      <c:catAx>
        <c:axId val="26255139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62551952"/>
        <c:crosses val="autoZero"/>
        <c:auto val="1"/>
        <c:lblAlgn val="ctr"/>
        <c:lblOffset val="100"/>
        <c:noMultiLvlLbl val="0"/>
      </c:catAx>
      <c:valAx>
        <c:axId val="262551952"/>
        <c:scaling>
          <c:orientation val="minMax"/>
        </c:scaling>
        <c:delete val="0"/>
        <c:axPos val="l"/>
        <c:majorGridlines>
          <c:spPr>
            <a:ln w="9525" cap="flat" cmpd="sng" algn="ctr">
              <a:solidFill>
                <a:schemeClr val="tx1">
                  <a:lumMod val="15000"/>
                  <a:lumOff val="85000"/>
                </a:schemeClr>
              </a:solidFill>
              <a:round/>
            </a:ln>
            <a:effectLst/>
          </c:spPr>
        </c:majorGridlines>
        <c:numFmt formatCode="&quot;$&quot;\ #,##0_);[Red]\(&quot;$&quot;\ #,##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62551392"/>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4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600"/>
            </a:pPr>
            <a:r>
              <a:rPr lang="es-CO" sz="1600"/>
              <a:t>ANÁLISIS</a:t>
            </a:r>
            <a:r>
              <a:rPr lang="es-CO" sz="1600" baseline="0"/>
              <a:t> VERTICAL-ESTADO DE RESULTADOS 2017</a:t>
            </a:r>
            <a:endParaRPr lang="es-CO" sz="1600"/>
          </a:p>
        </c:rich>
      </c:tx>
      <c:overlay val="0"/>
    </c:title>
    <c:autoTitleDeleted val="0"/>
    <c:view3D>
      <c:rotX val="15"/>
      <c:rotY val="20"/>
      <c:rAngAx val="1"/>
    </c:view3D>
    <c:floor>
      <c:thickness val="0"/>
    </c:floor>
    <c:sideWall>
      <c:thickness val="0"/>
    </c:sideWall>
    <c:backWall>
      <c:thickness val="0"/>
    </c:backWall>
    <c:plotArea>
      <c:layout/>
      <c:bar3DChart>
        <c:barDir val="bar"/>
        <c:grouping val="clustered"/>
        <c:varyColors val="0"/>
        <c:ser>
          <c:idx val="4"/>
          <c:order val="0"/>
          <c:tx>
            <c:v>UTILIDAD OPERACIONAL</c:v>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val>
            <c:numRef>
              <c:f>'INDICADORES BASICOS'!$D$8</c:f>
              <c:numCache>
                <c:formatCode>0.00%</c:formatCode>
                <c:ptCount val="1"/>
                <c:pt idx="0">
                  <c:v>1</c:v>
                </c:pt>
              </c:numCache>
            </c:numRef>
          </c:val>
          <c:extLst>
            <c:ext xmlns:c16="http://schemas.microsoft.com/office/drawing/2014/chart" uri="{C3380CC4-5D6E-409C-BE32-E72D297353CC}">
              <c16:uniqueId val="{00000000-9AD9-4E3A-BD3F-70C78D9AF7F5}"/>
            </c:ext>
          </c:extLst>
        </c:ser>
        <c:ser>
          <c:idx val="3"/>
          <c:order val="1"/>
          <c:tx>
            <c:strRef>
              <c:f>'INDICADORES BASICOS'!$B$27</c:f>
              <c:strCache>
                <c:ptCount val="1"/>
                <c:pt idx="0">
                  <c:v>COSTO DE VENTAS</c:v>
                </c:pt>
              </c:strCache>
            </c:strRef>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val>
            <c:numRef>
              <c:f>'INDICADORES BASICOS'!$D$9</c:f>
              <c:numCache>
                <c:formatCode>0.00%</c:formatCode>
                <c:ptCount val="1"/>
                <c:pt idx="0">
                  <c:v>0.87969305705218481</c:v>
                </c:pt>
              </c:numCache>
            </c:numRef>
          </c:val>
          <c:extLst>
            <c:ext xmlns:c16="http://schemas.microsoft.com/office/drawing/2014/chart" uri="{C3380CC4-5D6E-409C-BE32-E72D297353CC}">
              <c16:uniqueId val="{00000001-9AD9-4E3A-BD3F-70C78D9AF7F5}"/>
            </c:ext>
          </c:extLst>
        </c:ser>
        <c:ser>
          <c:idx val="2"/>
          <c:order val="2"/>
          <c:tx>
            <c:v>UTILIDAD BRUTA</c:v>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val>
            <c:numRef>
              <c:f>'INDICADORES BASICOS'!$C$508</c:f>
              <c:numCache>
                <c:formatCode>0.00%</c:formatCode>
                <c:ptCount val="1"/>
                <c:pt idx="0">
                  <c:v>0.12030694294781517</c:v>
                </c:pt>
              </c:numCache>
            </c:numRef>
          </c:val>
          <c:extLst>
            <c:ext xmlns:c16="http://schemas.microsoft.com/office/drawing/2014/chart" uri="{C3380CC4-5D6E-409C-BE32-E72D297353CC}">
              <c16:uniqueId val="{00000002-9AD9-4E3A-BD3F-70C78D9AF7F5}"/>
            </c:ext>
          </c:extLst>
        </c:ser>
        <c:ser>
          <c:idx val="1"/>
          <c:order val="3"/>
          <c:tx>
            <c:v>UTILIDAD OPERACIONAL</c:v>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val>
            <c:numRef>
              <c:f>'INDICADORES BASICOS'!$C$509</c:f>
              <c:numCache>
                <c:formatCode>0.00%</c:formatCode>
                <c:ptCount val="1"/>
                <c:pt idx="0">
                  <c:v>5.2373707216954279E-2</c:v>
                </c:pt>
              </c:numCache>
            </c:numRef>
          </c:val>
          <c:extLst>
            <c:ext xmlns:c16="http://schemas.microsoft.com/office/drawing/2014/chart" uri="{C3380CC4-5D6E-409C-BE32-E72D297353CC}">
              <c16:uniqueId val="{00000003-9AD9-4E3A-BD3F-70C78D9AF7F5}"/>
            </c:ext>
          </c:extLst>
        </c:ser>
        <c:ser>
          <c:idx val="0"/>
          <c:order val="4"/>
          <c:tx>
            <c:v>UTILIDAD NETA</c:v>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val>
            <c:numRef>
              <c:f>'INDICADORES BASICOS'!$C$510</c:f>
              <c:numCache>
                <c:formatCode>0.00%</c:formatCode>
                <c:ptCount val="1"/>
                <c:pt idx="0">
                  <c:v>2.74850767444411E-2</c:v>
                </c:pt>
              </c:numCache>
            </c:numRef>
          </c:val>
          <c:extLst>
            <c:ext xmlns:c16="http://schemas.microsoft.com/office/drawing/2014/chart" uri="{C3380CC4-5D6E-409C-BE32-E72D297353CC}">
              <c16:uniqueId val="{00000004-9AD9-4E3A-BD3F-70C78D9AF7F5}"/>
            </c:ext>
          </c:extLst>
        </c:ser>
        <c:dLbls>
          <c:showLegendKey val="0"/>
          <c:showVal val="1"/>
          <c:showCatName val="0"/>
          <c:showSerName val="0"/>
          <c:showPercent val="0"/>
          <c:showBubbleSize val="0"/>
        </c:dLbls>
        <c:gapWidth val="150"/>
        <c:shape val="cylinder"/>
        <c:axId val="263288512"/>
        <c:axId val="263289072"/>
        <c:axId val="0"/>
      </c:bar3DChart>
      <c:catAx>
        <c:axId val="263288512"/>
        <c:scaling>
          <c:orientation val="minMax"/>
        </c:scaling>
        <c:delete val="0"/>
        <c:axPos val="l"/>
        <c:majorTickMark val="none"/>
        <c:minorTickMark val="none"/>
        <c:tickLblPos val="nextTo"/>
        <c:crossAx val="263289072"/>
        <c:crosses val="autoZero"/>
        <c:auto val="1"/>
        <c:lblAlgn val="ctr"/>
        <c:lblOffset val="100"/>
        <c:noMultiLvlLbl val="0"/>
      </c:catAx>
      <c:valAx>
        <c:axId val="263289072"/>
        <c:scaling>
          <c:orientation val="minMax"/>
        </c:scaling>
        <c:delete val="0"/>
        <c:axPos val="b"/>
        <c:majorGridlines/>
        <c:numFmt formatCode="0.00%" sourceLinked="1"/>
        <c:majorTickMark val="none"/>
        <c:minorTickMark val="none"/>
        <c:tickLblPos val="nextTo"/>
        <c:crossAx val="263288512"/>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4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600"/>
            </a:pPr>
            <a:r>
              <a:rPr lang="es-CO" sz="1600"/>
              <a:t>ANÁLISIS</a:t>
            </a:r>
            <a:r>
              <a:rPr lang="es-CO" sz="1600" baseline="0"/>
              <a:t> VERTICAL-ESTADO DE RESULTADOS 2014</a:t>
            </a:r>
            <a:endParaRPr lang="es-CO" sz="1600"/>
          </a:p>
        </c:rich>
      </c:tx>
      <c:overlay val="0"/>
    </c:title>
    <c:autoTitleDeleted val="0"/>
    <c:view3D>
      <c:rotX val="15"/>
      <c:rotY val="20"/>
      <c:rAngAx val="1"/>
    </c:view3D>
    <c:floor>
      <c:thickness val="0"/>
    </c:floor>
    <c:sideWall>
      <c:thickness val="0"/>
    </c:sideWall>
    <c:backWall>
      <c:thickness val="0"/>
    </c:backWall>
    <c:plotArea>
      <c:layout/>
      <c:bar3DChart>
        <c:barDir val="bar"/>
        <c:grouping val="clustered"/>
        <c:varyColors val="0"/>
        <c:ser>
          <c:idx val="4"/>
          <c:order val="0"/>
          <c:tx>
            <c:v>UTILIDAD OPERACIONAL</c:v>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val>
            <c:numRef>
              <c:f>'INDICADORES BASICOS'!$G$42</c:f>
              <c:numCache>
                <c:formatCode>0.00%</c:formatCode>
                <c:ptCount val="1"/>
                <c:pt idx="0">
                  <c:v>1</c:v>
                </c:pt>
              </c:numCache>
            </c:numRef>
          </c:val>
          <c:extLst>
            <c:ext xmlns:c16="http://schemas.microsoft.com/office/drawing/2014/chart" uri="{C3380CC4-5D6E-409C-BE32-E72D297353CC}">
              <c16:uniqueId val="{00000000-9AD9-4E3A-BD3F-70C78D9AF7F5}"/>
            </c:ext>
          </c:extLst>
        </c:ser>
        <c:ser>
          <c:idx val="3"/>
          <c:order val="1"/>
          <c:tx>
            <c:strRef>
              <c:f>'INDICADORES BASICOS'!$B$27</c:f>
              <c:strCache>
                <c:ptCount val="1"/>
                <c:pt idx="0">
                  <c:v>COSTO DE VENTAS</c:v>
                </c:pt>
              </c:strCache>
            </c:strRef>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val>
            <c:numRef>
              <c:f>'INDICADORES BASICOS'!$G$43</c:f>
              <c:numCache>
                <c:formatCode>0.00%</c:formatCode>
                <c:ptCount val="1"/>
                <c:pt idx="0">
                  <c:v>0.83688286544046464</c:v>
                </c:pt>
              </c:numCache>
            </c:numRef>
          </c:val>
          <c:extLst>
            <c:ext xmlns:c16="http://schemas.microsoft.com/office/drawing/2014/chart" uri="{C3380CC4-5D6E-409C-BE32-E72D297353CC}">
              <c16:uniqueId val="{00000001-9AD9-4E3A-BD3F-70C78D9AF7F5}"/>
            </c:ext>
          </c:extLst>
        </c:ser>
        <c:ser>
          <c:idx val="2"/>
          <c:order val="2"/>
          <c:tx>
            <c:v>UTILIDAD BRUTA</c:v>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val>
            <c:numRef>
              <c:f>'INDICADORES BASICOS'!$J$508</c:f>
              <c:numCache>
                <c:formatCode>0.00%</c:formatCode>
                <c:ptCount val="1"/>
                <c:pt idx="0">
                  <c:v>0.16311713455953533</c:v>
                </c:pt>
              </c:numCache>
            </c:numRef>
          </c:val>
          <c:extLst>
            <c:ext xmlns:c16="http://schemas.microsoft.com/office/drawing/2014/chart" uri="{C3380CC4-5D6E-409C-BE32-E72D297353CC}">
              <c16:uniqueId val="{00000002-9AD9-4E3A-BD3F-70C78D9AF7F5}"/>
            </c:ext>
          </c:extLst>
        </c:ser>
        <c:ser>
          <c:idx val="1"/>
          <c:order val="3"/>
          <c:tx>
            <c:v>UTILIDAD OPERACIONAL</c:v>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val>
            <c:numRef>
              <c:f>'INDICADORES BASICOS'!$J$509</c:f>
              <c:numCache>
                <c:formatCode>0.00%</c:formatCode>
                <c:ptCount val="1"/>
                <c:pt idx="0">
                  <c:v>0.13188125201677961</c:v>
                </c:pt>
              </c:numCache>
            </c:numRef>
          </c:val>
          <c:extLst>
            <c:ext xmlns:c16="http://schemas.microsoft.com/office/drawing/2014/chart" uri="{C3380CC4-5D6E-409C-BE32-E72D297353CC}">
              <c16:uniqueId val="{00000003-9AD9-4E3A-BD3F-70C78D9AF7F5}"/>
            </c:ext>
          </c:extLst>
        </c:ser>
        <c:ser>
          <c:idx val="0"/>
          <c:order val="4"/>
          <c:tx>
            <c:v>UTILIDAD NETA</c:v>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val>
            <c:numRef>
              <c:f>'INDICADORES BASICOS'!$J$510</c:f>
              <c:numCache>
                <c:formatCode>0.00%</c:formatCode>
                <c:ptCount val="1"/>
                <c:pt idx="0">
                  <c:v>0.13188125201677961</c:v>
                </c:pt>
              </c:numCache>
            </c:numRef>
          </c:val>
          <c:extLst>
            <c:ext xmlns:c16="http://schemas.microsoft.com/office/drawing/2014/chart" uri="{C3380CC4-5D6E-409C-BE32-E72D297353CC}">
              <c16:uniqueId val="{00000004-9AD9-4E3A-BD3F-70C78D9AF7F5}"/>
            </c:ext>
          </c:extLst>
        </c:ser>
        <c:dLbls>
          <c:showLegendKey val="0"/>
          <c:showVal val="1"/>
          <c:showCatName val="0"/>
          <c:showSerName val="0"/>
          <c:showPercent val="0"/>
          <c:showBubbleSize val="0"/>
        </c:dLbls>
        <c:gapWidth val="150"/>
        <c:shape val="cylinder"/>
        <c:axId val="263294112"/>
        <c:axId val="263294672"/>
        <c:axId val="0"/>
      </c:bar3DChart>
      <c:catAx>
        <c:axId val="263294112"/>
        <c:scaling>
          <c:orientation val="minMax"/>
        </c:scaling>
        <c:delete val="0"/>
        <c:axPos val="l"/>
        <c:majorTickMark val="none"/>
        <c:minorTickMark val="none"/>
        <c:tickLblPos val="nextTo"/>
        <c:crossAx val="263294672"/>
        <c:crosses val="autoZero"/>
        <c:auto val="1"/>
        <c:lblAlgn val="ctr"/>
        <c:lblOffset val="100"/>
        <c:noMultiLvlLbl val="0"/>
      </c:catAx>
      <c:valAx>
        <c:axId val="263294672"/>
        <c:scaling>
          <c:orientation val="minMax"/>
        </c:scaling>
        <c:delete val="0"/>
        <c:axPos val="b"/>
        <c:majorGridlines/>
        <c:numFmt formatCode="0.00%" sourceLinked="1"/>
        <c:majorTickMark val="none"/>
        <c:minorTickMark val="none"/>
        <c:tickLblPos val="nextTo"/>
        <c:crossAx val="263294112"/>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4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600"/>
            </a:pPr>
            <a:r>
              <a:rPr lang="es-CO" sz="1600"/>
              <a:t>ANÁLISIS</a:t>
            </a:r>
            <a:r>
              <a:rPr lang="es-CO" sz="1600" baseline="0"/>
              <a:t> VERTICAL-ESTADO DE RESULTADOS 2015</a:t>
            </a:r>
            <a:endParaRPr lang="es-CO" sz="1600"/>
          </a:p>
        </c:rich>
      </c:tx>
      <c:overlay val="0"/>
    </c:title>
    <c:autoTitleDeleted val="0"/>
    <c:view3D>
      <c:rotX val="15"/>
      <c:rotY val="20"/>
      <c:rAngAx val="1"/>
    </c:view3D>
    <c:floor>
      <c:thickness val="0"/>
    </c:floor>
    <c:sideWall>
      <c:thickness val="0"/>
    </c:sideWall>
    <c:backWall>
      <c:thickness val="0"/>
    </c:backWall>
    <c:plotArea>
      <c:layout/>
      <c:bar3DChart>
        <c:barDir val="bar"/>
        <c:grouping val="clustered"/>
        <c:varyColors val="0"/>
        <c:ser>
          <c:idx val="4"/>
          <c:order val="0"/>
          <c:tx>
            <c:v>UTILIDAD OPERACIONAL</c:v>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val>
            <c:numRef>
              <c:f>'INDICADORES BASICOS'!$G$26</c:f>
              <c:numCache>
                <c:formatCode>0.00%</c:formatCode>
                <c:ptCount val="1"/>
                <c:pt idx="0">
                  <c:v>1</c:v>
                </c:pt>
              </c:numCache>
            </c:numRef>
          </c:val>
          <c:extLst>
            <c:ext xmlns:c16="http://schemas.microsoft.com/office/drawing/2014/chart" uri="{C3380CC4-5D6E-409C-BE32-E72D297353CC}">
              <c16:uniqueId val="{00000000-9AD9-4E3A-BD3F-70C78D9AF7F5}"/>
            </c:ext>
          </c:extLst>
        </c:ser>
        <c:ser>
          <c:idx val="3"/>
          <c:order val="1"/>
          <c:tx>
            <c:strRef>
              <c:f>'INDICADORES BASICOS'!$B$27</c:f>
              <c:strCache>
                <c:ptCount val="1"/>
                <c:pt idx="0">
                  <c:v>COSTO DE VENTAS</c:v>
                </c:pt>
              </c:strCache>
            </c:strRef>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val>
            <c:numRef>
              <c:f>'INDICADORES BASICOS'!$G$27</c:f>
              <c:numCache>
                <c:formatCode>0.00%</c:formatCode>
                <c:ptCount val="1"/>
                <c:pt idx="0">
                  <c:v>0.70722841152779958</c:v>
                </c:pt>
              </c:numCache>
            </c:numRef>
          </c:val>
          <c:extLst>
            <c:ext xmlns:c16="http://schemas.microsoft.com/office/drawing/2014/chart" uri="{C3380CC4-5D6E-409C-BE32-E72D297353CC}">
              <c16:uniqueId val="{00000001-9AD9-4E3A-BD3F-70C78D9AF7F5}"/>
            </c:ext>
          </c:extLst>
        </c:ser>
        <c:ser>
          <c:idx val="2"/>
          <c:order val="2"/>
          <c:tx>
            <c:v>UTILIDAD BRUTA</c:v>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val>
            <c:numRef>
              <c:f>'INDICADORES BASICOS'!$G$508</c:f>
              <c:numCache>
                <c:formatCode>0.00%</c:formatCode>
                <c:ptCount val="1"/>
                <c:pt idx="0">
                  <c:v>0.29277158847220042</c:v>
                </c:pt>
              </c:numCache>
            </c:numRef>
          </c:val>
          <c:extLst>
            <c:ext xmlns:c16="http://schemas.microsoft.com/office/drawing/2014/chart" uri="{C3380CC4-5D6E-409C-BE32-E72D297353CC}">
              <c16:uniqueId val="{00000002-9AD9-4E3A-BD3F-70C78D9AF7F5}"/>
            </c:ext>
          </c:extLst>
        </c:ser>
        <c:ser>
          <c:idx val="1"/>
          <c:order val="3"/>
          <c:tx>
            <c:v>UTILIDAD OPERACIONAL</c:v>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val>
            <c:numRef>
              <c:f>'INDICADORES BASICOS'!$G$509</c:f>
              <c:numCache>
                <c:formatCode>0.00%</c:formatCode>
                <c:ptCount val="1"/>
                <c:pt idx="0">
                  <c:v>0.209831987958459</c:v>
                </c:pt>
              </c:numCache>
            </c:numRef>
          </c:val>
          <c:extLst>
            <c:ext xmlns:c16="http://schemas.microsoft.com/office/drawing/2014/chart" uri="{C3380CC4-5D6E-409C-BE32-E72D297353CC}">
              <c16:uniqueId val="{00000003-9AD9-4E3A-BD3F-70C78D9AF7F5}"/>
            </c:ext>
          </c:extLst>
        </c:ser>
        <c:ser>
          <c:idx val="0"/>
          <c:order val="4"/>
          <c:tx>
            <c:v>UTILIDAD NETA</c:v>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val>
            <c:numRef>
              <c:f>'INDICADORES BASICOS'!$G$510</c:f>
              <c:numCache>
                <c:formatCode>0.00%</c:formatCode>
                <c:ptCount val="1"/>
                <c:pt idx="0">
                  <c:v>0.1389484573228493</c:v>
                </c:pt>
              </c:numCache>
            </c:numRef>
          </c:val>
          <c:extLst>
            <c:ext xmlns:c16="http://schemas.microsoft.com/office/drawing/2014/chart" uri="{C3380CC4-5D6E-409C-BE32-E72D297353CC}">
              <c16:uniqueId val="{00000004-9AD9-4E3A-BD3F-70C78D9AF7F5}"/>
            </c:ext>
          </c:extLst>
        </c:ser>
        <c:dLbls>
          <c:showLegendKey val="0"/>
          <c:showVal val="1"/>
          <c:showCatName val="0"/>
          <c:showSerName val="0"/>
          <c:showPercent val="0"/>
          <c:showBubbleSize val="0"/>
        </c:dLbls>
        <c:gapWidth val="150"/>
        <c:shape val="cylinder"/>
        <c:axId val="263299712"/>
        <c:axId val="263300272"/>
        <c:axId val="0"/>
      </c:bar3DChart>
      <c:catAx>
        <c:axId val="263299712"/>
        <c:scaling>
          <c:orientation val="minMax"/>
        </c:scaling>
        <c:delete val="0"/>
        <c:axPos val="l"/>
        <c:majorTickMark val="none"/>
        <c:minorTickMark val="none"/>
        <c:tickLblPos val="nextTo"/>
        <c:crossAx val="263300272"/>
        <c:crosses val="autoZero"/>
        <c:auto val="1"/>
        <c:lblAlgn val="ctr"/>
        <c:lblOffset val="100"/>
        <c:noMultiLvlLbl val="0"/>
      </c:catAx>
      <c:valAx>
        <c:axId val="263300272"/>
        <c:scaling>
          <c:orientation val="minMax"/>
        </c:scaling>
        <c:delete val="0"/>
        <c:axPos val="b"/>
        <c:majorGridlines/>
        <c:numFmt formatCode="0.00%" sourceLinked="1"/>
        <c:majorTickMark val="none"/>
        <c:minorTickMark val="none"/>
        <c:tickLblPos val="nextTo"/>
        <c:crossAx val="263299712"/>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4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s-CO" b="1"/>
              <a:t>ANÁLISIS HORIZONTAL-ESTADO DE RESULTADOS 2017-2016</a:t>
            </a:r>
          </a:p>
        </c:rich>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s-CO"/>
        </a:p>
      </c:txPr>
    </c:title>
    <c:autoTitleDeleted val="0"/>
    <c:view3D>
      <c:rotX val="15"/>
      <c:rotY val="20"/>
      <c:depthPercent val="100"/>
      <c:rAngAx val="1"/>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bar3DChart>
        <c:barDir val="bar"/>
        <c:grouping val="clustered"/>
        <c:varyColors val="0"/>
        <c:ser>
          <c:idx val="4"/>
          <c:order val="0"/>
          <c:tx>
            <c:v>INGRESOS OPERACIONALES</c:v>
          </c:tx>
          <c:spPr>
            <a:solidFill>
              <a:schemeClr val="accent5"/>
            </a:solidFill>
            <a:ln>
              <a:noFill/>
            </a:ln>
            <a:effectLst/>
            <a:sp3d/>
          </c:spPr>
          <c:invertIfNegative val="0"/>
          <c:val>
            <c:numRef>
              <c:f>'INDICADORES BASICOS'!$E$8</c:f>
              <c:numCache>
                <c:formatCode>0.00%</c:formatCode>
                <c:ptCount val="1"/>
                <c:pt idx="0">
                  <c:v>0.73262291769091803</c:v>
                </c:pt>
              </c:numCache>
            </c:numRef>
          </c:val>
          <c:extLst>
            <c:ext xmlns:c16="http://schemas.microsoft.com/office/drawing/2014/chart" uri="{C3380CC4-5D6E-409C-BE32-E72D297353CC}">
              <c16:uniqueId val="{00000000-899C-4AA2-81DD-FC1BE7131882}"/>
            </c:ext>
          </c:extLst>
        </c:ser>
        <c:ser>
          <c:idx val="3"/>
          <c:order val="1"/>
          <c:tx>
            <c:v>COSTOS DE VENTAS</c:v>
          </c:tx>
          <c:spPr>
            <a:solidFill>
              <a:schemeClr val="accent4"/>
            </a:solidFill>
            <a:ln>
              <a:noFill/>
            </a:ln>
            <a:effectLst/>
            <a:sp3d/>
          </c:spPr>
          <c:invertIfNegative val="0"/>
          <c:val>
            <c:numRef>
              <c:f>'INDICADORES BASICOS'!$E$9</c:f>
              <c:numCache>
                <c:formatCode>0.00%</c:formatCode>
                <c:ptCount val="1"/>
                <c:pt idx="0">
                  <c:v>0.77447305352424256</c:v>
                </c:pt>
              </c:numCache>
            </c:numRef>
          </c:val>
          <c:extLst>
            <c:ext xmlns:c16="http://schemas.microsoft.com/office/drawing/2014/chart" uri="{C3380CC4-5D6E-409C-BE32-E72D297353CC}">
              <c16:uniqueId val="{00000001-899C-4AA2-81DD-FC1BE7131882}"/>
            </c:ext>
          </c:extLst>
        </c:ser>
        <c:ser>
          <c:idx val="2"/>
          <c:order val="2"/>
          <c:tx>
            <c:v>UTILIDAD BRUTA</c:v>
          </c:tx>
          <c:spPr>
            <a:solidFill>
              <a:schemeClr val="accent3"/>
            </a:solidFill>
            <a:ln>
              <a:noFill/>
            </a:ln>
            <a:effectLst/>
            <a:sp3d/>
          </c:spPr>
          <c:invertIfNegative val="0"/>
          <c:val>
            <c:numRef>
              <c:f>'INDICADORES BASICOS'!$E$10</c:f>
              <c:numCache>
                <c:formatCode>0.00%</c:formatCode>
                <c:ptCount val="1"/>
                <c:pt idx="0">
                  <c:v>0.4777774213896997</c:v>
                </c:pt>
              </c:numCache>
            </c:numRef>
          </c:val>
          <c:extLst>
            <c:ext xmlns:c16="http://schemas.microsoft.com/office/drawing/2014/chart" uri="{C3380CC4-5D6E-409C-BE32-E72D297353CC}">
              <c16:uniqueId val="{00000002-899C-4AA2-81DD-FC1BE7131882}"/>
            </c:ext>
          </c:extLst>
        </c:ser>
        <c:ser>
          <c:idx val="1"/>
          <c:order val="3"/>
          <c:tx>
            <c:v>UTILIDAD OPERACIONAL</c:v>
          </c:tx>
          <c:spPr>
            <a:solidFill>
              <a:schemeClr val="accent2"/>
            </a:solidFill>
            <a:ln>
              <a:noFill/>
            </a:ln>
            <a:effectLst/>
            <a:sp3d/>
          </c:spPr>
          <c:invertIfNegative val="0"/>
          <c:val>
            <c:numRef>
              <c:f>'INDICADORES BASICOS'!$E$13</c:f>
              <c:numCache>
                <c:formatCode>0.00%</c:formatCode>
                <c:ptCount val="1"/>
                <c:pt idx="0">
                  <c:v>0.56764713545059009</c:v>
                </c:pt>
              </c:numCache>
            </c:numRef>
          </c:val>
          <c:extLst>
            <c:ext xmlns:c16="http://schemas.microsoft.com/office/drawing/2014/chart" uri="{C3380CC4-5D6E-409C-BE32-E72D297353CC}">
              <c16:uniqueId val="{00000003-899C-4AA2-81DD-FC1BE7131882}"/>
            </c:ext>
          </c:extLst>
        </c:ser>
        <c:ser>
          <c:idx val="0"/>
          <c:order val="4"/>
          <c:tx>
            <c:v>UTILIDAD NETA</c:v>
          </c:tx>
          <c:spPr>
            <a:solidFill>
              <a:schemeClr val="accent1"/>
            </a:solidFill>
            <a:ln>
              <a:noFill/>
            </a:ln>
            <a:effectLst/>
            <a:sp3d/>
          </c:spPr>
          <c:invertIfNegative val="0"/>
          <c:val>
            <c:numRef>
              <c:f>'INDICADORES BASICOS'!$E$19</c:f>
              <c:numCache>
                <c:formatCode>0.00%</c:formatCode>
                <c:ptCount val="1"/>
                <c:pt idx="0">
                  <c:v>0.32938997179303664</c:v>
                </c:pt>
              </c:numCache>
            </c:numRef>
          </c:val>
          <c:extLst>
            <c:ext xmlns:c16="http://schemas.microsoft.com/office/drawing/2014/chart" uri="{C3380CC4-5D6E-409C-BE32-E72D297353CC}">
              <c16:uniqueId val="{00000004-899C-4AA2-81DD-FC1BE7131882}"/>
            </c:ext>
          </c:extLst>
        </c:ser>
        <c:dLbls>
          <c:showLegendKey val="0"/>
          <c:showVal val="0"/>
          <c:showCatName val="0"/>
          <c:showSerName val="0"/>
          <c:showPercent val="0"/>
          <c:showBubbleSize val="0"/>
        </c:dLbls>
        <c:gapWidth val="150"/>
        <c:shape val="box"/>
        <c:axId val="263539024"/>
        <c:axId val="263539584"/>
        <c:axId val="0"/>
      </c:bar3DChart>
      <c:catAx>
        <c:axId val="263539024"/>
        <c:scaling>
          <c:orientation val="minMax"/>
        </c:scaling>
        <c:delete val="1"/>
        <c:axPos val="l"/>
        <c:majorTickMark val="none"/>
        <c:minorTickMark val="none"/>
        <c:tickLblPos val="nextTo"/>
        <c:crossAx val="263539584"/>
        <c:crosses val="autoZero"/>
        <c:auto val="1"/>
        <c:lblAlgn val="ctr"/>
        <c:lblOffset val="100"/>
        <c:noMultiLvlLbl val="0"/>
      </c:catAx>
      <c:valAx>
        <c:axId val="263539584"/>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63539024"/>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4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s-CO" b="1"/>
              <a:t>ANÁLISIS HORIZONTAL-ESTADO DE RESULTADOS 2015-2014</a:t>
            </a:r>
          </a:p>
        </c:rich>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s-CO"/>
        </a:p>
      </c:txPr>
    </c:title>
    <c:autoTitleDeleted val="0"/>
    <c:view3D>
      <c:rotX val="15"/>
      <c:rotY val="20"/>
      <c:depthPercent val="100"/>
      <c:rAngAx val="1"/>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bar3DChart>
        <c:barDir val="bar"/>
        <c:grouping val="clustered"/>
        <c:varyColors val="0"/>
        <c:ser>
          <c:idx val="4"/>
          <c:order val="0"/>
          <c:tx>
            <c:v>INGRESOS OPERACIONALES</c:v>
          </c:tx>
          <c:spPr>
            <a:solidFill>
              <a:schemeClr val="accent5"/>
            </a:solidFill>
            <a:ln>
              <a:noFill/>
            </a:ln>
            <a:effectLst/>
            <a:sp3d/>
          </c:spPr>
          <c:invertIfNegative val="0"/>
          <c:val>
            <c:numRef>
              <c:f>'INDICADORES BASICOS'!$E$42</c:f>
              <c:numCache>
                <c:formatCode>0.00%</c:formatCode>
                <c:ptCount val="1"/>
                <c:pt idx="0">
                  <c:v>4.5524685382381413</c:v>
                </c:pt>
              </c:numCache>
            </c:numRef>
          </c:val>
          <c:extLst>
            <c:ext xmlns:c16="http://schemas.microsoft.com/office/drawing/2014/chart" uri="{C3380CC4-5D6E-409C-BE32-E72D297353CC}">
              <c16:uniqueId val="{00000000-899C-4AA2-81DD-FC1BE7131882}"/>
            </c:ext>
          </c:extLst>
        </c:ser>
        <c:ser>
          <c:idx val="3"/>
          <c:order val="1"/>
          <c:tx>
            <c:v>COSTOS DE VENTAS</c:v>
          </c:tx>
          <c:spPr>
            <a:solidFill>
              <a:schemeClr val="accent4"/>
            </a:solidFill>
            <a:ln>
              <a:noFill/>
            </a:ln>
            <a:effectLst/>
            <a:sp3d/>
          </c:spPr>
          <c:invertIfNegative val="0"/>
          <c:val>
            <c:numRef>
              <c:f>'INDICADORES BASICOS'!$E$43</c:f>
              <c:numCache>
                <c:formatCode>0.00%</c:formatCode>
                <c:ptCount val="1"/>
                <c:pt idx="0">
                  <c:v>3.6922498554077503</c:v>
                </c:pt>
              </c:numCache>
            </c:numRef>
          </c:val>
          <c:extLst>
            <c:ext xmlns:c16="http://schemas.microsoft.com/office/drawing/2014/chart" uri="{C3380CC4-5D6E-409C-BE32-E72D297353CC}">
              <c16:uniqueId val="{00000001-899C-4AA2-81DD-FC1BE7131882}"/>
            </c:ext>
          </c:extLst>
        </c:ser>
        <c:ser>
          <c:idx val="2"/>
          <c:order val="2"/>
          <c:tx>
            <c:v>UTILIDAD BRUTA</c:v>
          </c:tx>
          <c:spPr>
            <a:solidFill>
              <a:schemeClr val="accent3"/>
            </a:solidFill>
            <a:ln>
              <a:noFill/>
            </a:ln>
            <a:effectLst/>
            <a:sp3d/>
          </c:spPr>
          <c:invertIfNegative val="0"/>
          <c:val>
            <c:numRef>
              <c:f>'INDICADORES BASICOS'!$E$44</c:f>
              <c:numCache>
                <c:formatCode>0.00%</c:formatCode>
                <c:ptCount val="1"/>
                <c:pt idx="0">
                  <c:v>8.965875370919882</c:v>
                </c:pt>
              </c:numCache>
            </c:numRef>
          </c:val>
          <c:extLst>
            <c:ext xmlns:c16="http://schemas.microsoft.com/office/drawing/2014/chart" uri="{C3380CC4-5D6E-409C-BE32-E72D297353CC}">
              <c16:uniqueId val="{00000002-899C-4AA2-81DD-FC1BE7131882}"/>
            </c:ext>
          </c:extLst>
        </c:ser>
        <c:ser>
          <c:idx val="1"/>
          <c:order val="3"/>
          <c:tx>
            <c:v>UTILIDAD OPERACIONAL</c:v>
          </c:tx>
          <c:spPr>
            <a:solidFill>
              <a:schemeClr val="accent2"/>
            </a:solidFill>
            <a:ln>
              <a:noFill/>
            </a:ln>
            <a:effectLst/>
            <a:sp3d/>
          </c:spPr>
          <c:invertIfNegative val="0"/>
          <c:val>
            <c:numRef>
              <c:f>'INDICADORES BASICOS'!$E$46</c:f>
              <c:numCache>
                <c:formatCode>0.00%</c:formatCode>
                <c:ptCount val="1"/>
                <c:pt idx="0">
                  <c:v>7.8343528260337649</c:v>
                </c:pt>
              </c:numCache>
            </c:numRef>
          </c:val>
          <c:extLst>
            <c:ext xmlns:c16="http://schemas.microsoft.com/office/drawing/2014/chart" uri="{C3380CC4-5D6E-409C-BE32-E72D297353CC}">
              <c16:uniqueId val="{00000003-899C-4AA2-81DD-FC1BE7131882}"/>
            </c:ext>
          </c:extLst>
        </c:ser>
        <c:ser>
          <c:idx val="0"/>
          <c:order val="4"/>
          <c:tx>
            <c:v>UTILIDAD NETA</c:v>
          </c:tx>
          <c:spPr>
            <a:solidFill>
              <a:schemeClr val="accent1"/>
            </a:solidFill>
            <a:ln>
              <a:noFill/>
            </a:ln>
            <a:effectLst/>
            <a:sp3d/>
          </c:spPr>
          <c:invertIfNegative val="0"/>
          <c:val>
            <c:numRef>
              <c:f>'INDICADORES BASICOS'!$E$52</c:f>
              <c:numCache>
                <c:formatCode>0.00%</c:formatCode>
                <c:ptCount val="1"/>
                <c:pt idx="0">
                  <c:v>4.8500122339124054</c:v>
                </c:pt>
              </c:numCache>
            </c:numRef>
          </c:val>
          <c:extLst>
            <c:ext xmlns:c16="http://schemas.microsoft.com/office/drawing/2014/chart" uri="{C3380CC4-5D6E-409C-BE32-E72D297353CC}">
              <c16:uniqueId val="{00000004-899C-4AA2-81DD-FC1BE7131882}"/>
            </c:ext>
          </c:extLst>
        </c:ser>
        <c:dLbls>
          <c:showLegendKey val="0"/>
          <c:showVal val="0"/>
          <c:showCatName val="0"/>
          <c:showSerName val="0"/>
          <c:showPercent val="0"/>
          <c:showBubbleSize val="0"/>
        </c:dLbls>
        <c:gapWidth val="150"/>
        <c:shape val="box"/>
        <c:axId val="263544624"/>
        <c:axId val="263545184"/>
        <c:axId val="0"/>
      </c:bar3DChart>
      <c:catAx>
        <c:axId val="263544624"/>
        <c:scaling>
          <c:orientation val="minMax"/>
        </c:scaling>
        <c:delete val="1"/>
        <c:axPos val="l"/>
        <c:majorTickMark val="none"/>
        <c:minorTickMark val="none"/>
        <c:tickLblPos val="nextTo"/>
        <c:crossAx val="263545184"/>
        <c:crosses val="autoZero"/>
        <c:auto val="1"/>
        <c:lblAlgn val="ctr"/>
        <c:lblOffset val="100"/>
        <c:noMultiLvlLbl val="0"/>
      </c:catAx>
      <c:valAx>
        <c:axId val="263545184"/>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63544624"/>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4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1" i="0" u="none" strike="noStrike" kern="1200" cap="all" spc="120" normalizeH="0" baseline="0">
                <a:solidFill>
                  <a:schemeClr val="tx1">
                    <a:lumMod val="65000"/>
                    <a:lumOff val="35000"/>
                  </a:schemeClr>
                </a:solidFill>
                <a:latin typeface="+mn-lt"/>
                <a:ea typeface="+mn-ea"/>
                <a:cs typeface="+mn-cs"/>
              </a:defRPr>
            </a:pPr>
            <a:r>
              <a:rPr lang="es-CO" sz="1200"/>
              <a:t>VARIACIÓN ESTADO</a:t>
            </a:r>
            <a:r>
              <a:rPr lang="es-CO" sz="1200" baseline="0"/>
              <a:t> DE RESULTADOS 2016-2015</a:t>
            </a:r>
            <a:endParaRPr lang="es-CO" sz="1200"/>
          </a:p>
        </c:rich>
      </c:tx>
      <c:overlay val="0"/>
      <c:spPr>
        <a:noFill/>
        <a:ln>
          <a:noFill/>
        </a:ln>
        <a:effectLst/>
      </c:spPr>
    </c:title>
    <c:autoTitleDeleted val="0"/>
    <c:plotArea>
      <c:layout/>
      <c:lineChart>
        <c:grouping val="standard"/>
        <c:varyColors val="0"/>
        <c:ser>
          <c:idx val="0"/>
          <c:order val="0"/>
          <c:tx>
            <c:strRef>
              <c:f>'INDICADORES BASICOS'!$B$26</c:f>
              <c:strCache>
                <c:ptCount val="1"/>
                <c:pt idx="0">
                  <c:v>INGRESOS OPERACIONALES</c:v>
                </c:pt>
              </c:strCache>
            </c:strRef>
          </c:tx>
          <c:spPr>
            <a:ln w="22225" cap="rnd">
              <a:solidFill>
                <a:schemeClr val="accent1"/>
              </a:solidFill>
              <a:round/>
            </a:ln>
            <a:effectLst/>
          </c:spPr>
          <c:marker>
            <c:symbol val="diamond"/>
            <c:size val="6"/>
            <c:spPr>
              <a:solidFill>
                <a:schemeClr val="accent1"/>
              </a:solidFill>
              <a:ln w="9525">
                <a:solidFill>
                  <a:schemeClr val="accent1"/>
                </a:solidFill>
                <a:round/>
              </a:ln>
              <a:effectLst/>
            </c:spPr>
          </c:marker>
          <c:cat>
            <c:numRef>
              <c:f>'INDICADORES BASICOS'!$I$25:$J$25</c:f>
              <c:numCache>
                <c:formatCode>General</c:formatCode>
                <c:ptCount val="2"/>
              </c:numCache>
            </c:numRef>
          </c:cat>
          <c:val>
            <c:numRef>
              <c:f>('INDICADORES BASICOS'!$C$26,'INDICADORES BASICOS'!$F$26)</c:f>
              <c:numCache>
                <c:formatCode>"$"\ #,##0</c:formatCode>
                <c:ptCount val="2"/>
                <c:pt idx="0" formatCode="&quot;$&quot;\ #,##0_);[Red]\(&quot;$&quot;\ #,##0\)">
                  <c:v>663086000</c:v>
                </c:pt>
                <c:pt idx="1">
                  <c:v>344142000</c:v>
                </c:pt>
              </c:numCache>
            </c:numRef>
          </c:val>
          <c:smooth val="0"/>
          <c:extLst>
            <c:ext xmlns:c16="http://schemas.microsoft.com/office/drawing/2014/chart" uri="{C3380CC4-5D6E-409C-BE32-E72D297353CC}">
              <c16:uniqueId val="{00000000-A735-8449-A1E7-9B2691E59FD1}"/>
            </c:ext>
          </c:extLst>
        </c:ser>
        <c:ser>
          <c:idx val="1"/>
          <c:order val="1"/>
          <c:tx>
            <c:strRef>
              <c:f>'INDICADORES BASICOS'!$B$31</c:f>
              <c:strCache>
                <c:ptCount val="1"/>
                <c:pt idx="0">
                  <c:v>UTILIDAD OPERACIONAL</c:v>
                </c:pt>
              </c:strCache>
            </c:strRef>
          </c:tx>
          <c:spPr>
            <a:ln w="22225" cap="rnd">
              <a:solidFill>
                <a:schemeClr val="accent2"/>
              </a:solidFill>
              <a:round/>
            </a:ln>
            <a:effectLst/>
          </c:spPr>
          <c:marker>
            <c:symbol val="square"/>
            <c:size val="6"/>
            <c:spPr>
              <a:solidFill>
                <a:schemeClr val="accent2"/>
              </a:solidFill>
              <a:ln w="9525">
                <a:solidFill>
                  <a:schemeClr val="accent2"/>
                </a:solidFill>
                <a:round/>
              </a:ln>
              <a:effectLst/>
            </c:spPr>
          </c:marker>
          <c:cat>
            <c:numRef>
              <c:f>'INDICADORES BASICOS'!$I$25:$J$25</c:f>
              <c:numCache>
                <c:formatCode>General</c:formatCode>
                <c:ptCount val="2"/>
              </c:numCache>
            </c:numRef>
          </c:cat>
          <c:val>
            <c:numRef>
              <c:f>('INDICADORES BASICOS'!$C$31,'INDICADORES BASICOS'!$F$31)</c:f>
              <c:numCache>
                <c:formatCode>"$"\ #,##0</c:formatCode>
                <c:ptCount val="2"/>
                <c:pt idx="0" formatCode="[$$-240A]\ #,##0">
                  <c:v>38383000</c:v>
                </c:pt>
                <c:pt idx="1">
                  <c:v>72212000</c:v>
                </c:pt>
              </c:numCache>
            </c:numRef>
          </c:val>
          <c:smooth val="0"/>
          <c:extLst>
            <c:ext xmlns:c16="http://schemas.microsoft.com/office/drawing/2014/chart" uri="{C3380CC4-5D6E-409C-BE32-E72D297353CC}">
              <c16:uniqueId val="{00000001-A735-8449-A1E7-9B2691E59FD1}"/>
            </c:ext>
          </c:extLst>
        </c:ser>
        <c:ser>
          <c:idx val="2"/>
          <c:order val="2"/>
          <c:tx>
            <c:strRef>
              <c:f>'INDICADORES BASICOS'!$B$37</c:f>
              <c:strCache>
                <c:ptCount val="1"/>
                <c:pt idx="0">
                  <c:v>UTILIDAD NETA</c:v>
                </c:pt>
              </c:strCache>
            </c:strRef>
          </c:tx>
          <c:spPr>
            <a:ln w="22225" cap="rnd">
              <a:solidFill>
                <a:schemeClr val="accent3"/>
              </a:solidFill>
              <a:round/>
            </a:ln>
            <a:effectLst/>
          </c:spPr>
          <c:marker>
            <c:symbol val="triangle"/>
            <c:size val="6"/>
            <c:spPr>
              <a:solidFill>
                <a:schemeClr val="accent3"/>
              </a:solidFill>
              <a:ln w="9525">
                <a:solidFill>
                  <a:schemeClr val="accent3"/>
                </a:solidFill>
                <a:round/>
              </a:ln>
              <a:effectLst/>
            </c:spPr>
          </c:marker>
          <c:cat>
            <c:numRef>
              <c:f>'INDICADORES BASICOS'!$I$25:$J$25</c:f>
              <c:numCache>
                <c:formatCode>General</c:formatCode>
                <c:ptCount val="2"/>
              </c:numCache>
            </c:numRef>
          </c:cat>
          <c:val>
            <c:numRef>
              <c:f>('INDICADORES BASICOS'!$C$37,'INDICADORES BASICOS'!$F$37)</c:f>
              <c:numCache>
                <c:formatCode>"$"\ #,##0</c:formatCode>
                <c:ptCount val="2"/>
                <c:pt idx="0" formatCode="[$$-240A]\ #,##0">
                  <c:v>23753000</c:v>
                </c:pt>
                <c:pt idx="1">
                  <c:v>47818000</c:v>
                </c:pt>
              </c:numCache>
            </c:numRef>
          </c:val>
          <c:smooth val="0"/>
          <c:extLst>
            <c:ext xmlns:c16="http://schemas.microsoft.com/office/drawing/2014/chart" uri="{C3380CC4-5D6E-409C-BE32-E72D297353CC}">
              <c16:uniqueId val="{00000002-A735-8449-A1E7-9B2691E59FD1}"/>
            </c:ext>
          </c:extLst>
        </c:ser>
        <c:dLbls>
          <c:showLegendKey val="0"/>
          <c:showVal val="0"/>
          <c:showCatName val="0"/>
          <c:showSerName val="0"/>
          <c:showPercent val="0"/>
          <c:showBubbleSize val="0"/>
        </c:dLbls>
        <c:hiLowLines>
          <c:spPr>
            <a:ln w="9525">
              <a:solidFill>
                <a:schemeClr val="tx1">
                  <a:lumMod val="50000"/>
                  <a:lumOff val="50000"/>
                </a:schemeClr>
              </a:solidFill>
            </a:ln>
            <a:effectLst/>
          </c:spPr>
        </c:hiLowLines>
        <c:marker val="1"/>
        <c:smooth val="0"/>
        <c:axId val="263549104"/>
        <c:axId val="263549664"/>
      </c:lineChart>
      <c:catAx>
        <c:axId val="26354910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0" i="0" u="none" strike="noStrike" kern="1200" cap="all" spc="120" normalizeH="0" baseline="0">
                <a:solidFill>
                  <a:schemeClr val="tx1">
                    <a:lumMod val="65000"/>
                    <a:lumOff val="35000"/>
                  </a:schemeClr>
                </a:solidFill>
                <a:latin typeface="+mn-lt"/>
                <a:ea typeface="+mn-ea"/>
                <a:cs typeface="+mn-cs"/>
              </a:defRPr>
            </a:pPr>
            <a:endParaRPr lang="es-CO"/>
          </a:p>
        </c:txPr>
        <c:crossAx val="263549664"/>
        <c:crosses val="autoZero"/>
        <c:auto val="1"/>
        <c:lblAlgn val="ctr"/>
        <c:lblOffset val="100"/>
        <c:noMultiLvlLbl val="0"/>
      </c:catAx>
      <c:valAx>
        <c:axId val="263549664"/>
        <c:scaling>
          <c:orientation val="minMax"/>
        </c:scaling>
        <c:delete val="0"/>
        <c:axPos val="l"/>
        <c:majorGridlines>
          <c:spPr>
            <a:ln w="9525" cap="flat" cmpd="sng" algn="ctr">
              <a:solidFill>
                <a:schemeClr val="tx1">
                  <a:lumMod val="15000"/>
                  <a:lumOff val="85000"/>
                </a:schemeClr>
              </a:solidFill>
              <a:round/>
            </a:ln>
            <a:effectLst/>
          </c:spPr>
        </c:majorGridlines>
        <c:numFmt formatCode="&quot;$&quot;\ #,##0_);[Red]\(&quot;$&quot;\ #,##0\)" sourceLinked="1"/>
        <c:majorTickMark val="out"/>
        <c:minorTickMark val="none"/>
        <c:tickLblPos val="nextTo"/>
        <c:spPr>
          <a:noFill/>
          <a:ln w="9525" cap="flat" cmpd="sng" algn="ctr">
            <a:solidFill>
              <a:schemeClr val="dk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63549104"/>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lt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5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1" i="0" u="none" strike="noStrike" kern="1200" cap="all" spc="120" normalizeH="0" baseline="0">
                <a:solidFill>
                  <a:schemeClr val="tx1">
                    <a:lumMod val="65000"/>
                    <a:lumOff val="35000"/>
                  </a:schemeClr>
                </a:solidFill>
                <a:latin typeface="+mn-lt"/>
                <a:ea typeface="+mn-ea"/>
                <a:cs typeface="+mn-cs"/>
              </a:defRPr>
            </a:pPr>
            <a:r>
              <a:rPr lang="es-CO" sz="1200"/>
              <a:t>VARIACIÓN ESTADO</a:t>
            </a:r>
            <a:r>
              <a:rPr lang="es-CO" sz="1200" baseline="0"/>
              <a:t> DE RESULTADOS 2015-2014</a:t>
            </a:r>
            <a:endParaRPr lang="es-CO" sz="1200"/>
          </a:p>
        </c:rich>
      </c:tx>
      <c:overlay val="0"/>
      <c:spPr>
        <a:noFill/>
        <a:ln>
          <a:noFill/>
        </a:ln>
        <a:effectLst/>
      </c:spPr>
    </c:title>
    <c:autoTitleDeleted val="0"/>
    <c:plotArea>
      <c:layout/>
      <c:lineChart>
        <c:grouping val="standard"/>
        <c:varyColors val="0"/>
        <c:ser>
          <c:idx val="0"/>
          <c:order val="0"/>
          <c:tx>
            <c:strRef>
              <c:f>'INDICADORES BASICOS'!$B$26</c:f>
              <c:strCache>
                <c:ptCount val="1"/>
                <c:pt idx="0">
                  <c:v>INGRESOS OPERACIONALES</c:v>
                </c:pt>
              </c:strCache>
            </c:strRef>
          </c:tx>
          <c:spPr>
            <a:ln w="22225" cap="rnd">
              <a:solidFill>
                <a:schemeClr val="accent1"/>
              </a:solidFill>
              <a:round/>
            </a:ln>
            <a:effectLst/>
          </c:spPr>
          <c:marker>
            <c:symbol val="diamond"/>
            <c:size val="6"/>
            <c:spPr>
              <a:solidFill>
                <a:schemeClr val="accent1"/>
              </a:solidFill>
              <a:ln w="9525">
                <a:solidFill>
                  <a:schemeClr val="accent1"/>
                </a:solidFill>
                <a:round/>
              </a:ln>
              <a:effectLst/>
            </c:spPr>
          </c:marker>
          <c:cat>
            <c:numRef>
              <c:f>'INDICADORES BASICOS'!$I$43:$J$43</c:f>
              <c:numCache>
                <c:formatCode>General</c:formatCode>
                <c:ptCount val="2"/>
              </c:numCache>
            </c:numRef>
          </c:cat>
          <c:val>
            <c:numRef>
              <c:f>('INDICADORES BASICOS'!$C$42,'INDICADORES BASICOS'!$F$42)</c:f>
              <c:numCache>
                <c:formatCode>[$$-240A]\ #,##0</c:formatCode>
                <c:ptCount val="2"/>
                <c:pt idx="0" formatCode="&quot;$&quot;\ #,##0">
                  <c:v>344142000</c:v>
                </c:pt>
                <c:pt idx="1">
                  <c:v>61980000</c:v>
                </c:pt>
              </c:numCache>
            </c:numRef>
          </c:val>
          <c:smooth val="0"/>
          <c:extLst>
            <c:ext xmlns:c16="http://schemas.microsoft.com/office/drawing/2014/chart" uri="{C3380CC4-5D6E-409C-BE32-E72D297353CC}">
              <c16:uniqueId val="{00000000-423A-9E48-878E-313695F646D7}"/>
            </c:ext>
          </c:extLst>
        </c:ser>
        <c:ser>
          <c:idx val="1"/>
          <c:order val="1"/>
          <c:tx>
            <c:strRef>
              <c:f>'INDICADORES BASICOS'!$B$31</c:f>
              <c:strCache>
                <c:ptCount val="1"/>
                <c:pt idx="0">
                  <c:v>UTILIDAD OPERACIONAL</c:v>
                </c:pt>
              </c:strCache>
            </c:strRef>
          </c:tx>
          <c:spPr>
            <a:ln w="22225" cap="rnd">
              <a:solidFill>
                <a:schemeClr val="accent2"/>
              </a:solidFill>
              <a:round/>
            </a:ln>
            <a:effectLst/>
          </c:spPr>
          <c:marker>
            <c:symbol val="square"/>
            <c:size val="6"/>
            <c:spPr>
              <a:solidFill>
                <a:schemeClr val="accent2"/>
              </a:solidFill>
              <a:ln w="9525">
                <a:solidFill>
                  <a:schemeClr val="accent2"/>
                </a:solidFill>
                <a:round/>
              </a:ln>
              <a:effectLst/>
            </c:spPr>
          </c:marker>
          <c:cat>
            <c:numRef>
              <c:f>'INDICADORES BASICOS'!$I$43:$J$43</c:f>
              <c:numCache>
                <c:formatCode>General</c:formatCode>
                <c:ptCount val="2"/>
              </c:numCache>
            </c:numRef>
          </c:cat>
          <c:val>
            <c:numRef>
              <c:f>('INDICADORES BASICOS'!$C$46,'INDICADORES BASICOS'!$F$46)</c:f>
              <c:numCache>
                <c:formatCode>[$$-240A]\ #,##0</c:formatCode>
                <c:ptCount val="2"/>
                <c:pt idx="0" formatCode="&quot;$&quot;\ #,##0">
                  <c:v>72212000</c:v>
                </c:pt>
                <c:pt idx="1">
                  <c:v>8174000</c:v>
                </c:pt>
              </c:numCache>
            </c:numRef>
          </c:val>
          <c:smooth val="0"/>
          <c:extLst>
            <c:ext xmlns:c16="http://schemas.microsoft.com/office/drawing/2014/chart" uri="{C3380CC4-5D6E-409C-BE32-E72D297353CC}">
              <c16:uniqueId val="{00000001-423A-9E48-878E-313695F646D7}"/>
            </c:ext>
          </c:extLst>
        </c:ser>
        <c:ser>
          <c:idx val="2"/>
          <c:order val="2"/>
          <c:tx>
            <c:strRef>
              <c:f>'INDICADORES BASICOS'!$B$37</c:f>
              <c:strCache>
                <c:ptCount val="1"/>
                <c:pt idx="0">
                  <c:v>UTILIDAD NETA</c:v>
                </c:pt>
              </c:strCache>
            </c:strRef>
          </c:tx>
          <c:spPr>
            <a:ln w="22225" cap="rnd">
              <a:solidFill>
                <a:schemeClr val="accent3"/>
              </a:solidFill>
              <a:round/>
            </a:ln>
            <a:effectLst/>
          </c:spPr>
          <c:marker>
            <c:symbol val="triangle"/>
            <c:size val="6"/>
            <c:spPr>
              <a:solidFill>
                <a:schemeClr val="accent3"/>
              </a:solidFill>
              <a:ln w="9525">
                <a:solidFill>
                  <a:schemeClr val="accent3"/>
                </a:solidFill>
                <a:round/>
              </a:ln>
              <a:effectLst/>
            </c:spPr>
          </c:marker>
          <c:cat>
            <c:numRef>
              <c:f>'INDICADORES BASICOS'!$I$43:$J$43</c:f>
              <c:numCache>
                <c:formatCode>General</c:formatCode>
                <c:ptCount val="2"/>
              </c:numCache>
            </c:numRef>
          </c:cat>
          <c:val>
            <c:numRef>
              <c:f>('INDICADORES BASICOS'!$C$52,'INDICADORES BASICOS'!$F$52)</c:f>
              <c:numCache>
                <c:formatCode>[$$-240A]\ #,##0</c:formatCode>
                <c:ptCount val="2"/>
                <c:pt idx="0" formatCode="&quot;$&quot;\ #,##0">
                  <c:v>47818000</c:v>
                </c:pt>
                <c:pt idx="1">
                  <c:v>8174000</c:v>
                </c:pt>
              </c:numCache>
            </c:numRef>
          </c:val>
          <c:smooth val="0"/>
          <c:extLst>
            <c:ext xmlns:c16="http://schemas.microsoft.com/office/drawing/2014/chart" uri="{C3380CC4-5D6E-409C-BE32-E72D297353CC}">
              <c16:uniqueId val="{00000002-423A-9E48-878E-313695F646D7}"/>
            </c:ext>
          </c:extLst>
        </c:ser>
        <c:dLbls>
          <c:showLegendKey val="0"/>
          <c:showVal val="0"/>
          <c:showCatName val="0"/>
          <c:showSerName val="0"/>
          <c:showPercent val="0"/>
          <c:showBubbleSize val="0"/>
        </c:dLbls>
        <c:hiLowLines>
          <c:spPr>
            <a:ln w="9525">
              <a:solidFill>
                <a:schemeClr val="tx1">
                  <a:lumMod val="50000"/>
                  <a:lumOff val="50000"/>
                </a:schemeClr>
              </a:solidFill>
            </a:ln>
            <a:effectLst/>
          </c:spPr>
        </c:hiLowLines>
        <c:marker val="1"/>
        <c:smooth val="0"/>
        <c:axId val="263794944"/>
        <c:axId val="263795504"/>
      </c:lineChart>
      <c:catAx>
        <c:axId val="26379494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0" i="0" u="none" strike="noStrike" kern="1200" cap="all" spc="120" normalizeH="0" baseline="0">
                <a:solidFill>
                  <a:schemeClr val="tx1">
                    <a:lumMod val="65000"/>
                    <a:lumOff val="35000"/>
                  </a:schemeClr>
                </a:solidFill>
                <a:latin typeface="+mn-lt"/>
                <a:ea typeface="+mn-ea"/>
                <a:cs typeface="+mn-cs"/>
              </a:defRPr>
            </a:pPr>
            <a:endParaRPr lang="es-CO"/>
          </a:p>
        </c:txPr>
        <c:crossAx val="263795504"/>
        <c:crosses val="autoZero"/>
        <c:auto val="1"/>
        <c:lblAlgn val="ctr"/>
        <c:lblOffset val="100"/>
        <c:noMultiLvlLbl val="0"/>
      </c:catAx>
      <c:valAx>
        <c:axId val="263795504"/>
        <c:scaling>
          <c:orientation val="minMax"/>
        </c:scaling>
        <c:delete val="0"/>
        <c:axPos val="l"/>
        <c:majorGridlines>
          <c:spPr>
            <a:ln w="9525" cap="flat" cmpd="sng" algn="ctr">
              <a:solidFill>
                <a:schemeClr val="tx1">
                  <a:lumMod val="15000"/>
                  <a:lumOff val="85000"/>
                </a:schemeClr>
              </a:solidFill>
              <a:round/>
            </a:ln>
            <a:effectLst/>
          </c:spPr>
        </c:majorGridlines>
        <c:numFmt formatCode="&quot;$&quot;\ #,##0" sourceLinked="1"/>
        <c:majorTickMark val="out"/>
        <c:minorTickMark val="none"/>
        <c:tickLblPos val="nextTo"/>
        <c:spPr>
          <a:noFill/>
          <a:ln w="9525" cap="flat" cmpd="sng" algn="ctr">
            <a:solidFill>
              <a:schemeClr val="dk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63794944"/>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lt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5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s-CO"/>
              <a:t>VARIACIÓN</a:t>
            </a:r>
            <a:r>
              <a:rPr lang="es-CO" baseline="0"/>
              <a:t> SITUACIÓN FINANCIERA 2016-2015</a:t>
            </a:r>
            <a:endParaRPr lang="es-CO"/>
          </a:p>
        </c:rich>
      </c:tx>
      <c:overlay val="0"/>
      <c:spPr>
        <a:noFill/>
        <a:ln>
          <a:noFill/>
        </a:ln>
        <a:effectLst/>
      </c:spPr>
    </c:title>
    <c:autoTitleDeleted val="0"/>
    <c:plotArea>
      <c:layout/>
      <c:lineChart>
        <c:grouping val="standard"/>
        <c:varyColors val="0"/>
        <c:ser>
          <c:idx val="0"/>
          <c:order val="0"/>
          <c:tx>
            <c:strRef>
              <c:f>'INDICADORES BASICOS'!$B$60</c:f>
              <c:strCache>
                <c:ptCount val="1"/>
                <c:pt idx="0">
                  <c:v>TOTAL ACTIVOS CORRIENTES</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cat>
            <c:numRef>
              <c:f>'INDICADORES BASICOS'!$I$25:$J$25</c:f>
              <c:numCache>
                <c:formatCode>General</c:formatCode>
                <c:ptCount val="2"/>
              </c:numCache>
            </c:numRef>
          </c:cat>
          <c:val>
            <c:numRef>
              <c:f>('INDICADORES BASICOS'!$C$91,'INDICADORES BASICOS'!$F$91)</c:f>
              <c:numCache>
                <c:formatCode>"$"\ #,##0</c:formatCode>
                <c:ptCount val="2"/>
                <c:pt idx="0" formatCode="&quot;$&quot;\ #,##0_);[Red]\(&quot;$&quot;\ #,##0\)">
                  <c:v>137056000</c:v>
                </c:pt>
                <c:pt idx="1">
                  <c:v>47151000</c:v>
                </c:pt>
              </c:numCache>
            </c:numRef>
          </c:val>
          <c:smooth val="0"/>
          <c:extLst>
            <c:ext xmlns:c16="http://schemas.microsoft.com/office/drawing/2014/chart" uri="{C3380CC4-5D6E-409C-BE32-E72D297353CC}">
              <c16:uniqueId val="{00000000-A19A-C343-A02C-4D723095BB18}"/>
            </c:ext>
          </c:extLst>
        </c:ser>
        <c:ser>
          <c:idx val="1"/>
          <c:order val="1"/>
          <c:tx>
            <c:strRef>
              <c:f>'INDICADORES BASICOS'!$B$64</c:f>
              <c:strCache>
                <c:ptCount val="1"/>
                <c:pt idx="0">
                  <c:v>TOTAL ACTIVO</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cat>
            <c:numRef>
              <c:f>'INDICADORES BASICOS'!$I$25:$J$25</c:f>
              <c:numCache>
                <c:formatCode>General</c:formatCode>
                <c:ptCount val="2"/>
              </c:numCache>
            </c:numRef>
          </c:cat>
          <c:val>
            <c:numRef>
              <c:f>('INDICADORES BASICOS'!$C$95,'INDICADORES BASICOS'!$F$95)</c:f>
              <c:numCache>
                <c:formatCode>"$"\ #,##0</c:formatCode>
                <c:ptCount val="2"/>
                <c:pt idx="0" formatCode="&quot;$&quot;\ #,##0_);[Red]\(&quot;$&quot;\ #,##0\)">
                  <c:v>859045000</c:v>
                </c:pt>
                <c:pt idx="1">
                  <c:v>798251000</c:v>
                </c:pt>
              </c:numCache>
            </c:numRef>
          </c:val>
          <c:smooth val="0"/>
          <c:extLst>
            <c:ext xmlns:c16="http://schemas.microsoft.com/office/drawing/2014/chart" uri="{C3380CC4-5D6E-409C-BE32-E72D297353CC}">
              <c16:uniqueId val="{00000001-A19A-C343-A02C-4D723095BB18}"/>
            </c:ext>
          </c:extLst>
        </c:ser>
        <c:ser>
          <c:idx val="2"/>
          <c:order val="2"/>
          <c:tx>
            <c:strRef>
              <c:f>'INDICADORES BASICOS'!$B$73</c:f>
              <c:strCache>
                <c:ptCount val="1"/>
                <c:pt idx="0">
                  <c:v>TOTAL PASIVO CORRIENTE</c:v>
                </c:pt>
              </c:strCache>
            </c:strRef>
          </c:tx>
          <c:spPr>
            <a:ln w="28575" cap="rnd">
              <a:solidFill>
                <a:schemeClr val="accent3"/>
              </a:solidFill>
              <a:round/>
            </a:ln>
            <a:effectLst/>
          </c:spPr>
          <c:marker>
            <c:symbol val="circle"/>
            <c:size val="5"/>
            <c:spPr>
              <a:solidFill>
                <a:schemeClr val="accent3"/>
              </a:solidFill>
              <a:ln w="9525">
                <a:solidFill>
                  <a:schemeClr val="accent3"/>
                </a:solidFill>
              </a:ln>
              <a:effectLst/>
            </c:spPr>
          </c:marker>
          <c:cat>
            <c:numRef>
              <c:f>'INDICADORES BASICOS'!$I$25:$J$25</c:f>
              <c:numCache>
                <c:formatCode>General</c:formatCode>
                <c:ptCount val="2"/>
              </c:numCache>
            </c:numRef>
          </c:cat>
          <c:val>
            <c:numRef>
              <c:f>('INDICADORES BASICOS'!$C$104,'INDICADORES BASICOS'!$F$104)</c:f>
              <c:numCache>
                <c:formatCode>[$$-240A]\ #,##0</c:formatCode>
                <c:ptCount val="2"/>
                <c:pt idx="0" formatCode="&quot;$&quot;\ #,##0">
                  <c:v>162080000</c:v>
                </c:pt>
                <c:pt idx="1">
                  <c:v>125039000</c:v>
                </c:pt>
              </c:numCache>
            </c:numRef>
          </c:val>
          <c:smooth val="0"/>
          <c:extLst>
            <c:ext xmlns:c16="http://schemas.microsoft.com/office/drawing/2014/chart" uri="{C3380CC4-5D6E-409C-BE32-E72D297353CC}">
              <c16:uniqueId val="{00000002-A19A-C343-A02C-4D723095BB18}"/>
            </c:ext>
          </c:extLst>
        </c:ser>
        <c:ser>
          <c:idx val="3"/>
          <c:order val="3"/>
          <c:tx>
            <c:strRef>
              <c:f>'INDICADORES BASICOS'!$B$74</c:f>
              <c:strCache>
                <c:ptCount val="1"/>
                <c:pt idx="0">
                  <c:v>TOTAL PASIVO</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cat>
            <c:numRef>
              <c:f>'INDICADORES BASICOS'!$I$25:$J$25</c:f>
              <c:numCache>
                <c:formatCode>General</c:formatCode>
                <c:ptCount val="2"/>
              </c:numCache>
            </c:numRef>
          </c:cat>
          <c:val>
            <c:numRef>
              <c:f>('INDICADORES BASICOS'!$C$105,'INDICADORES BASICOS'!$F$105)</c:f>
              <c:numCache>
                <c:formatCode>[$$-240A]\ #,##0</c:formatCode>
                <c:ptCount val="2"/>
                <c:pt idx="0" formatCode="&quot;$&quot;\ #,##0">
                  <c:v>162080000</c:v>
                </c:pt>
                <c:pt idx="1">
                  <c:v>125039000</c:v>
                </c:pt>
              </c:numCache>
            </c:numRef>
          </c:val>
          <c:smooth val="0"/>
          <c:extLst>
            <c:ext xmlns:c16="http://schemas.microsoft.com/office/drawing/2014/chart" uri="{C3380CC4-5D6E-409C-BE32-E72D297353CC}">
              <c16:uniqueId val="{00000003-A19A-C343-A02C-4D723095BB18}"/>
            </c:ext>
          </c:extLst>
        </c:ser>
        <c:ser>
          <c:idx val="4"/>
          <c:order val="4"/>
          <c:tx>
            <c:strRef>
              <c:f>'INDICADORES BASICOS'!$B$81</c:f>
              <c:strCache>
                <c:ptCount val="1"/>
                <c:pt idx="0">
                  <c:v>TOTAL PATRIMONIO</c:v>
                </c:pt>
              </c:strCache>
            </c:strRef>
          </c:tx>
          <c:spPr>
            <a:ln w="28575" cap="rnd">
              <a:solidFill>
                <a:schemeClr val="accent5"/>
              </a:solidFill>
              <a:round/>
            </a:ln>
            <a:effectLst/>
          </c:spPr>
          <c:marker>
            <c:symbol val="circle"/>
            <c:size val="5"/>
            <c:spPr>
              <a:solidFill>
                <a:schemeClr val="accent5"/>
              </a:solidFill>
              <a:ln w="9525">
                <a:solidFill>
                  <a:schemeClr val="accent5"/>
                </a:solidFill>
              </a:ln>
              <a:effectLst/>
            </c:spPr>
          </c:marker>
          <c:cat>
            <c:numRef>
              <c:f>'INDICADORES BASICOS'!$I$25:$J$25</c:f>
              <c:numCache>
                <c:formatCode>General</c:formatCode>
                <c:ptCount val="2"/>
              </c:numCache>
            </c:numRef>
          </c:cat>
          <c:val>
            <c:numRef>
              <c:f>('INDICADORES BASICOS'!$C$112,'INDICADORES BASICOS'!$F$112)</c:f>
              <c:numCache>
                <c:formatCode>"$"\ #,##0</c:formatCode>
                <c:ptCount val="2"/>
                <c:pt idx="0">
                  <c:v>696965000</c:v>
                </c:pt>
                <c:pt idx="1">
                  <c:v>673212000</c:v>
                </c:pt>
              </c:numCache>
            </c:numRef>
          </c:val>
          <c:smooth val="0"/>
          <c:extLst>
            <c:ext xmlns:c16="http://schemas.microsoft.com/office/drawing/2014/chart" uri="{C3380CC4-5D6E-409C-BE32-E72D297353CC}">
              <c16:uniqueId val="{00000004-A19A-C343-A02C-4D723095BB18}"/>
            </c:ext>
          </c:extLst>
        </c:ser>
        <c:dLbls>
          <c:showLegendKey val="0"/>
          <c:showVal val="0"/>
          <c:showCatName val="0"/>
          <c:showSerName val="0"/>
          <c:showPercent val="0"/>
          <c:showBubbleSize val="0"/>
        </c:dLbls>
        <c:marker val="1"/>
        <c:smooth val="0"/>
        <c:axId val="263800544"/>
        <c:axId val="263801104"/>
      </c:lineChart>
      <c:catAx>
        <c:axId val="26380054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63801104"/>
        <c:crosses val="autoZero"/>
        <c:auto val="1"/>
        <c:lblAlgn val="ctr"/>
        <c:lblOffset val="100"/>
        <c:noMultiLvlLbl val="0"/>
      </c:catAx>
      <c:valAx>
        <c:axId val="263801104"/>
        <c:scaling>
          <c:orientation val="minMax"/>
        </c:scaling>
        <c:delete val="0"/>
        <c:axPos val="l"/>
        <c:majorGridlines>
          <c:spPr>
            <a:ln w="9525" cap="flat" cmpd="sng" algn="ctr">
              <a:solidFill>
                <a:schemeClr val="tx1">
                  <a:lumMod val="15000"/>
                  <a:lumOff val="85000"/>
                </a:schemeClr>
              </a:solidFill>
              <a:round/>
            </a:ln>
            <a:effectLst/>
          </c:spPr>
        </c:majorGridlines>
        <c:numFmt formatCode="&quot;$&quot;\ #,##0_);[Red]\(&quot;$&quot;\ #,##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63800544"/>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5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s-CO"/>
              <a:t>VARIACIÓN</a:t>
            </a:r>
            <a:r>
              <a:rPr lang="es-CO" baseline="0"/>
              <a:t> SITUACIÓN FINANCIERA 2015-2014</a:t>
            </a:r>
            <a:endParaRPr lang="es-CO"/>
          </a:p>
        </c:rich>
      </c:tx>
      <c:overlay val="0"/>
      <c:spPr>
        <a:noFill/>
        <a:ln>
          <a:noFill/>
        </a:ln>
        <a:effectLst/>
      </c:spPr>
    </c:title>
    <c:autoTitleDeleted val="0"/>
    <c:plotArea>
      <c:layout/>
      <c:lineChart>
        <c:grouping val="standard"/>
        <c:varyColors val="0"/>
        <c:ser>
          <c:idx val="0"/>
          <c:order val="0"/>
          <c:tx>
            <c:strRef>
              <c:f>'INDICADORES BASICOS'!$B$60</c:f>
              <c:strCache>
                <c:ptCount val="1"/>
                <c:pt idx="0">
                  <c:v>TOTAL ACTIVOS CORRIENTES</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cat>
            <c:numRef>
              <c:f>'INDICADORES BASICOS'!$I$43:$J$43</c:f>
              <c:numCache>
                <c:formatCode>General</c:formatCode>
                <c:ptCount val="2"/>
              </c:numCache>
            </c:numRef>
          </c:cat>
          <c:val>
            <c:numRef>
              <c:f>('INDICADORES BASICOS'!$C$121,'INDICADORES BASICOS'!$F$121)</c:f>
              <c:numCache>
                <c:formatCode>"$"\ #,##0</c:formatCode>
                <c:ptCount val="2"/>
                <c:pt idx="0">
                  <c:v>47151000</c:v>
                </c:pt>
                <c:pt idx="1">
                  <c:v>57903000</c:v>
                </c:pt>
              </c:numCache>
            </c:numRef>
          </c:val>
          <c:smooth val="0"/>
          <c:extLst>
            <c:ext xmlns:c16="http://schemas.microsoft.com/office/drawing/2014/chart" uri="{C3380CC4-5D6E-409C-BE32-E72D297353CC}">
              <c16:uniqueId val="{00000000-290C-724D-8BA0-6C65A68FA433}"/>
            </c:ext>
          </c:extLst>
        </c:ser>
        <c:ser>
          <c:idx val="1"/>
          <c:order val="1"/>
          <c:tx>
            <c:strRef>
              <c:f>'INDICADORES BASICOS'!$B$64</c:f>
              <c:strCache>
                <c:ptCount val="1"/>
                <c:pt idx="0">
                  <c:v>TOTAL ACTIVO</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cat>
            <c:numRef>
              <c:f>'INDICADORES BASICOS'!$I$43:$J$43</c:f>
              <c:numCache>
                <c:formatCode>General</c:formatCode>
                <c:ptCount val="2"/>
              </c:numCache>
            </c:numRef>
          </c:cat>
          <c:val>
            <c:numRef>
              <c:f>('INDICADORES BASICOS'!$C$124,'INDICADORES BASICOS'!$F$124)</c:f>
              <c:numCache>
                <c:formatCode>"$"\ #,##0</c:formatCode>
                <c:ptCount val="2"/>
                <c:pt idx="0">
                  <c:v>798251000</c:v>
                </c:pt>
                <c:pt idx="1">
                  <c:v>657903000</c:v>
                </c:pt>
              </c:numCache>
            </c:numRef>
          </c:val>
          <c:smooth val="0"/>
          <c:extLst>
            <c:ext xmlns:c16="http://schemas.microsoft.com/office/drawing/2014/chart" uri="{C3380CC4-5D6E-409C-BE32-E72D297353CC}">
              <c16:uniqueId val="{00000001-290C-724D-8BA0-6C65A68FA433}"/>
            </c:ext>
          </c:extLst>
        </c:ser>
        <c:ser>
          <c:idx val="2"/>
          <c:order val="2"/>
          <c:tx>
            <c:strRef>
              <c:f>'INDICADORES BASICOS'!$B$73</c:f>
              <c:strCache>
                <c:ptCount val="1"/>
                <c:pt idx="0">
                  <c:v>TOTAL PASIVO CORRIENTE</c:v>
                </c:pt>
              </c:strCache>
            </c:strRef>
          </c:tx>
          <c:spPr>
            <a:ln w="28575" cap="rnd">
              <a:solidFill>
                <a:schemeClr val="accent3"/>
              </a:solidFill>
              <a:round/>
            </a:ln>
            <a:effectLst/>
          </c:spPr>
          <c:marker>
            <c:symbol val="circle"/>
            <c:size val="5"/>
            <c:spPr>
              <a:solidFill>
                <a:schemeClr val="accent3"/>
              </a:solidFill>
              <a:ln w="9525">
                <a:solidFill>
                  <a:schemeClr val="accent3"/>
                </a:solidFill>
              </a:ln>
              <a:effectLst/>
            </c:spPr>
          </c:marker>
          <c:cat>
            <c:numRef>
              <c:f>'INDICADORES BASICOS'!$I$43:$J$43</c:f>
              <c:numCache>
                <c:formatCode>General</c:formatCode>
                <c:ptCount val="2"/>
              </c:numCache>
            </c:numRef>
          </c:cat>
          <c:val>
            <c:numRef>
              <c:f>('INDICADORES BASICOS'!$C$130,'INDICADORES BASICOS'!$F$130)</c:f>
              <c:numCache>
                <c:formatCode>[$$-240A]\ #,##0</c:formatCode>
                <c:ptCount val="2"/>
                <c:pt idx="0">
                  <c:v>125039000</c:v>
                </c:pt>
                <c:pt idx="1">
                  <c:v>32509000</c:v>
                </c:pt>
              </c:numCache>
            </c:numRef>
          </c:val>
          <c:smooth val="0"/>
          <c:extLst>
            <c:ext xmlns:c16="http://schemas.microsoft.com/office/drawing/2014/chart" uri="{C3380CC4-5D6E-409C-BE32-E72D297353CC}">
              <c16:uniqueId val="{00000002-290C-724D-8BA0-6C65A68FA433}"/>
            </c:ext>
          </c:extLst>
        </c:ser>
        <c:ser>
          <c:idx val="3"/>
          <c:order val="3"/>
          <c:tx>
            <c:strRef>
              <c:f>'INDICADORES BASICOS'!$B$74</c:f>
              <c:strCache>
                <c:ptCount val="1"/>
                <c:pt idx="0">
                  <c:v>TOTAL PASIVO</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cat>
            <c:numRef>
              <c:f>'INDICADORES BASICOS'!$I$43:$J$43</c:f>
              <c:numCache>
                <c:formatCode>General</c:formatCode>
                <c:ptCount val="2"/>
              </c:numCache>
            </c:numRef>
          </c:cat>
          <c:val>
            <c:numRef>
              <c:f>('INDICADORES BASICOS'!$C$131,'INDICADORES BASICOS'!$F$131)</c:f>
              <c:numCache>
                <c:formatCode>[$$-240A]\ #,##0</c:formatCode>
                <c:ptCount val="2"/>
                <c:pt idx="0">
                  <c:v>125039000</c:v>
                </c:pt>
                <c:pt idx="1">
                  <c:v>32509000</c:v>
                </c:pt>
              </c:numCache>
            </c:numRef>
          </c:val>
          <c:smooth val="0"/>
          <c:extLst>
            <c:ext xmlns:c16="http://schemas.microsoft.com/office/drawing/2014/chart" uri="{C3380CC4-5D6E-409C-BE32-E72D297353CC}">
              <c16:uniqueId val="{00000003-290C-724D-8BA0-6C65A68FA433}"/>
            </c:ext>
          </c:extLst>
        </c:ser>
        <c:ser>
          <c:idx val="4"/>
          <c:order val="4"/>
          <c:tx>
            <c:strRef>
              <c:f>'INDICADORES BASICOS'!$B$81</c:f>
              <c:strCache>
                <c:ptCount val="1"/>
                <c:pt idx="0">
                  <c:v>TOTAL PATRIMONIO</c:v>
                </c:pt>
              </c:strCache>
            </c:strRef>
          </c:tx>
          <c:spPr>
            <a:ln w="28575" cap="rnd">
              <a:solidFill>
                <a:schemeClr val="accent5"/>
              </a:solidFill>
              <a:round/>
            </a:ln>
            <a:effectLst/>
          </c:spPr>
          <c:marker>
            <c:symbol val="circle"/>
            <c:size val="5"/>
            <c:spPr>
              <a:solidFill>
                <a:schemeClr val="accent5"/>
              </a:solidFill>
              <a:ln w="9525">
                <a:solidFill>
                  <a:schemeClr val="accent5"/>
                </a:solidFill>
              </a:ln>
              <a:effectLst/>
            </c:spPr>
          </c:marker>
          <c:cat>
            <c:numRef>
              <c:f>'INDICADORES BASICOS'!$I$43:$J$43</c:f>
              <c:numCache>
                <c:formatCode>General</c:formatCode>
                <c:ptCount val="2"/>
              </c:numCache>
            </c:numRef>
          </c:cat>
          <c:val>
            <c:numRef>
              <c:f>('INDICADORES BASICOS'!$C$137,'INDICADORES BASICOS'!$F$137)</c:f>
              <c:numCache>
                <c:formatCode>"$"\ #,##0</c:formatCode>
                <c:ptCount val="2"/>
                <c:pt idx="0">
                  <c:v>673212000</c:v>
                </c:pt>
                <c:pt idx="1">
                  <c:v>625394000</c:v>
                </c:pt>
              </c:numCache>
            </c:numRef>
          </c:val>
          <c:smooth val="0"/>
          <c:extLst>
            <c:ext xmlns:c16="http://schemas.microsoft.com/office/drawing/2014/chart" uri="{C3380CC4-5D6E-409C-BE32-E72D297353CC}">
              <c16:uniqueId val="{00000004-290C-724D-8BA0-6C65A68FA433}"/>
            </c:ext>
          </c:extLst>
        </c:ser>
        <c:dLbls>
          <c:showLegendKey val="0"/>
          <c:showVal val="0"/>
          <c:showCatName val="0"/>
          <c:showSerName val="0"/>
          <c:showPercent val="0"/>
          <c:showBubbleSize val="0"/>
        </c:dLbls>
        <c:marker val="1"/>
        <c:smooth val="0"/>
        <c:axId val="263806144"/>
        <c:axId val="263806704"/>
      </c:lineChart>
      <c:catAx>
        <c:axId val="26380614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63806704"/>
        <c:crosses val="autoZero"/>
        <c:auto val="1"/>
        <c:lblAlgn val="ctr"/>
        <c:lblOffset val="100"/>
        <c:noMultiLvlLbl val="0"/>
      </c:catAx>
      <c:valAx>
        <c:axId val="263806704"/>
        <c:scaling>
          <c:orientation val="minMax"/>
        </c:scaling>
        <c:delete val="0"/>
        <c:axPos val="l"/>
        <c:majorGridlines>
          <c:spPr>
            <a:ln w="9525" cap="flat" cmpd="sng" algn="ctr">
              <a:solidFill>
                <a:schemeClr val="tx1">
                  <a:lumMod val="15000"/>
                  <a:lumOff val="85000"/>
                </a:schemeClr>
              </a:solidFill>
              <a:round/>
            </a:ln>
            <a:effectLst/>
          </c:spPr>
        </c:majorGridlines>
        <c:numFmt formatCode="&quot;$&quot;\ #,##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63806144"/>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5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a:pPr>
            <a:r>
              <a:rPr lang="es-CO" sz="1400"/>
              <a:t>ESTRUCTURA</a:t>
            </a:r>
            <a:r>
              <a:rPr lang="es-CO" sz="1400" baseline="0"/>
              <a:t> DE SITUACIÓN FINANCIERA - VARIACIÓN RELATIVA 2017</a:t>
            </a:r>
            <a:endParaRPr lang="es-CO" sz="1400"/>
          </a:p>
        </c:rich>
      </c:tx>
      <c:overlay val="0"/>
    </c:title>
    <c:autoTitleDeleted val="0"/>
    <c:view3D>
      <c:rotX val="15"/>
      <c:rotY val="20"/>
      <c:rAngAx val="1"/>
    </c:view3D>
    <c:floor>
      <c:thickness val="0"/>
    </c:floor>
    <c:sideWall>
      <c:thickness val="0"/>
    </c:sideWall>
    <c:backWall>
      <c:thickness val="0"/>
    </c:backWall>
    <c:plotArea>
      <c:layout/>
      <c:bar3DChart>
        <c:barDir val="bar"/>
        <c:grouping val="clustered"/>
        <c:varyColors val="0"/>
        <c:ser>
          <c:idx val="6"/>
          <c:order val="0"/>
          <c:tx>
            <c:v>TOTAL ACTIVOS</c:v>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val>
            <c:numRef>
              <c:f>'INDICADORES BASICOS'!$D$64</c:f>
              <c:numCache>
                <c:formatCode>0.00%</c:formatCode>
                <c:ptCount val="1"/>
                <c:pt idx="0">
                  <c:v>1</c:v>
                </c:pt>
              </c:numCache>
            </c:numRef>
          </c:val>
          <c:extLst>
            <c:ext xmlns:c16="http://schemas.microsoft.com/office/drawing/2014/chart" uri="{C3380CC4-5D6E-409C-BE32-E72D297353CC}">
              <c16:uniqueId val="{00000000-6E2C-47FF-9633-4BF9AE5D3F1C}"/>
            </c:ext>
          </c:extLst>
        </c:ser>
        <c:ser>
          <c:idx val="5"/>
          <c:order val="1"/>
          <c:tx>
            <c:v>TOTAL ACTIVOS CORRIENTES</c:v>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val>
            <c:numRef>
              <c:f>'INDICADORES BASICOS'!$D$60</c:f>
              <c:numCache>
                <c:formatCode>0.00%</c:formatCode>
                <c:ptCount val="1"/>
                <c:pt idx="0">
                  <c:v>0.43223897142517792</c:v>
                </c:pt>
              </c:numCache>
            </c:numRef>
          </c:val>
          <c:extLst>
            <c:ext xmlns:c16="http://schemas.microsoft.com/office/drawing/2014/chart" uri="{C3380CC4-5D6E-409C-BE32-E72D297353CC}">
              <c16:uniqueId val="{00000001-6E2C-47FF-9633-4BF9AE5D3F1C}"/>
            </c:ext>
          </c:extLst>
        </c:ser>
        <c:ser>
          <c:idx val="4"/>
          <c:order val="2"/>
          <c:tx>
            <c:v>TOTAL ACTIVOS NO CORRIENTES</c:v>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val>
            <c:numRef>
              <c:f>'INDICADORES BASICOS'!$D$63</c:f>
              <c:numCache>
                <c:formatCode>0.00%</c:formatCode>
                <c:ptCount val="1"/>
                <c:pt idx="0">
                  <c:v>0.56776102857482214</c:v>
                </c:pt>
              </c:numCache>
            </c:numRef>
          </c:val>
          <c:extLst>
            <c:ext xmlns:c16="http://schemas.microsoft.com/office/drawing/2014/chart" uri="{C3380CC4-5D6E-409C-BE32-E72D297353CC}">
              <c16:uniqueId val="{00000002-6E2C-47FF-9633-4BF9AE5D3F1C}"/>
            </c:ext>
          </c:extLst>
        </c:ser>
        <c:ser>
          <c:idx val="3"/>
          <c:order val="3"/>
          <c:tx>
            <c:v>TOTAL PASIVO</c:v>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val>
            <c:numRef>
              <c:f>'INDICADORES BASICOS'!$D$74</c:f>
              <c:numCache>
                <c:formatCode>0.00%</c:formatCode>
                <c:ptCount val="1"/>
                <c:pt idx="0">
                  <c:v>0.27890689180762723</c:v>
                </c:pt>
              </c:numCache>
            </c:numRef>
          </c:val>
          <c:extLst>
            <c:ext xmlns:c16="http://schemas.microsoft.com/office/drawing/2014/chart" uri="{C3380CC4-5D6E-409C-BE32-E72D297353CC}">
              <c16:uniqueId val="{00000003-6E2C-47FF-9633-4BF9AE5D3F1C}"/>
            </c:ext>
          </c:extLst>
        </c:ser>
        <c:ser>
          <c:idx val="2"/>
          <c:order val="4"/>
          <c:tx>
            <c:v>TOTAL PASIVO CORRIENTE</c:v>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val>
            <c:numRef>
              <c:f>'INDICADORES BASICOS'!$D$73</c:f>
              <c:numCache>
                <c:formatCode>0.00%</c:formatCode>
                <c:ptCount val="1"/>
                <c:pt idx="0">
                  <c:v>0.27890689180762723</c:v>
                </c:pt>
              </c:numCache>
            </c:numRef>
          </c:val>
          <c:extLst>
            <c:ext xmlns:c16="http://schemas.microsoft.com/office/drawing/2014/chart" uri="{C3380CC4-5D6E-409C-BE32-E72D297353CC}">
              <c16:uniqueId val="{00000004-6E2C-47FF-9633-4BF9AE5D3F1C}"/>
            </c:ext>
          </c:extLst>
        </c:ser>
        <c:ser>
          <c:idx val="1"/>
          <c:order val="5"/>
          <c:tx>
            <c:v>TOTAL PASIVO NO CORRIENTE</c:v>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val>
            <c:numLit>
              <c:formatCode>General</c:formatCode>
              <c:ptCount val="1"/>
              <c:pt idx="0">
                <c:v>0</c:v>
              </c:pt>
            </c:numLit>
          </c:val>
          <c:extLst>
            <c:ext xmlns:c16="http://schemas.microsoft.com/office/drawing/2014/chart" uri="{C3380CC4-5D6E-409C-BE32-E72D297353CC}">
              <c16:uniqueId val="{00000005-6E2C-47FF-9633-4BF9AE5D3F1C}"/>
            </c:ext>
          </c:extLst>
        </c:ser>
        <c:ser>
          <c:idx val="0"/>
          <c:order val="6"/>
          <c:tx>
            <c:v>TOTAL PATRIMONIO</c:v>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val>
            <c:numRef>
              <c:f>'INDICADORES BASICOS'!$D$81</c:f>
              <c:numCache>
                <c:formatCode>0.00%</c:formatCode>
                <c:ptCount val="1"/>
                <c:pt idx="0">
                  <c:v>0.72109310819237282</c:v>
                </c:pt>
              </c:numCache>
            </c:numRef>
          </c:val>
          <c:extLst>
            <c:ext xmlns:c16="http://schemas.microsoft.com/office/drawing/2014/chart" uri="{C3380CC4-5D6E-409C-BE32-E72D297353CC}">
              <c16:uniqueId val="{00000006-6E2C-47FF-9633-4BF9AE5D3F1C}"/>
            </c:ext>
          </c:extLst>
        </c:ser>
        <c:dLbls>
          <c:showLegendKey val="0"/>
          <c:showVal val="1"/>
          <c:showCatName val="0"/>
          <c:showSerName val="0"/>
          <c:showPercent val="0"/>
          <c:showBubbleSize val="0"/>
        </c:dLbls>
        <c:gapWidth val="150"/>
        <c:shape val="cylinder"/>
        <c:axId val="264493536"/>
        <c:axId val="264494096"/>
        <c:axId val="0"/>
      </c:bar3DChart>
      <c:catAx>
        <c:axId val="264493536"/>
        <c:scaling>
          <c:orientation val="minMax"/>
        </c:scaling>
        <c:delete val="1"/>
        <c:axPos val="l"/>
        <c:majorTickMark val="none"/>
        <c:minorTickMark val="none"/>
        <c:tickLblPos val="nextTo"/>
        <c:crossAx val="264494096"/>
        <c:crosses val="autoZero"/>
        <c:auto val="1"/>
        <c:lblAlgn val="ctr"/>
        <c:lblOffset val="100"/>
        <c:noMultiLvlLbl val="0"/>
      </c:catAx>
      <c:valAx>
        <c:axId val="264494096"/>
        <c:scaling>
          <c:orientation val="minMax"/>
        </c:scaling>
        <c:delete val="0"/>
        <c:axPos val="b"/>
        <c:majorGridlines/>
        <c:numFmt formatCode="0.00%" sourceLinked="1"/>
        <c:majorTickMark val="none"/>
        <c:minorTickMark val="none"/>
        <c:tickLblPos val="nextTo"/>
        <c:crossAx val="264493536"/>
        <c:crosses val="autoZero"/>
        <c:crossBetween val="between"/>
      </c:valAx>
    </c:plotArea>
    <c:legend>
      <c:legendPos val="r"/>
      <c:overlay val="0"/>
      <c:txPr>
        <a:bodyPr/>
        <a:lstStyle/>
        <a:p>
          <a:pPr>
            <a:defRPr sz="900"/>
          </a:pPr>
          <a:endParaRPr lang="es-CO"/>
        </a:p>
      </c:txPr>
    </c:legend>
    <c:plotVisOnly val="1"/>
    <c:dispBlanksAs val="gap"/>
    <c:showDLblsOverMax val="0"/>
  </c:chart>
  <c:printSettings>
    <c:headerFooter/>
    <c:pageMargins b="0.75" l="0.7" r="0.7" t="0.75" header="0.3" footer="0.3"/>
    <c:pageSetup/>
  </c:printSettings>
</c:chartSpace>
</file>

<file path=xl/charts/chart5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a:pPr>
            <a:r>
              <a:rPr lang="es-CO" sz="1400"/>
              <a:t>ESTRUCTURA</a:t>
            </a:r>
            <a:r>
              <a:rPr lang="es-CO" sz="1400" baseline="0"/>
              <a:t> DE SITUACIÓN FINANCIERA - VARIACIÓN RELATIVA 2015</a:t>
            </a:r>
            <a:endParaRPr lang="es-CO" sz="1400"/>
          </a:p>
        </c:rich>
      </c:tx>
      <c:overlay val="0"/>
    </c:title>
    <c:autoTitleDeleted val="0"/>
    <c:view3D>
      <c:rotX val="15"/>
      <c:rotY val="20"/>
      <c:rAngAx val="1"/>
    </c:view3D>
    <c:floor>
      <c:thickness val="0"/>
    </c:floor>
    <c:sideWall>
      <c:thickness val="0"/>
    </c:sideWall>
    <c:backWall>
      <c:thickness val="0"/>
    </c:backWall>
    <c:plotArea>
      <c:layout/>
      <c:bar3DChart>
        <c:barDir val="bar"/>
        <c:grouping val="clustered"/>
        <c:varyColors val="0"/>
        <c:ser>
          <c:idx val="6"/>
          <c:order val="0"/>
          <c:tx>
            <c:v>TOTAL ACTIVOS</c:v>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val>
            <c:numRef>
              <c:f>'INDICADORES BASICOS'!$G$95</c:f>
              <c:numCache>
                <c:formatCode>0.00%</c:formatCode>
                <c:ptCount val="1"/>
                <c:pt idx="0">
                  <c:v>1</c:v>
                </c:pt>
              </c:numCache>
            </c:numRef>
          </c:val>
          <c:extLst>
            <c:ext xmlns:c16="http://schemas.microsoft.com/office/drawing/2014/chart" uri="{C3380CC4-5D6E-409C-BE32-E72D297353CC}">
              <c16:uniqueId val="{00000000-6E2C-47FF-9633-4BF9AE5D3F1C}"/>
            </c:ext>
          </c:extLst>
        </c:ser>
        <c:ser>
          <c:idx val="5"/>
          <c:order val="1"/>
          <c:tx>
            <c:v>TOTAL ACTIVOS CORRIENTES</c:v>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val>
            <c:numRef>
              <c:f>'INDICADORES BASICOS'!$G$91</c:f>
              <c:numCache>
                <c:formatCode>0.00%</c:formatCode>
                <c:ptCount val="1"/>
                <c:pt idx="0">
                  <c:v>5.9067887168321745E-2</c:v>
                </c:pt>
              </c:numCache>
            </c:numRef>
          </c:val>
          <c:extLst>
            <c:ext xmlns:c16="http://schemas.microsoft.com/office/drawing/2014/chart" uri="{C3380CC4-5D6E-409C-BE32-E72D297353CC}">
              <c16:uniqueId val="{00000001-6E2C-47FF-9633-4BF9AE5D3F1C}"/>
            </c:ext>
          </c:extLst>
        </c:ser>
        <c:ser>
          <c:idx val="4"/>
          <c:order val="2"/>
          <c:tx>
            <c:v>TOTAL ACTIVOS NO CORRIENTES</c:v>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val>
            <c:numRef>
              <c:f>'INDICADORES BASICOS'!$G$94</c:f>
              <c:numCache>
                <c:formatCode>0.00%</c:formatCode>
                <c:ptCount val="1"/>
                <c:pt idx="0">
                  <c:v>0.94093211283167821</c:v>
                </c:pt>
              </c:numCache>
            </c:numRef>
          </c:val>
          <c:extLst>
            <c:ext xmlns:c16="http://schemas.microsoft.com/office/drawing/2014/chart" uri="{C3380CC4-5D6E-409C-BE32-E72D297353CC}">
              <c16:uniqueId val="{00000002-6E2C-47FF-9633-4BF9AE5D3F1C}"/>
            </c:ext>
          </c:extLst>
        </c:ser>
        <c:ser>
          <c:idx val="3"/>
          <c:order val="3"/>
          <c:tx>
            <c:v>TOTAL PASIVO</c:v>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val>
            <c:numRef>
              <c:f>'INDICADORES BASICOS'!$G$105</c:f>
              <c:numCache>
                <c:formatCode>0.00%</c:formatCode>
                <c:ptCount val="1"/>
                <c:pt idx="0">
                  <c:v>0.15664120683845056</c:v>
                </c:pt>
              </c:numCache>
            </c:numRef>
          </c:val>
          <c:extLst>
            <c:ext xmlns:c16="http://schemas.microsoft.com/office/drawing/2014/chart" uri="{C3380CC4-5D6E-409C-BE32-E72D297353CC}">
              <c16:uniqueId val="{00000003-6E2C-47FF-9633-4BF9AE5D3F1C}"/>
            </c:ext>
          </c:extLst>
        </c:ser>
        <c:ser>
          <c:idx val="2"/>
          <c:order val="4"/>
          <c:tx>
            <c:v>TOTAL PASIVO CORRIENTE</c:v>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val>
            <c:numRef>
              <c:f>'INDICADORES BASICOS'!$G$104</c:f>
              <c:numCache>
                <c:formatCode>0.00%</c:formatCode>
                <c:ptCount val="1"/>
                <c:pt idx="0">
                  <c:v>0.15664120683845056</c:v>
                </c:pt>
              </c:numCache>
            </c:numRef>
          </c:val>
          <c:extLst>
            <c:ext xmlns:c16="http://schemas.microsoft.com/office/drawing/2014/chart" uri="{C3380CC4-5D6E-409C-BE32-E72D297353CC}">
              <c16:uniqueId val="{00000004-6E2C-47FF-9633-4BF9AE5D3F1C}"/>
            </c:ext>
          </c:extLst>
        </c:ser>
        <c:ser>
          <c:idx val="1"/>
          <c:order val="5"/>
          <c:tx>
            <c:v>TOTAL PASIVO NO CORRIENTE</c:v>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val>
            <c:numLit>
              <c:formatCode>General</c:formatCode>
              <c:ptCount val="1"/>
              <c:pt idx="0">
                <c:v>0</c:v>
              </c:pt>
            </c:numLit>
          </c:val>
          <c:extLst>
            <c:ext xmlns:c16="http://schemas.microsoft.com/office/drawing/2014/chart" uri="{C3380CC4-5D6E-409C-BE32-E72D297353CC}">
              <c16:uniqueId val="{00000005-6E2C-47FF-9633-4BF9AE5D3F1C}"/>
            </c:ext>
          </c:extLst>
        </c:ser>
        <c:ser>
          <c:idx val="0"/>
          <c:order val="6"/>
          <c:tx>
            <c:v>TOTAL PATRIMONIO</c:v>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val>
            <c:numRef>
              <c:f>'INDICADORES BASICOS'!$G$112</c:f>
              <c:numCache>
                <c:formatCode>0.00%</c:formatCode>
                <c:ptCount val="1"/>
                <c:pt idx="0">
                  <c:v>0.84335879316154949</c:v>
                </c:pt>
              </c:numCache>
            </c:numRef>
          </c:val>
          <c:extLst>
            <c:ext xmlns:c16="http://schemas.microsoft.com/office/drawing/2014/chart" uri="{C3380CC4-5D6E-409C-BE32-E72D297353CC}">
              <c16:uniqueId val="{00000006-6E2C-47FF-9633-4BF9AE5D3F1C}"/>
            </c:ext>
          </c:extLst>
        </c:ser>
        <c:dLbls>
          <c:showLegendKey val="0"/>
          <c:showVal val="1"/>
          <c:showCatName val="0"/>
          <c:showSerName val="0"/>
          <c:showPercent val="0"/>
          <c:showBubbleSize val="0"/>
        </c:dLbls>
        <c:gapWidth val="150"/>
        <c:shape val="cylinder"/>
        <c:axId val="264500256"/>
        <c:axId val="264500816"/>
        <c:axId val="0"/>
      </c:bar3DChart>
      <c:catAx>
        <c:axId val="264500256"/>
        <c:scaling>
          <c:orientation val="minMax"/>
        </c:scaling>
        <c:delete val="1"/>
        <c:axPos val="l"/>
        <c:majorTickMark val="none"/>
        <c:minorTickMark val="none"/>
        <c:tickLblPos val="nextTo"/>
        <c:crossAx val="264500816"/>
        <c:crosses val="autoZero"/>
        <c:auto val="1"/>
        <c:lblAlgn val="ctr"/>
        <c:lblOffset val="100"/>
        <c:noMultiLvlLbl val="0"/>
      </c:catAx>
      <c:valAx>
        <c:axId val="264500816"/>
        <c:scaling>
          <c:orientation val="minMax"/>
        </c:scaling>
        <c:delete val="0"/>
        <c:axPos val="b"/>
        <c:majorGridlines/>
        <c:numFmt formatCode="0.00%" sourceLinked="1"/>
        <c:majorTickMark val="none"/>
        <c:minorTickMark val="none"/>
        <c:tickLblPos val="nextTo"/>
        <c:crossAx val="264500256"/>
        <c:crosses val="autoZero"/>
        <c:crossBetween val="between"/>
      </c:valAx>
    </c:plotArea>
    <c:legend>
      <c:legendPos val="r"/>
      <c:overlay val="0"/>
      <c:txPr>
        <a:bodyPr/>
        <a:lstStyle/>
        <a:p>
          <a:pPr>
            <a:defRPr sz="900"/>
          </a:pPr>
          <a:endParaRPr lang="es-CO"/>
        </a:p>
      </c:txPr>
    </c:legend>
    <c:plotVisOnly val="1"/>
    <c:dispBlanksAs val="gap"/>
    <c:showDLblsOverMax val="0"/>
  </c:chart>
  <c:printSettings>
    <c:headerFooter/>
    <c:pageMargins b="0.75" l="0.7" r="0.7" t="0.75" header="0.3" footer="0.3"/>
    <c:pageSetup/>
  </c:printSettings>
</c:chartSpace>
</file>

<file path=xl/charts/chart5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a:pPr>
            <a:r>
              <a:rPr lang="es-CO" sz="1400"/>
              <a:t>ESTRUCTURA</a:t>
            </a:r>
            <a:r>
              <a:rPr lang="es-CO" sz="1400" baseline="0"/>
              <a:t> DE SITUACIÓN FINANCIERA - VARIACIÓN RELATIVA 2014</a:t>
            </a:r>
            <a:endParaRPr lang="es-CO" sz="1400"/>
          </a:p>
        </c:rich>
      </c:tx>
      <c:overlay val="0"/>
    </c:title>
    <c:autoTitleDeleted val="0"/>
    <c:view3D>
      <c:rotX val="15"/>
      <c:rotY val="20"/>
      <c:rAngAx val="1"/>
    </c:view3D>
    <c:floor>
      <c:thickness val="0"/>
    </c:floor>
    <c:sideWall>
      <c:thickness val="0"/>
    </c:sideWall>
    <c:backWall>
      <c:thickness val="0"/>
    </c:backWall>
    <c:plotArea>
      <c:layout/>
      <c:bar3DChart>
        <c:barDir val="bar"/>
        <c:grouping val="clustered"/>
        <c:varyColors val="0"/>
        <c:ser>
          <c:idx val="6"/>
          <c:order val="0"/>
          <c:tx>
            <c:v>TOTAL ACTIVOS</c:v>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val>
            <c:numRef>
              <c:f>'INDICADORES BASICOS'!$G$124</c:f>
              <c:numCache>
                <c:formatCode>0.00%</c:formatCode>
                <c:ptCount val="1"/>
                <c:pt idx="0">
                  <c:v>1</c:v>
                </c:pt>
              </c:numCache>
            </c:numRef>
          </c:val>
          <c:extLst>
            <c:ext xmlns:c16="http://schemas.microsoft.com/office/drawing/2014/chart" uri="{C3380CC4-5D6E-409C-BE32-E72D297353CC}">
              <c16:uniqueId val="{00000000-6E2C-47FF-9633-4BF9AE5D3F1C}"/>
            </c:ext>
          </c:extLst>
        </c:ser>
        <c:ser>
          <c:idx val="5"/>
          <c:order val="1"/>
          <c:tx>
            <c:v>TOTAL ACTIVOS CORRIENTES</c:v>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val>
            <c:numRef>
              <c:f>'INDICADORES BASICOS'!$G$121</c:f>
              <c:numCache>
                <c:formatCode>0.00%</c:formatCode>
                <c:ptCount val="1"/>
                <c:pt idx="0">
                  <c:v>8.8011454576130521E-2</c:v>
                </c:pt>
              </c:numCache>
            </c:numRef>
          </c:val>
          <c:extLst>
            <c:ext xmlns:c16="http://schemas.microsoft.com/office/drawing/2014/chart" uri="{C3380CC4-5D6E-409C-BE32-E72D297353CC}">
              <c16:uniqueId val="{00000001-6E2C-47FF-9633-4BF9AE5D3F1C}"/>
            </c:ext>
          </c:extLst>
        </c:ser>
        <c:ser>
          <c:idx val="4"/>
          <c:order val="2"/>
          <c:tx>
            <c:v>TOTAL ACTIVOS NO CORRIENTES</c:v>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val>
            <c:numRef>
              <c:f>'INDICADORES BASICOS'!$G$123</c:f>
              <c:numCache>
                <c:formatCode>0.00%</c:formatCode>
                <c:ptCount val="1"/>
                <c:pt idx="0">
                  <c:v>0.91198854542386942</c:v>
                </c:pt>
              </c:numCache>
            </c:numRef>
          </c:val>
          <c:extLst>
            <c:ext xmlns:c16="http://schemas.microsoft.com/office/drawing/2014/chart" uri="{C3380CC4-5D6E-409C-BE32-E72D297353CC}">
              <c16:uniqueId val="{00000002-6E2C-47FF-9633-4BF9AE5D3F1C}"/>
            </c:ext>
          </c:extLst>
        </c:ser>
        <c:ser>
          <c:idx val="3"/>
          <c:order val="3"/>
          <c:tx>
            <c:v>TOTAL PASIVO</c:v>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val>
            <c:numRef>
              <c:f>'INDICADORES BASICOS'!$G$131</c:f>
              <c:numCache>
                <c:formatCode>0.00%</c:formatCode>
                <c:ptCount val="1"/>
                <c:pt idx="0">
                  <c:v>4.9413059371974287E-2</c:v>
                </c:pt>
              </c:numCache>
            </c:numRef>
          </c:val>
          <c:extLst>
            <c:ext xmlns:c16="http://schemas.microsoft.com/office/drawing/2014/chart" uri="{C3380CC4-5D6E-409C-BE32-E72D297353CC}">
              <c16:uniqueId val="{00000003-6E2C-47FF-9633-4BF9AE5D3F1C}"/>
            </c:ext>
          </c:extLst>
        </c:ser>
        <c:ser>
          <c:idx val="2"/>
          <c:order val="4"/>
          <c:tx>
            <c:v>TOTAL PASIVO CORRIENTE</c:v>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val>
            <c:numRef>
              <c:f>'INDICADORES BASICOS'!$G$130</c:f>
              <c:numCache>
                <c:formatCode>0.00%</c:formatCode>
                <c:ptCount val="1"/>
                <c:pt idx="0">
                  <c:v>1</c:v>
                </c:pt>
              </c:numCache>
            </c:numRef>
          </c:val>
          <c:extLst>
            <c:ext xmlns:c16="http://schemas.microsoft.com/office/drawing/2014/chart" uri="{C3380CC4-5D6E-409C-BE32-E72D297353CC}">
              <c16:uniqueId val="{00000004-6E2C-47FF-9633-4BF9AE5D3F1C}"/>
            </c:ext>
          </c:extLst>
        </c:ser>
        <c:ser>
          <c:idx val="1"/>
          <c:order val="5"/>
          <c:tx>
            <c:v>TOTAL PASIVO NO CORRIENTE</c:v>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val>
            <c:numLit>
              <c:formatCode>General</c:formatCode>
              <c:ptCount val="1"/>
              <c:pt idx="0">
                <c:v>0</c:v>
              </c:pt>
            </c:numLit>
          </c:val>
          <c:extLst>
            <c:ext xmlns:c16="http://schemas.microsoft.com/office/drawing/2014/chart" uri="{C3380CC4-5D6E-409C-BE32-E72D297353CC}">
              <c16:uniqueId val="{00000005-6E2C-47FF-9633-4BF9AE5D3F1C}"/>
            </c:ext>
          </c:extLst>
        </c:ser>
        <c:ser>
          <c:idx val="0"/>
          <c:order val="6"/>
          <c:tx>
            <c:v>TOTAL PATRIMONIO</c:v>
          </c:tx>
          <c:invertIfNegative val="0"/>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val>
            <c:numRef>
              <c:f>'INDICADORES BASICOS'!$G$137</c:f>
              <c:numCache>
                <c:formatCode>0.00%</c:formatCode>
                <c:ptCount val="1"/>
                <c:pt idx="0">
                  <c:v>1</c:v>
                </c:pt>
              </c:numCache>
            </c:numRef>
          </c:val>
          <c:extLst>
            <c:ext xmlns:c16="http://schemas.microsoft.com/office/drawing/2014/chart" uri="{C3380CC4-5D6E-409C-BE32-E72D297353CC}">
              <c16:uniqueId val="{00000006-6E2C-47FF-9633-4BF9AE5D3F1C}"/>
            </c:ext>
          </c:extLst>
        </c:ser>
        <c:dLbls>
          <c:showLegendKey val="0"/>
          <c:showVal val="1"/>
          <c:showCatName val="0"/>
          <c:showSerName val="0"/>
          <c:showPercent val="0"/>
          <c:showBubbleSize val="0"/>
        </c:dLbls>
        <c:gapWidth val="150"/>
        <c:shape val="cylinder"/>
        <c:axId val="264613616"/>
        <c:axId val="264614176"/>
        <c:axId val="0"/>
      </c:bar3DChart>
      <c:catAx>
        <c:axId val="264613616"/>
        <c:scaling>
          <c:orientation val="minMax"/>
        </c:scaling>
        <c:delete val="1"/>
        <c:axPos val="l"/>
        <c:majorTickMark val="none"/>
        <c:minorTickMark val="none"/>
        <c:tickLblPos val="nextTo"/>
        <c:crossAx val="264614176"/>
        <c:crosses val="autoZero"/>
        <c:auto val="1"/>
        <c:lblAlgn val="ctr"/>
        <c:lblOffset val="100"/>
        <c:noMultiLvlLbl val="0"/>
      </c:catAx>
      <c:valAx>
        <c:axId val="264614176"/>
        <c:scaling>
          <c:orientation val="minMax"/>
        </c:scaling>
        <c:delete val="0"/>
        <c:axPos val="b"/>
        <c:majorGridlines/>
        <c:numFmt formatCode="0.00%" sourceLinked="1"/>
        <c:majorTickMark val="none"/>
        <c:minorTickMark val="none"/>
        <c:tickLblPos val="nextTo"/>
        <c:crossAx val="264613616"/>
        <c:crosses val="autoZero"/>
        <c:crossBetween val="between"/>
      </c:valAx>
    </c:plotArea>
    <c:legend>
      <c:legendPos val="r"/>
      <c:overlay val="0"/>
      <c:txPr>
        <a:bodyPr/>
        <a:lstStyle/>
        <a:p>
          <a:pPr>
            <a:defRPr sz="900"/>
          </a:pPr>
          <a:endParaRPr lang="es-CO"/>
        </a:p>
      </c:txPr>
    </c:legend>
    <c:plotVisOnly val="1"/>
    <c:dispBlanksAs val="gap"/>
    <c:showDLblsOverMax val="0"/>
  </c:chart>
  <c:printSettings>
    <c:headerFooter/>
    <c:pageMargins b="0.75" l="0.7" r="0.7" t="0.75" header="0.3" footer="0.3"/>
    <c:pageSetup/>
  </c:printSettings>
</c:chartSpace>
</file>

<file path=xl/charts/chart5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s-CO" b="1"/>
              <a:t>ANÁLISIS HORIZONTAL SITUACIÓN FINANCIERA 2017-2016</a:t>
            </a:r>
          </a:p>
        </c:rich>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s-CO"/>
        </a:p>
      </c:txPr>
    </c:title>
    <c:autoTitleDeleted val="0"/>
    <c:view3D>
      <c:rotX val="15"/>
      <c:rotY val="20"/>
      <c:depthPercent val="100"/>
      <c:rAngAx val="1"/>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bar3DChart>
        <c:barDir val="bar"/>
        <c:grouping val="clustered"/>
        <c:varyColors val="0"/>
        <c:ser>
          <c:idx val="0"/>
          <c:order val="0"/>
          <c:tx>
            <c:strRef>
              <c:f>'INDICADORES BASICOS'!$B$60</c:f>
              <c:strCache>
                <c:ptCount val="1"/>
                <c:pt idx="0">
                  <c:v>TOTAL ACTIVOS CORRIENTES</c:v>
                </c:pt>
              </c:strCache>
            </c:strRef>
          </c:tx>
          <c:spPr>
            <a:solidFill>
              <a:schemeClr val="accent1"/>
            </a:solidFill>
            <a:ln>
              <a:noFill/>
            </a:ln>
            <a:effectLst/>
            <a:sp3d/>
          </c:spPr>
          <c:invertIfNegative val="0"/>
          <c:val>
            <c:numRef>
              <c:f>'INDICADORES BASICOS'!$E$60</c:f>
              <c:numCache>
                <c:formatCode>0.00%</c:formatCode>
                <c:ptCount val="1"/>
                <c:pt idx="0">
                  <c:v>2.1863180014008874</c:v>
                </c:pt>
              </c:numCache>
            </c:numRef>
          </c:val>
          <c:extLst>
            <c:ext xmlns:c16="http://schemas.microsoft.com/office/drawing/2014/chart" uri="{C3380CC4-5D6E-409C-BE32-E72D297353CC}">
              <c16:uniqueId val="{00000000-0559-A14A-9532-5ABD72B1B9F8}"/>
            </c:ext>
          </c:extLst>
        </c:ser>
        <c:ser>
          <c:idx val="1"/>
          <c:order val="1"/>
          <c:tx>
            <c:strRef>
              <c:f>'INDICADORES BASICOS'!$B$63</c:f>
              <c:strCache>
                <c:ptCount val="1"/>
                <c:pt idx="0">
                  <c:v>TOTAL ACTIVO NO CORRIENTE</c:v>
                </c:pt>
              </c:strCache>
            </c:strRef>
          </c:tx>
          <c:spPr>
            <a:solidFill>
              <a:schemeClr val="accent2"/>
            </a:solidFill>
            <a:ln>
              <a:noFill/>
            </a:ln>
            <a:effectLst/>
            <a:sp3d/>
          </c:spPr>
          <c:invertIfNegative val="0"/>
          <c:val>
            <c:numRef>
              <c:f>'INDICADORES BASICOS'!$E$63</c:f>
              <c:numCache>
                <c:formatCode>0.00%</c:formatCode>
                <c:ptCount val="1"/>
                <c:pt idx="0">
                  <c:v>-0.20549205043290131</c:v>
                </c:pt>
              </c:numCache>
            </c:numRef>
          </c:val>
          <c:extLst>
            <c:ext xmlns:c16="http://schemas.microsoft.com/office/drawing/2014/chart" uri="{C3380CC4-5D6E-409C-BE32-E72D297353CC}">
              <c16:uniqueId val="{00000001-0559-A14A-9532-5ABD72B1B9F8}"/>
            </c:ext>
          </c:extLst>
        </c:ser>
        <c:ser>
          <c:idx val="2"/>
          <c:order val="2"/>
          <c:tx>
            <c:strRef>
              <c:f>'INDICADORES BASICOS'!$B$64</c:f>
              <c:strCache>
                <c:ptCount val="1"/>
                <c:pt idx="0">
                  <c:v>TOTAL ACTIVO</c:v>
                </c:pt>
              </c:strCache>
            </c:strRef>
          </c:tx>
          <c:spPr>
            <a:solidFill>
              <a:schemeClr val="accent3"/>
            </a:solidFill>
            <a:ln>
              <a:noFill/>
            </a:ln>
            <a:effectLst/>
            <a:sp3d/>
          </c:spPr>
          <c:invertIfNegative val="0"/>
          <c:val>
            <c:numRef>
              <c:f>'INDICADORES BASICOS'!$E$64</c:f>
              <c:numCache>
                <c:formatCode>0.00%</c:formatCode>
                <c:ptCount val="1"/>
                <c:pt idx="0">
                  <c:v>0.17610835288023319</c:v>
                </c:pt>
              </c:numCache>
            </c:numRef>
          </c:val>
          <c:extLst>
            <c:ext xmlns:c16="http://schemas.microsoft.com/office/drawing/2014/chart" uri="{C3380CC4-5D6E-409C-BE32-E72D297353CC}">
              <c16:uniqueId val="{00000002-0559-A14A-9532-5ABD72B1B9F8}"/>
            </c:ext>
          </c:extLst>
        </c:ser>
        <c:ser>
          <c:idx val="3"/>
          <c:order val="3"/>
          <c:tx>
            <c:strRef>
              <c:f>'INDICADORES BASICOS'!$B$73</c:f>
              <c:strCache>
                <c:ptCount val="1"/>
                <c:pt idx="0">
                  <c:v>TOTAL PASIVO CORRIENTE</c:v>
                </c:pt>
              </c:strCache>
            </c:strRef>
          </c:tx>
          <c:spPr>
            <a:solidFill>
              <a:schemeClr val="accent4"/>
            </a:solidFill>
            <a:ln>
              <a:noFill/>
            </a:ln>
            <a:effectLst/>
            <a:sp3d/>
          </c:spPr>
          <c:invertIfNegative val="0"/>
          <c:val>
            <c:numRef>
              <c:f>'INDICADORES BASICOS'!$E$73</c:f>
              <c:numCache>
                <c:formatCode>0.00%</c:formatCode>
                <c:ptCount val="1"/>
                <c:pt idx="0">
                  <c:v>0.73857354392892405</c:v>
                </c:pt>
              </c:numCache>
            </c:numRef>
          </c:val>
          <c:extLst>
            <c:ext xmlns:c16="http://schemas.microsoft.com/office/drawing/2014/chart" uri="{C3380CC4-5D6E-409C-BE32-E72D297353CC}">
              <c16:uniqueId val="{00000003-0559-A14A-9532-5ABD72B1B9F8}"/>
            </c:ext>
          </c:extLst>
        </c:ser>
        <c:ser>
          <c:idx val="4"/>
          <c:order val="4"/>
          <c:tx>
            <c:strRef>
              <c:f>'INDICADORES BASICOS'!$B$74</c:f>
              <c:strCache>
                <c:ptCount val="1"/>
                <c:pt idx="0">
                  <c:v>TOTAL PASIVO</c:v>
                </c:pt>
              </c:strCache>
            </c:strRef>
          </c:tx>
          <c:spPr>
            <a:solidFill>
              <a:schemeClr val="accent5"/>
            </a:solidFill>
            <a:ln>
              <a:noFill/>
            </a:ln>
            <a:effectLst/>
            <a:sp3d/>
          </c:spPr>
          <c:invertIfNegative val="0"/>
          <c:val>
            <c:numRef>
              <c:f>'INDICADORES BASICOS'!$E$74</c:f>
              <c:numCache>
                <c:formatCode>0.00%</c:formatCode>
                <c:ptCount val="1"/>
                <c:pt idx="0">
                  <c:v>0.73857354392892405</c:v>
                </c:pt>
              </c:numCache>
            </c:numRef>
          </c:val>
          <c:extLst>
            <c:ext xmlns:c16="http://schemas.microsoft.com/office/drawing/2014/chart" uri="{C3380CC4-5D6E-409C-BE32-E72D297353CC}">
              <c16:uniqueId val="{00000004-0559-A14A-9532-5ABD72B1B9F8}"/>
            </c:ext>
          </c:extLst>
        </c:ser>
        <c:ser>
          <c:idx val="5"/>
          <c:order val="5"/>
          <c:tx>
            <c:strRef>
              <c:f>'INDICADORES BASICOS'!$B$81</c:f>
              <c:strCache>
                <c:ptCount val="1"/>
                <c:pt idx="0">
                  <c:v>TOTAL PATRIMONIO</c:v>
                </c:pt>
              </c:strCache>
            </c:strRef>
          </c:tx>
          <c:spPr>
            <a:solidFill>
              <a:schemeClr val="accent6"/>
            </a:solidFill>
            <a:ln>
              <a:noFill/>
            </a:ln>
            <a:effectLst/>
            <a:sp3d/>
          </c:spPr>
          <c:invertIfNegative val="0"/>
          <c:val>
            <c:numRef>
              <c:f>'INDICADORES BASICOS'!$E$81</c:f>
              <c:numCache>
                <c:formatCode>0.00%</c:formatCode>
                <c:ptCount val="1"/>
                <c:pt idx="0">
                  <c:v>4.5306435760762653E-2</c:v>
                </c:pt>
              </c:numCache>
            </c:numRef>
          </c:val>
          <c:extLst>
            <c:ext xmlns:c16="http://schemas.microsoft.com/office/drawing/2014/chart" uri="{C3380CC4-5D6E-409C-BE32-E72D297353CC}">
              <c16:uniqueId val="{00000005-0559-A14A-9532-5ABD72B1B9F8}"/>
            </c:ext>
          </c:extLst>
        </c:ser>
        <c:dLbls>
          <c:showLegendKey val="0"/>
          <c:showVal val="0"/>
          <c:showCatName val="0"/>
          <c:showSerName val="0"/>
          <c:showPercent val="0"/>
          <c:showBubbleSize val="0"/>
        </c:dLbls>
        <c:gapWidth val="150"/>
        <c:shape val="box"/>
        <c:axId val="264619776"/>
        <c:axId val="264620336"/>
        <c:axId val="0"/>
      </c:bar3DChart>
      <c:catAx>
        <c:axId val="264619776"/>
        <c:scaling>
          <c:orientation val="minMax"/>
        </c:scaling>
        <c:delete val="1"/>
        <c:axPos val="l"/>
        <c:numFmt formatCode="General" sourceLinked="1"/>
        <c:majorTickMark val="none"/>
        <c:minorTickMark val="none"/>
        <c:tickLblPos val="nextTo"/>
        <c:crossAx val="264620336"/>
        <c:crosses val="autoZero"/>
        <c:auto val="1"/>
        <c:lblAlgn val="ctr"/>
        <c:lblOffset val="100"/>
        <c:noMultiLvlLbl val="0"/>
      </c:catAx>
      <c:valAx>
        <c:axId val="264620336"/>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64619776"/>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5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s-CO" b="1"/>
              <a:t>ANÁLISIS HORIZONTAL SITUACIÓN FINANCIERA 2016-2015</a:t>
            </a:r>
          </a:p>
        </c:rich>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s-CO"/>
        </a:p>
      </c:txPr>
    </c:title>
    <c:autoTitleDeleted val="0"/>
    <c:view3D>
      <c:rotX val="15"/>
      <c:rotY val="20"/>
      <c:depthPercent val="100"/>
      <c:rAngAx val="1"/>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bar3DChart>
        <c:barDir val="bar"/>
        <c:grouping val="clustered"/>
        <c:varyColors val="0"/>
        <c:ser>
          <c:idx val="0"/>
          <c:order val="0"/>
          <c:tx>
            <c:strRef>
              <c:f>'INDICADORES BASICOS'!$B$60</c:f>
              <c:strCache>
                <c:ptCount val="1"/>
                <c:pt idx="0">
                  <c:v>TOTAL ACTIVOS CORRIENTES</c:v>
                </c:pt>
              </c:strCache>
            </c:strRef>
          </c:tx>
          <c:spPr>
            <a:solidFill>
              <a:schemeClr val="accent1"/>
            </a:solidFill>
            <a:ln>
              <a:noFill/>
            </a:ln>
            <a:effectLst/>
            <a:sp3d/>
          </c:spPr>
          <c:invertIfNegative val="0"/>
          <c:val>
            <c:numRef>
              <c:f>'INDICADORES BASICOS'!$E$91</c:f>
              <c:numCache>
                <c:formatCode>0.00%</c:formatCode>
                <c:ptCount val="1"/>
                <c:pt idx="0">
                  <c:v>1.9067464104684948</c:v>
                </c:pt>
              </c:numCache>
            </c:numRef>
          </c:val>
          <c:extLst>
            <c:ext xmlns:c16="http://schemas.microsoft.com/office/drawing/2014/chart" uri="{C3380CC4-5D6E-409C-BE32-E72D297353CC}">
              <c16:uniqueId val="{00000000-4CC2-6542-A05F-F04C7B3CB881}"/>
            </c:ext>
          </c:extLst>
        </c:ser>
        <c:ser>
          <c:idx val="1"/>
          <c:order val="1"/>
          <c:tx>
            <c:strRef>
              <c:f>'INDICADORES BASICOS'!$B$63</c:f>
              <c:strCache>
                <c:ptCount val="1"/>
                <c:pt idx="0">
                  <c:v>TOTAL ACTIVO NO CORRIENTE</c:v>
                </c:pt>
              </c:strCache>
            </c:strRef>
          </c:tx>
          <c:spPr>
            <a:solidFill>
              <a:schemeClr val="accent2"/>
            </a:solidFill>
            <a:ln>
              <a:noFill/>
            </a:ln>
            <a:effectLst/>
            <a:sp3d/>
          </c:spPr>
          <c:invertIfNegative val="0"/>
          <c:val>
            <c:numRef>
              <c:f>'INDICADORES BASICOS'!$E$94</c:f>
              <c:numCache>
                <c:formatCode>0.00%</c:formatCode>
                <c:ptCount val="1"/>
                <c:pt idx="0">
                  <c:v>-3.8757821861270192E-2</c:v>
                </c:pt>
              </c:numCache>
            </c:numRef>
          </c:val>
          <c:extLst>
            <c:ext xmlns:c16="http://schemas.microsoft.com/office/drawing/2014/chart" uri="{C3380CC4-5D6E-409C-BE32-E72D297353CC}">
              <c16:uniqueId val="{00000001-4CC2-6542-A05F-F04C7B3CB881}"/>
            </c:ext>
          </c:extLst>
        </c:ser>
        <c:ser>
          <c:idx val="2"/>
          <c:order val="2"/>
          <c:tx>
            <c:strRef>
              <c:f>'INDICADORES BASICOS'!$B$64</c:f>
              <c:strCache>
                <c:ptCount val="1"/>
                <c:pt idx="0">
                  <c:v>TOTAL ACTIVO</c:v>
                </c:pt>
              </c:strCache>
            </c:strRef>
          </c:tx>
          <c:spPr>
            <a:solidFill>
              <a:schemeClr val="accent3"/>
            </a:solidFill>
            <a:ln>
              <a:noFill/>
            </a:ln>
            <a:effectLst/>
            <a:sp3d/>
          </c:spPr>
          <c:invertIfNegative val="0"/>
          <c:val>
            <c:numRef>
              <c:f>'INDICADORES BASICOS'!$E$95</c:f>
              <c:numCache>
                <c:formatCode>0.00%</c:formatCode>
                <c:ptCount val="1"/>
                <c:pt idx="0">
                  <c:v>7.6159002619476723E-2</c:v>
                </c:pt>
              </c:numCache>
            </c:numRef>
          </c:val>
          <c:extLst>
            <c:ext xmlns:c16="http://schemas.microsoft.com/office/drawing/2014/chart" uri="{C3380CC4-5D6E-409C-BE32-E72D297353CC}">
              <c16:uniqueId val="{00000002-4CC2-6542-A05F-F04C7B3CB881}"/>
            </c:ext>
          </c:extLst>
        </c:ser>
        <c:ser>
          <c:idx val="3"/>
          <c:order val="3"/>
          <c:tx>
            <c:strRef>
              <c:f>'INDICADORES BASICOS'!$B$73</c:f>
              <c:strCache>
                <c:ptCount val="1"/>
                <c:pt idx="0">
                  <c:v>TOTAL PASIVO CORRIENTE</c:v>
                </c:pt>
              </c:strCache>
            </c:strRef>
          </c:tx>
          <c:spPr>
            <a:solidFill>
              <a:schemeClr val="accent4"/>
            </a:solidFill>
            <a:ln>
              <a:noFill/>
            </a:ln>
            <a:effectLst/>
            <a:sp3d/>
          </c:spPr>
          <c:invertIfNegative val="0"/>
          <c:val>
            <c:numRef>
              <c:f>'INDICADORES BASICOS'!$E$104</c:f>
              <c:numCache>
                <c:formatCode>0.00%</c:formatCode>
                <c:ptCount val="1"/>
                <c:pt idx="0">
                  <c:v>0.29623557450075566</c:v>
                </c:pt>
              </c:numCache>
            </c:numRef>
          </c:val>
          <c:extLst>
            <c:ext xmlns:c16="http://schemas.microsoft.com/office/drawing/2014/chart" uri="{C3380CC4-5D6E-409C-BE32-E72D297353CC}">
              <c16:uniqueId val="{00000003-4CC2-6542-A05F-F04C7B3CB881}"/>
            </c:ext>
          </c:extLst>
        </c:ser>
        <c:ser>
          <c:idx val="4"/>
          <c:order val="4"/>
          <c:tx>
            <c:strRef>
              <c:f>'INDICADORES BASICOS'!$B$105</c:f>
              <c:strCache>
                <c:ptCount val="1"/>
                <c:pt idx="0">
                  <c:v>TOTAL PASIVO</c:v>
                </c:pt>
              </c:strCache>
            </c:strRef>
          </c:tx>
          <c:spPr>
            <a:solidFill>
              <a:schemeClr val="accent5"/>
            </a:solidFill>
            <a:ln>
              <a:noFill/>
            </a:ln>
            <a:effectLst/>
            <a:sp3d/>
          </c:spPr>
          <c:invertIfNegative val="0"/>
          <c:val>
            <c:numRef>
              <c:f>'INDICADORES BASICOS'!$E$105</c:f>
              <c:numCache>
                <c:formatCode>0.00%</c:formatCode>
                <c:ptCount val="1"/>
                <c:pt idx="0">
                  <c:v>0.29623557450075566</c:v>
                </c:pt>
              </c:numCache>
            </c:numRef>
          </c:val>
          <c:extLst>
            <c:ext xmlns:c16="http://schemas.microsoft.com/office/drawing/2014/chart" uri="{C3380CC4-5D6E-409C-BE32-E72D297353CC}">
              <c16:uniqueId val="{00000004-4CC2-6542-A05F-F04C7B3CB881}"/>
            </c:ext>
          </c:extLst>
        </c:ser>
        <c:ser>
          <c:idx val="5"/>
          <c:order val="5"/>
          <c:tx>
            <c:strRef>
              <c:f>'INDICADORES BASICOS'!$B$81</c:f>
              <c:strCache>
                <c:ptCount val="1"/>
                <c:pt idx="0">
                  <c:v>TOTAL PATRIMONIO</c:v>
                </c:pt>
              </c:strCache>
            </c:strRef>
          </c:tx>
          <c:spPr>
            <a:solidFill>
              <a:schemeClr val="accent6"/>
            </a:solidFill>
            <a:ln>
              <a:noFill/>
            </a:ln>
            <a:effectLst/>
            <a:sp3d/>
          </c:spPr>
          <c:invertIfNegative val="0"/>
          <c:val>
            <c:numRef>
              <c:f>'INDICADORES BASICOS'!$E$112</c:f>
              <c:numCache>
                <c:formatCode>0.00%</c:formatCode>
                <c:ptCount val="1"/>
                <c:pt idx="0">
                  <c:v>3.5283090616328838E-2</c:v>
                </c:pt>
              </c:numCache>
            </c:numRef>
          </c:val>
          <c:extLst>
            <c:ext xmlns:c16="http://schemas.microsoft.com/office/drawing/2014/chart" uri="{C3380CC4-5D6E-409C-BE32-E72D297353CC}">
              <c16:uniqueId val="{00000005-4CC2-6542-A05F-F04C7B3CB881}"/>
            </c:ext>
          </c:extLst>
        </c:ser>
        <c:dLbls>
          <c:showLegendKey val="0"/>
          <c:showVal val="0"/>
          <c:showCatName val="0"/>
          <c:showSerName val="0"/>
          <c:showPercent val="0"/>
          <c:showBubbleSize val="0"/>
        </c:dLbls>
        <c:gapWidth val="150"/>
        <c:shape val="box"/>
        <c:axId val="264625936"/>
        <c:axId val="264626496"/>
        <c:axId val="0"/>
      </c:bar3DChart>
      <c:catAx>
        <c:axId val="264625936"/>
        <c:scaling>
          <c:orientation val="minMax"/>
        </c:scaling>
        <c:delete val="1"/>
        <c:axPos val="l"/>
        <c:numFmt formatCode="General" sourceLinked="1"/>
        <c:majorTickMark val="none"/>
        <c:minorTickMark val="none"/>
        <c:tickLblPos val="nextTo"/>
        <c:crossAx val="264626496"/>
        <c:crosses val="autoZero"/>
        <c:auto val="1"/>
        <c:lblAlgn val="ctr"/>
        <c:lblOffset val="100"/>
        <c:noMultiLvlLbl val="0"/>
      </c:catAx>
      <c:valAx>
        <c:axId val="264626496"/>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64625936"/>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5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s-CO" b="1"/>
              <a:t>ANÁLISIS HORIZONTAL SITUACIÓN FINANCIERA 2015-2014</a:t>
            </a:r>
          </a:p>
        </c:rich>
      </c:tx>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s-CO"/>
        </a:p>
      </c:txPr>
    </c:title>
    <c:autoTitleDeleted val="0"/>
    <c:view3D>
      <c:rotX val="15"/>
      <c:rotY val="20"/>
      <c:depthPercent val="100"/>
      <c:rAngAx val="1"/>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bar3DChart>
        <c:barDir val="bar"/>
        <c:grouping val="clustered"/>
        <c:varyColors val="0"/>
        <c:ser>
          <c:idx val="0"/>
          <c:order val="0"/>
          <c:tx>
            <c:strRef>
              <c:f>'INDICADORES BASICOS'!$B$60</c:f>
              <c:strCache>
                <c:ptCount val="1"/>
                <c:pt idx="0">
                  <c:v>TOTAL ACTIVOS CORRIENTES</c:v>
                </c:pt>
              </c:strCache>
            </c:strRef>
          </c:tx>
          <c:spPr>
            <a:solidFill>
              <a:schemeClr val="accent1"/>
            </a:solidFill>
            <a:ln>
              <a:noFill/>
            </a:ln>
            <a:effectLst/>
            <a:sp3d/>
          </c:spPr>
          <c:invertIfNegative val="0"/>
          <c:val>
            <c:numRef>
              <c:f>'INDICADORES BASICOS'!$E$121</c:f>
              <c:numCache>
                <c:formatCode>0.00%</c:formatCode>
                <c:ptCount val="1"/>
                <c:pt idx="0">
                  <c:v>-0.18568986062898296</c:v>
                </c:pt>
              </c:numCache>
            </c:numRef>
          </c:val>
          <c:extLst>
            <c:ext xmlns:c16="http://schemas.microsoft.com/office/drawing/2014/chart" uri="{C3380CC4-5D6E-409C-BE32-E72D297353CC}">
              <c16:uniqueId val="{00000000-6585-5A49-A384-A4D05A7C2210}"/>
            </c:ext>
          </c:extLst>
        </c:ser>
        <c:ser>
          <c:idx val="1"/>
          <c:order val="1"/>
          <c:tx>
            <c:strRef>
              <c:f>'INDICADORES BASICOS'!$B$63</c:f>
              <c:strCache>
                <c:ptCount val="1"/>
                <c:pt idx="0">
                  <c:v>TOTAL ACTIVO NO CORRIENTE</c:v>
                </c:pt>
              </c:strCache>
            </c:strRef>
          </c:tx>
          <c:spPr>
            <a:solidFill>
              <a:schemeClr val="accent2"/>
            </a:solidFill>
            <a:ln>
              <a:noFill/>
            </a:ln>
            <a:effectLst/>
            <a:sp3d/>
          </c:spPr>
          <c:invertIfNegative val="0"/>
          <c:val>
            <c:numRef>
              <c:f>'INDICADORES BASICOS'!$E$123</c:f>
              <c:numCache>
                <c:formatCode>0.00%</c:formatCode>
                <c:ptCount val="1"/>
                <c:pt idx="0">
                  <c:v>0.25183333333333335</c:v>
                </c:pt>
              </c:numCache>
            </c:numRef>
          </c:val>
          <c:extLst>
            <c:ext xmlns:c16="http://schemas.microsoft.com/office/drawing/2014/chart" uri="{C3380CC4-5D6E-409C-BE32-E72D297353CC}">
              <c16:uniqueId val="{00000001-6585-5A49-A384-A4D05A7C2210}"/>
            </c:ext>
          </c:extLst>
        </c:ser>
        <c:ser>
          <c:idx val="2"/>
          <c:order val="2"/>
          <c:tx>
            <c:strRef>
              <c:f>'INDICADORES BASICOS'!$B$64</c:f>
              <c:strCache>
                <c:ptCount val="1"/>
                <c:pt idx="0">
                  <c:v>TOTAL ACTIVO</c:v>
                </c:pt>
              </c:strCache>
            </c:strRef>
          </c:tx>
          <c:spPr>
            <a:solidFill>
              <a:schemeClr val="accent3"/>
            </a:solidFill>
            <a:ln>
              <a:noFill/>
            </a:ln>
            <a:effectLst/>
            <a:sp3d/>
          </c:spPr>
          <c:invertIfNegative val="0"/>
          <c:val>
            <c:numRef>
              <c:f>'INDICADORES BASICOS'!$E$124</c:f>
              <c:numCache>
                <c:formatCode>0.00%</c:formatCode>
                <c:ptCount val="1"/>
                <c:pt idx="0">
                  <c:v>0.21332628062191539</c:v>
                </c:pt>
              </c:numCache>
            </c:numRef>
          </c:val>
          <c:extLst>
            <c:ext xmlns:c16="http://schemas.microsoft.com/office/drawing/2014/chart" uri="{C3380CC4-5D6E-409C-BE32-E72D297353CC}">
              <c16:uniqueId val="{00000002-6585-5A49-A384-A4D05A7C2210}"/>
            </c:ext>
          </c:extLst>
        </c:ser>
        <c:ser>
          <c:idx val="3"/>
          <c:order val="3"/>
          <c:tx>
            <c:strRef>
              <c:f>'INDICADORES BASICOS'!$B$73</c:f>
              <c:strCache>
                <c:ptCount val="1"/>
                <c:pt idx="0">
                  <c:v>TOTAL PASIVO CORRIENTE</c:v>
                </c:pt>
              </c:strCache>
            </c:strRef>
          </c:tx>
          <c:spPr>
            <a:solidFill>
              <a:schemeClr val="accent4"/>
            </a:solidFill>
            <a:ln>
              <a:noFill/>
            </a:ln>
            <a:effectLst/>
            <a:sp3d/>
          </c:spPr>
          <c:invertIfNegative val="0"/>
          <c:val>
            <c:numRef>
              <c:f>'INDICADORES BASICOS'!$E$130</c:f>
              <c:numCache>
                <c:formatCode>0.00%</c:formatCode>
                <c:ptCount val="1"/>
                <c:pt idx="0">
                  <c:v>2.8462887200467564</c:v>
                </c:pt>
              </c:numCache>
            </c:numRef>
          </c:val>
          <c:extLst>
            <c:ext xmlns:c16="http://schemas.microsoft.com/office/drawing/2014/chart" uri="{C3380CC4-5D6E-409C-BE32-E72D297353CC}">
              <c16:uniqueId val="{00000003-6585-5A49-A384-A4D05A7C2210}"/>
            </c:ext>
          </c:extLst>
        </c:ser>
        <c:ser>
          <c:idx val="4"/>
          <c:order val="4"/>
          <c:tx>
            <c:strRef>
              <c:f>'INDICADORES BASICOS'!$B$105</c:f>
              <c:strCache>
                <c:ptCount val="1"/>
                <c:pt idx="0">
                  <c:v>TOTAL PASIVO</c:v>
                </c:pt>
              </c:strCache>
            </c:strRef>
          </c:tx>
          <c:spPr>
            <a:solidFill>
              <a:schemeClr val="accent5"/>
            </a:solidFill>
            <a:ln>
              <a:noFill/>
            </a:ln>
            <a:effectLst/>
            <a:sp3d/>
          </c:spPr>
          <c:invertIfNegative val="0"/>
          <c:val>
            <c:numRef>
              <c:f>'INDICADORES BASICOS'!$E$131</c:f>
              <c:numCache>
                <c:formatCode>0.00%</c:formatCode>
                <c:ptCount val="1"/>
                <c:pt idx="0">
                  <c:v>2.8462887200467564</c:v>
                </c:pt>
              </c:numCache>
            </c:numRef>
          </c:val>
          <c:extLst>
            <c:ext xmlns:c16="http://schemas.microsoft.com/office/drawing/2014/chart" uri="{C3380CC4-5D6E-409C-BE32-E72D297353CC}">
              <c16:uniqueId val="{00000004-6585-5A49-A384-A4D05A7C2210}"/>
            </c:ext>
          </c:extLst>
        </c:ser>
        <c:ser>
          <c:idx val="5"/>
          <c:order val="5"/>
          <c:tx>
            <c:strRef>
              <c:f>'INDICADORES BASICOS'!$B$81</c:f>
              <c:strCache>
                <c:ptCount val="1"/>
                <c:pt idx="0">
                  <c:v>TOTAL PATRIMONIO</c:v>
                </c:pt>
              </c:strCache>
            </c:strRef>
          </c:tx>
          <c:spPr>
            <a:solidFill>
              <a:schemeClr val="accent6"/>
            </a:solidFill>
            <a:ln>
              <a:noFill/>
            </a:ln>
            <a:effectLst/>
            <a:sp3d/>
          </c:spPr>
          <c:invertIfNegative val="0"/>
          <c:val>
            <c:numRef>
              <c:f>'INDICADORES BASICOS'!$E$137</c:f>
              <c:numCache>
                <c:formatCode>0.00%</c:formatCode>
                <c:ptCount val="1"/>
                <c:pt idx="0">
                  <c:v>7.6460599238240112E-2</c:v>
                </c:pt>
              </c:numCache>
            </c:numRef>
          </c:val>
          <c:extLst>
            <c:ext xmlns:c16="http://schemas.microsoft.com/office/drawing/2014/chart" uri="{C3380CC4-5D6E-409C-BE32-E72D297353CC}">
              <c16:uniqueId val="{00000005-6585-5A49-A384-A4D05A7C2210}"/>
            </c:ext>
          </c:extLst>
        </c:ser>
        <c:dLbls>
          <c:showLegendKey val="0"/>
          <c:showVal val="0"/>
          <c:showCatName val="0"/>
          <c:showSerName val="0"/>
          <c:showPercent val="0"/>
          <c:showBubbleSize val="0"/>
        </c:dLbls>
        <c:gapWidth val="150"/>
        <c:shape val="box"/>
        <c:axId val="265025488"/>
        <c:axId val="265026048"/>
        <c:axId val="0"/>
      </c:bar3DChart>
      <c:catAx>
        <c:axId val="265025488"/>
        <c:scaling>
          <c:orientation val="minMax"/>
        </c:scaling>
        <c:delete val="1"/>
        <c:axPos val="l"/>
        <c:numFmt formatCode="General" sourceLinked="1"/>
        <c:majorTickMark val="none"/>
        <c:minorTickMark val="none"/>
        <c:tickLblPos val="nextTo"/>
        <c:crossAx val="265026048"/>
        <c:crosses val="autoZero"/>
        <c:auto val="1"/>
        <c:lblAlgn val="ctr"/>
        <c:lblOffset val="100"/>
        <c:noMultiLvlLbl val="0"/>
      </c:catAx>
      <c:valAx>
        <c:axId val="265026048"/>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65025488"/>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5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6"/>
    </mc:Choice>
    <mc:Fallback>
      <c:style val="6"/>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s-CO"/>
              <a:t>ESTRUCTURA DEL ENDEUDAMIENTO  2017</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view3D>
      <c:rotX val="15"/>
      <c:rotY val="20"/>
      <c:depthPercent val="100"/>
      <c:rAngAx val="1"/>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bar3DChart>
        <c:barDir val="bar"/>
        <c:grouping val="clustered"/>
        <c:varyColors val="0"/>
        <c:ser>
          <c:idx val="0"/>
          <c:order val="0"/>
          <c:spPr>
            <a:solidFill>
              <a:schemeClr val="accent4">
                <a:shade val="65000"/>
              </a:schemeClr>
            </a:solidFill>
            <a:ln>
              <a:noFill/>
            </a:ln>
            <a:effectLst/>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('INDICADORES BASICOS'!$F$158:$F$161,'INDICADORES BASICOS'!$F$162:$F$163)</c:f>
              <c:strCache>
                <c:ptCount val="6"/>
                <c:pt idx="0">
                  <c:v>NIVEL DE ENDEUDAMIENTO (%)</c:v>
                </c:pt>
                <c:pt idx="1">
                  <c:v>ENDEUDAMIENTO FINANCIERO (%)</c:v>
                </c:pt>
                <c:pt idx="2">
                  <c:v>RAZON DE AUTONOMIA (%)</c:v>
                </c:pt>
                <c:pt idx="3">
                  <c:v>APALANCAMIENTO INTERNO (%)</c:v>
                </c:pt>
                <c:pt idx="4">
                  <c:v>LAVERAGE O APALANCAMIENTO</c:v>
                </c:pt>
                <c:pt idx="5">
                  <c:v>CONCEN. DEL ENDEUDAMIENTO EN CP (%)</c:v>
                </c:pt>
              </c:strCache>
            </c:strRef>
          </c:cat>
          <c:val>
            <c:numRef>
              <c:f>('INDICADORES BASICOS'!$G$158:$G$161,'INDICADORES BASICOS'!$G$162:$G$163)</c:f>
              <c:numCache>
                <c:formatCode>General</c:formatCode>
                <c:ptCount val="6"/>
              </c:numCache>
            </c:numRef>
          </c:val>
          <c:extLst>
            <c:ext xmlns:c16="http://schemas.microsoft.com/office/drawing/2014/chart" uri="{C3380CC4-5D6E-409C-BE32-E72D297353CC}">
              <c16:uniqueId val="{00000000-ADB4-9641-ABD7-CA78B1BC7F55}"/>
            </c:ext>
          </c:extLst>
        </c:ser>
        <c:ser>
          <c:idx val="1"/>
          <c:order val="1"/>
          <c:spPr>
            <a:solidFill>
              <a:schemeClr val="accent4"/>
            </a:solidFill>
            <a:ln>
              <a:noFill/>
            </a:ln>
            <a:effectLst/>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('INDICADORES BASICOS'!$F$158:$F$161,'INDICADORES BASICOS'!$F$162:$F$163)</c:f>
              <c:strCache>
                <c:ptCount val="6"/>
                <c:pt idx="0">
                  <c:v>NIVEL DE ENDEUDAMIENTO (%)</c:v>
                </c:pt>
                <c:pt idx="1">
                  <c:v>ENDEUDAMIENTO FINANCIERO (%)</c:v>
                </c:pt>
                <c:pt idx="2">
                  <c:v>RAZON DE AUTONOMIA (%)</c:v>
                </c:pt>
                <c:pt idx="3">
                  <c:v>APALANCAMIENTO INTERNO (%)</c:v>
                </c:pt>
                <c:pt idx="4">
                  <c:v>LAVERAGE O APALANCAMIENTO</c:v>
                </c:pt>
                <c:pt idx="5">
                  <c:v>CONCEN. DEL ENDEUDAMIENTO EN CP (%)</c:v>
                </c:pt>
              </c:strCache>
            </c:strRef>
          </c:cat>
          <c:val>
            <c:numRef>
              <c:f>('INDICADORES BASICOS'!$H$158:$H$161,'INDICADORES BASICOS'!$H$162:$H$163)</c:f>
              <c:numCache>
                <c:formatCode>General</c:formatCode>
                <c:ptCount val="6"/>
              </c:numCache>
            </c:numRef>
          </c:val>
          <c:extLst>
            <c:ext xmlns:c16="http://schemas.microsoft.com/office/drawing/2014/chart" uri="{C3380CC4-5D6E-409C-BE32-E72D297353CC}">
              <c16:uniqueId val="{00000001-ADB4-9641-ABD7-CA78B1BC7F55}"/>
            </c:ext>
          </c:extLst>
        </c:ser>
        <c:ser>
          <c:idx val="2"/>
          <c:order val="2"/>
          <c:spPr>
            <a:solidFill>
              <a:schemeClr val="accent4">
                <a:tint val="65000"/>
              </a:schemeClr>
            </a:solidFill>
            <a:ln>
              <a:noFill/>
            </a:ln>
            <a:effectLst/>
            <a:sp3d/>
          </c:spPr>
          <c:invertIfNegative val="0"/>
          <c:dLbls>
            <c:dLbl>
              <c:idx val="1"/>
              <c:layout>
                <c:manualLayout>
                  <c:x val="3.8004750593824167E-2"/>
                  <c:y val="5.2784375824754901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4398-4BB7-82ED-86928902BEE9}"/>
                </c:ext>
              </c:extLst>
            </c:dLbl>
            <c:dLbl>
              <c:idx val="4"/>
              <c:layout>
                <c:manualLayout>
                  <c:x val="2.8503562945368113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4398-4BB7-82ED-86928902BEE9}"/>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('INDICADORES BASICOS'!$F$158:$F$161,'INDICADORES BASICOS'!$F$162:$F$163)</c:f>
              <c:strCache>
                <c:ptCount val="6"/>
                <c:pt idx="0">
                  <c:v>NIVEL DE ENDEUDAMIENTO (%)</c:v>
                </c:pt>
                <c:pt idx="1">
                  <c:v>ENDEUDAMIENTO FINANCIERO (%)</c:v>
                </c:pt>
                <c:pt idx="2">
                  <c:v>RAZON DE AUTONOMIA (%)</c:v>
                </c:pt>
                <c:pt idx="3">
                  <c:v>APALANCAMIENTO INTERNO (%)</c:v>
                </c:pt>
                <c:pt idx="4">
                  <c:v>LAVERAGE O APALANCAMIENTO</c:v>
                </c:pt>
                <c:pt idx="5">
                  <c:v>CONCEN. DEL ENDEUDAMIENTO EN CP (%)</c:v>
                </c:pt>
              </c:strCache>
            </c:strRef>
          </c:cat>
          <c:val>
            <c:numRef>
              <c:f>('INDICADORES BASICOS'!$I$158:$I$161,'INDICADORES BASICOS'!$I$162:$I$163)</c:f>
              <c:numCache>
                <c:formatCode>0.00%</c:formatCode>
                <c:ptCount val="6"/>
                <c:pt idx="0">
                  <c:v>0.27890689180762723</c:v>
                </c:pt>
                <c:pt idx="1">
                  <c:v>0.18824080514429287</c:v>
                </c:pt>
                <c:pt idx="2">
                  <c:v>0.72109310819237282</c:v>
                </c:pt>
                <c:pt idx="3">
                  <c:v>2.5854259230343377</c:v>
                </c:pt>
                <c:pt idx="4">
                  <c:v>0.38678346615569176</c:v>
                </c:pt>
                <c:pt idx="5">
                  <c:v>1</c:v>
                </c:pt>
              </c:numCache>
            </c:numRef>
          </c:val>
          <c:extLst>
            <c:ext xmlns:c16="http://schemas.microsoft.com/office/drawing/2014/chart" uri="{C3380CC4-5D6E-409C-BE32-E72D297353CC}">
              <c16:uniqueId val="{00000002-ADB4-9641-ABD7-CA78B1BC7F55}"/>
            </c:ext>
          </c:extLst>
        </c:ser>
        <c:dLbls>
          <c:showLegendKey val="0"/>
          <c:showVal val="1"/>
          <c:showCatName val="0"/>
          <c:showSerName val="0"/>
          <c:showPercent val="0"/>
          <c:showBubbleSize val="0"/>
        </c:dLbls>
        <c:gapWidth val="150"/>
        <c:shape val="box"/>
        <c:axId val="265029968"/>
        <c:axId val="265030528"/>
        <c:axId val="0"/>
      </c:bar3DChart>
      <c:catAx>
        <c:axId val="265029968"/>
        <c:scaling>
          <c:orientation val="minMax"/>
        </c:scaling>
        <c:delete val="0"/>
        <c:axPos val="l"/>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65030528"/>
        <c:crosses val="autoZero"/>
        <c:auto val="1"/>
        <c:lblAlgn val="ctr"/>
        <c:lblOffset val="100"/>
        <c:noMultiLvlLbl val="0"/>
      </c:catAx>
      <c:valAx>
        <c:axId val="265030528"/>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65029968"/>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6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39"/>
    </mc:Choice>
    <mc:Fallback>
      <c:style val="39"/>
    </mc:Fallback>
  </mc:AlternateContent>
  <c:chart>
    <c:title>
      <c:tx>
        <c:rich>
          <a:bodyPr rot="0" vert="horz"/>
          <a:lstStyle/>
          <a:p>
            <a:pPr>
              <a:defRPr/>
            </a:pPr>
            <a:r>
              <a:rPr lang="es-CO"/>
              <a:t>INDICADORES RENTABILIDAD 2017</a:t>
            </a:r>
          </a:p>
        </c:rich>
      </c:tx>
      <c:overlay val="0"/>
    </c:title>
    <c:autoTitleDeleted val="0"/>
    <c:view3D>
      <c:rotX val="15"/>
      <c:rotY val="20"/>
      <c:depthPercent val="100"/>
      <c:rAngAx val="1"/>
    </c:view3D>
    <c:floor>
      <c:thickness val="0"/>
    </c:floor>
    <c:sideWall>
      <c:thickness val="0"/>
    </c:sideWall>
    <c:backWall>
      <c:thickness val="0"/>
    </c:backWall>
    <c:plotArea>
      <c:layout/>
      <c:bar3DChart>
        <c:barDir val="bar"/>
        <c:grouping val="stacked"/>
        <c:varyColors val="0"/>
        <c:ser>
          <c:idx val="0"/>
          <c:order val="0"/>
          <c:invertIfNegative val="0"/>
          <c:dLbls>
            <c:spPr>
              <a:noFill/>
              <a:ln>
                <a:noFill/>
              </a:ln>
              <a:effectLst/>
            </c:spPr>
            <c:txPr>
              <a:bodyPr rot="0" vert="horz"/>
              <a:lstStyle/>
              <a:p>
                <a:pPr>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'INDICADORES BASICOS'!$F$166:$F$170</c:f>
              <c:strCache>
                <c:ptCount val="5"/>
                <c:pt idx="0">
                  <c:v>MARGEN BRUTO DE UTILIDAD (%)</c:v>
                </c:pt>
                <c:pt idx="1">
                  <c:v>MARGEN OPERACIONAL DE UTILIDAD (%)</c:v>
                </c:pt>
                <c:pt idx="2">
                  <c:v>MARGEN NETO DE UTILIDAD</c:v>
                </c:pt>
                <c:pt idx="3">
                  <c:v>RENDIMIENTO DEL PATRIMONIO (%)</c:v>
                </c:pt>
                <c:pt idx="4">
                  <c:v>RENDIMIENTO DEL ACTIVO TOTAL (%)</c:v>
                </c:pt>
              </c:strCache>
            </c:strRef>
          </c:cat>
          <c:val>
            <c:numRef>
              <c:f>'INDICADORES BASICOS'!$G$166:$G$170</c:f>
              <c:numCache>
                <c:formatCode>General</c:formatCode>
                <c:ptCount val="5"/>
              </c:numCache>
            </c:numRef>
          </c:val>
          <c:extLst>
            <c:ext xmlns:c16="http://schemas.microsoft.com/office/drawing/2014/chart" uri="{C3380CC4-5D6E-409C-BE32-E72D297353CC}">
              <c16:uniqueId val="{00000000-EBAC-454F-94FE-00349BDC25BE}"/>
            </c:ext>
          </c:extLst>
        </c:ser>
        <c:ser>
          <c:idx val="1"/>
          <c:order val="1"/>
          <c:invertIfNegative val="0"/>
          <c:dLbls>
            <c:spPr>
              <a:noFill/>
              <a:ln>
                <a:noFill/>
              </a:ln>
              <a:effectLst/>
            </c:spPr>
            <c:txPr>
              <a:bodyPr rot="0" vert="horz"/>
              <a:lstStyle/>
              <a:p>
                <a:pPr>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'INDICADORES BASICOS'!$F$166:$F$170</c:f>
              <c:strCache>
                <c:ptCount val="5"/>
                <c:pt idx="0">
                  <c:v>MARGEN BRUTO DE UTILIDAD (%)</c:v>
                </c:pt>
                <c:pt idx="1">
                  <c:v>MARGEN OPERACIONAL DE UTILIDAD (%)</c:v>
                </c:pt>
                <c:pt idx="2">
                  <c:v>MARGEN NETO DE UTILIDAD</c:v>
                </c:pt>
                <c:pt idx="3">
                  <c:v>RENDIMIENTO DEL PATRIMONIO (%)</c:v>
                </c:pt>
                <c:pt idx="4">
                  <c:v>RENDIMIENTO DEL ACTIVO TOTAL (%)</c:v>
                </c:pt>
              </c:strCache>
            </c:strRef>
          </c:cat>
          <c:val>
            <c:numRef>
              <c:f>'INDICADORES BASICOS'!$H$166:$H$170</c:f>
              <c:numCache>
                <c:formatCode>General</c:formatCode>
                <c:ptCount val="5"/>
              </c:numCache>
            </c:numRef>
          </c:val>
          <c:extLst>
            <c:ext xmlns:c16="http://schemas.microsoft.com/office/drawing/2014/chart" uri="{C3380CC4-5D6E-409C-BE32-E72D297353CC}">
              <c16:uniqueId val="{00000001-EBAC-454F-94FE-00349BDC25BE}"/>
            </c:ext>
          </c:extLst>
        </c:ser>
        <c:ser>
          <c:idx val="2"/>
          <c:order val="2"/>
          <c:invertIfNegative val="0"/>
          <c:dLbls>
            <c:spPr>
              <a:noFill/>
              <a:ln>
                <a:noFill/>
              </a:ln>
              <a:effectLst/>
            </c:spPr>
            <c:txPr>
              <a:bodyPr rot="0" vert="horz"/>
              <a:lstStyle/>
              <a:p>
                <a:pPr>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'INDICADORES BASICOS'!$F$166:$F$170</c:f>
              <c:strCache>
                <c:ptCount val="5"/>
                <c:pt idx="0">
                  <c:v>MARGEN BRUTO DE UTILIDAD (%)</c:v>
                </c:pt>
                <c:pt idx="1">
                  <c:v>MARGEN OPERACIONAL DE UTILIDAD (%)</c:v>
                </c:pt>
                <c:pt idx="2">
                  <c:v>MARGEN NETO DE UTILIDAD</c:v>
                </c:pt>
                <c:pt idx="3">
                  <c:v>RENDIMIENTO DEL PATRIMONIO (%)</c:v>
                </c:pt>
                <c:pt idx="4">
                  <c:v>RENDIMIENTO DEL ACTIVO TOTAL (%)</c:v>
                </c:pt>
              </c:strCache>
            </c:strRef>
          </c:cat>
          <c:val>
            <c:numRef>
              <c:f>'INDICADORES BASICOS'!$I$166:$I$170</c:f>
              <c:numCache>
                <c:formatCode>0.00%</c:formatCode>
                <c:ptCount val="5"/>
                <c:pt idx="0">
                  <c:v>0.12030694294781517</c:v>
                </c:pt>
                <c:pt idx="1">
                  <c:v>5.2373707216954279E-2</c:v>
                </c:pt>
                <c:pt idx="2">
                  <c:v>2.74850767444411E-2</c:v>
                </c:pt>
                <c:pt idx="3">
                  <c:v>4.3342731098550254E-2</c:v>
                </c:pt>
                <c:pt idx="4">
                  <c:v>3.1254144685399818E-2</c:v>
                </c:pt>
              </c:numCache>
            </c:numRef>
          </c:val>
          <c:extLst>
            <c:ext xmlns:c16="http://schemas.microsoft.com/office/drawing/2014/chart" uri="{C3380CC4-5D6E-409C-BE32-E72D297353CC}">
              <c16:uniqueId val="{00000002-EBAC-454F-94FE-00349BDC25BE}"/>
            </c:ext>
          </c:extLst>
        </c:ser>
        <c:dLbls>
          <c:showLegendKey val="0"/>
          <c:showVal val="1"/>
          <c:showCatName val="0"/>
          <c:showSerName val="0"/>
          <c:showPercent val="0"/>
          <c:showBubbleSize val="0"/>
        </c:dLbls>
        <c:gapWidth val="150"/>
        <c:shape val="box"/>
        <c:axId val="265034448"/>
        <c:axId val="265035008"/>
        <c:axId val="0"/>
      </c:bar3DChart>
      <c:catAx>
        <c:axId val="265034448"/>
        <c:scaling>
          <c:orientation val="minMax"/>
        </c:scaling>
        <c:delete val="0"/>
        <c:axPos val="l"/>
        <c:numFmt formatCode="General" sourceLinked="1"/>
        <c:majorTickMark val="none"/>
        <c:minorTickMark val="none"/>
        <c:tickLblPos val="nextTo"/>
        <c:txPr>
          <a:bodyPr rot="-60000000" vert="horz"/>
          <a:lstStyle/>
          <a:p>
            <a:pPr>
              <a:defRPr/>
            </a:pPr>
            <a:endParaRPr lang="es-CO"/>
          </a:p>
        </c:txPr>
        <c:crossAx val="265035008"/>
        <c:crosses val="autoZero"/>
        <c:auto val="1"/>
        <c:lblAlgn val="ctr"/>
        <c:lblOffset val="100"/>
        <c:noMultiLvlLbl val="0"/>
      </c:catAx>
      <c:valAx>
        <c:axId val="265035008"/>
        <c:scaling>
          <c:orientation val="minMax"/>
        </c:scaling>
        <c:delete val="0"/>
        <c:axPos val="b"/>
        <c:majorGridlines/>
        <c:numFmt formatCode="General" sourceLinked="1"/>
        <c:majorTickMark val="none"/>
        <c:minorTickMark val="none"/>
        <c:tickLblPos val="nextTo"/>
        <c:txPr>
          <a:bodyPr rot="-60000000" vert="horz"/>
          <a:lstStyle/>
          <a:p>
            <a:pPr>
              <a:defRPr/>
            </a:pPr>
            <a:endParaRPr lang="es-CO"/>
          </a:p>
        </c:txPr>
        <c:crossAx val="265034448"/>
        <c:crosses val="autoZero"/>
        <c:crossBetween val="between"/>
      </c:valAx>
    </c:plotArea>
    <c:plotVisOnly val="1"/>
    <c:dispBlanksAs val="gap"/>
    <c:showDLblsOverMax val="0"/>
  </c:chart>
  <c:printSettings>
    <c:headerFooter/>
    <c:pageMargins b="0.75" l="0.7" r="0.7" t="0.75" header="0.3" footer="0.3"/>
    <c:pageSetup/>
  </c:printSettings>
</c:chartSpace>
</file>

<file path=xl/charts/chart6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26"/>
    </mc:Choice>
    <mc:Fallback>
      <c:style val="26"/>
    </mc:Fallback>
  </mc:AlternateContent>
  <c:chart>
    <c:title>
      <c:tx>
        <c:rich>
          <a:bodyPr rot="0" vert="horz"/>
          <a:lstStyle/>
          <a:p>
            <a:pPr>
              <a:defRPr/>
            </a:pPr>
            <a:r>
              <a:rPr lang="es-CO"/>
              <a:t>INDICADORES DE ACTIVIDAD 2017</a:t>
            </a:r>
          </a:p>
        </c:rich>
      </c:tx>
      <c:overlay val="0"/>
    </c:title>
    <c:autoTitleDeleted val="0"/>
    <c:view3D>
      <c:rotX val="15"/>
      <c:rotY val="20"/>
      <c:depthPercent val="100"/>
      <c:rAngAx val="1"/>
    </c:view3D>
    <c:floor>
      <c:thickness val="0"/>
    </c:floor>
    <c:sideWall>
      <c:thickness val="0"/>
    </c:sideWall>
    <c:backWall>
      <c:thickness val="0"/>
    </c:backWall>
    <c:plotArea>
      <c:layout/>
      <c:bar3DChart>
        <c:barDir val="col"/>
        <c:grouping val="stacked"/>
        <c:varyColors val="0"/>
        <c:ser>
          <c:idx val="0"/>
          <c:order val="0"/>
          <c:invertIfNegative val="0"/>
          <c:dLbls>
            <c:spPr>
              <a:noFill/>
              <a:ln>
                <a:noFill/>
              </a:ln>
              <a:effectLst/>
            </c:spPr>
            <c:txPr>
              <a:bodyPr rot="0" vert="horz"/>
              <a:lstStyle/>
              <a:p>
                <a:pPr>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('INDICADORES BASICOS'!$F$151,'INDICADORES BASICOS'!$F$152,'INDICADORES BASICOS'!$F$153:$F$155)</c:f>
              <c:strCache>
                <c:ptCount val="5"/>
                <c:pt idx="0">
                  <c:v>ROTACION DE CARTERA (Dias)</c:v>
                </c:pt>
                <c:pt idx="1">
                  <c:v>ROTACION DE ACTIVOS FIJOS (Dias)</c:v>
                </c:pt>
                <c:pt idx="2">
                  <c:v>ROTACION DE CUENTAS POR COBRAR (Veces)</c:v>
                </c:pt>
                <c:pt idx="3">
                  <c:v>ROTACION DE ACTIVOS TOTALES (Veces)</c:v>
                </c:pt>
                <c:pt idx="4">
                  <c:v>ROTACION DEL CAPITAL DE TRABAJO</c:v>
                </c:pt>
              </c:strCache>
            </c:strRef>
          </c:cat>
          <c:val>
            <c:numRef>
              <c:f>('INDICADORES BASICOS'!$G$151,'INDICADORES BASICOS'!$G$152,'INDICADORES BASICOS'!$G$153:$G$155)</c:f>
              <c:numCache>
                <c:formatCode>General</c:formatCode>
                <c:ptCount val="5"/>
              </c:numCache>
            </c:numRef>
          </c:val>
          <c:extLst>
            <c:ext xmlns:c16="http://schemas.microsoft.com/office/drawing/2014/chart" uri="{C3380CC4-5D6E-409C-BE32-E72D297353CC}">
              <c16:uniqueId val="{00000000-08EE-8946-92BD-19C5548B4248}"/>
            </c:ext>
          </c:extLst>
        </c:ser>
        <c:ser>
          <c:idx val="1"/>
          <c:order val="1"/>
          <c:invertIfNegative val="0"/>
          <c:dLbls>
            <c:spPr>
              <a:noFill/>
              <a:ln>
                <a:noFill/>
              </a:ln>
              <a:effectLst/>
            </c:spPr>
            <c:txPr>
              <a:bodyPr rot="0" vert="horz"/>
              <a:lstStyle/>
              <a:p>
                <a:pPr>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('INDICADORES BASICOS'!$F$151,'INDICADORES BASICOS'!$F$152,'INDICADORES BASICOS'!$F$153:$F$155)</c:f>
              <c:strCache>
                <c:ptCount val="5"/>
                <c:pt idx="0">
                  <c:v>ROTACION DE CARTERA (Dias)</c:v>
                </c:pt>
                <c:pt idx="1">
                  <c:v>ROTACION DE ACTIVOS FIJOS (Dias)</c:v>
                </c:pt>
                <c:pt idx="2">
                  <c:v>ROTACION DE CUENTAS POR COBRAR (Veces)</c:v>
                </c:pt>
                <c:pt idx="3">
                  <c:v>ROTACION DE ACTIVOS TOTALES (Veces)</c:v>
                </c:pt>
                <c:pt idx="4">
                  <c:v>ROTACION DEL CAPITAL DE TRABAJO</c:v>
                </c:pt>
              </c:strCache>
            </c:strRef>
          </c:cat>
          <c:val>
            <c:numRef>
              <c:f>('INDICADORES BASICOS'!$H$151,'INDICADORES BASICOS'!$H$152,'INDICADORES BASICOS'!$H$153:$H$155)</c:f>
              <c:numCache>
                <c:formatCode>General</c:formatCode>
                <c:ptCount val="5"/>
              </c:numCache>
            </c:numRef>
          </c:val>
          <c:extLst>
            <c:ext xmlns:c16="http://schemas.microsoft.com/office/drawing/2014/chart" uri="{C3380CC4-5D6E-409C-BE32-E72D297353CC}">
              <c16:uniqueId val="{00000001-08EE-8946-92BD-19C5548B4248}"/>
            </c:ext>
          </c:extLst>
        </c:ser>
        <c:ser>
          <c:idx val="2"/>
          <c:order val="2"/>
          <c:invertIfNegative val="0"/>
          <c:dLbls>
            <c:spPr>
              <a:noFill/>
              <a:ln>
                <a:noFill/>
              </a:ln>
              <a:effectLst/>
            </c:spPr>
            <c:txPr>
              <a:bodyPr rot="0" vert="horz"/>
              <a:lstStyle/>
              <a:p>
                <a:pPr>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('INDICADORES BASICOS'!$F$151,'INDICADORES BASICOS'!$F$152,'INDICADORES BASICOS'!$F$153:$F$155)</c:f>
              <c:strCache>
                <c:ptCount val="5"/>
                <c:pt idx="0">
                  <c:v>ROTACION DE CARTERA (Dias)</c:v>
                </c:pt>
                <c:pt idx="1">
                  <c:v>ROTACION DE ACTIVOS FIJOS (Dias)</c:v>
                </c:pt>
                <c:pt idx="2">
                  <c:v>ROTACION DE CUENTAS POR COBRAR (Veces)</c:v>
                </c:pt>
                <c:pt idx="3">
                  <c:v>ROTACION DE ACTIVOS TOTALES (Veces)</c:v>
                </c:pt>
                <c:pt idx="4">
                  <c:v>ROTACION DEL CAPITAL DE TRABAJO</c:v>
                </c:pt>
              </c:strCache>
            </c:strRef>
          </c:cat>
          <c:val>
            <c:numRef>
              <c:f>('INDICADORES BASICOS'!$I$151,'INDICADORES BASICOS'!$I$152,'INDICADORES BASICOS'!$I$153:$I$155)</c:f>
              <c:numCache>
                <c:formatCode>0.00</c:formatCode>
                <c:ptCount val="5"/>
                <c:pt idx="0">
                  <c:v>40.961259748941544</c:v>
                </c:pt>
                <c:pt idx="1">
                  <c:v>2.0171077327162563</c:v>
                </c:pt>
                <c:pt idx="2">
                  <c:v>8.7887921955159722</c:v>
                </c:pt>
                <c:pt idx="3">
                  <c:v>0.96028478936269268</c:v>
                </c:pt>
                <c:pt idx="4">
                  <c:v>9.1</c:v>
                </c:pt>
              </c:numCache>
            </c:numRef>
          </c:val>
          <c:extLst>
            <c:ext xmlns:c16="http://schemas.microsoft.com/office/drawing/2014/chart" uri="{C3380CC4-5D6E-409C-BE32-E72D297353CC}">
              <c16:uniqueId val="{00000002-08EE-8946-92BD-19C5548B4248}"/>
            </c:ext>
          </c:extLst>
        </c:ser>
        <c:dLbls>
          <c:showLegendKey val="0"/>
          <c:showVal val="1"/>
          <c:showCatName val="0"/>
          <c:showSerName val="0"/>
          <c:showPercent val="0"/>
          <c:showBubbleSize val="0"/>
        </c:dLbls>
        <c:gapWidth val="150"/>
        <c:shape val="box"/>
        <c:axId val="265186528"/>
        <c:axId val="265187088"/>
        <c:axId val="0"/>
      </c:bar3DChart>
      <c:catAx>
        <c:axId val="265186528"/>
        <c:scaling>
          <c:orientation val="minMax"/>
        </c:scaling>
        <c:delete val="0"/>
        <c:axPos val="b"/>
        <c:numFmt formatCode="General" sourceLinked="1"/>
        <c:majorTickMark val="none"/>
        <c:minorTickMark val="none"/>
        <c:tickLblPos val="nextTo"/>
        <c:txPr>
          <a:bodyPr rot="-60000000" vert="horz"/>
          <a:lstStyle/>
          <a:p>
            <a:pPr>
              <a:defRPr/>
            </a:pPr>
            <a:endParaRPr lang="es-CO"/>
          </a:p>
        </c:txPr>
        <c:crossAx val="265187088"/>
        <c:crosses val="autoZero"/>
        <c:auto val="1"/>
        <c:lblAlgn val="ctr"/>
        <c:lblOffset val="100"/>
        <c:noMultiLvlLbl val="0"/>
      </c:catAx>
      <c:valAx>
        <c:axId val="265187088"/>
        <c:scaling>
          <c:orientation val="minMax"/>
        </c:scaling>
        <c:delete val="0"/>
        <c:axPos val="l"/>
        <c:majorGridlines/>
        <c:numFmt formatCode="General" sourceLinked="1"/>
        <c:majorTickMark val="none"/>
        <c:minorTickMark val="none"/>
        <c:tickLblPos val="nextTo"/>
        <c:txPr>
          <a:bodyPr rot="-60000000" vert="horz"/>
          <a:lstStyle/>
          <a:p>
            <a:pPr>
              <a:defRPr/>
            </a:pPr>
            <a:endParaRPr lang="es-CO"/>
          </a:p>
        </c:txPr>
        <c:crossAx val="265186528"/>
        <c:crosses val="autoZero"/>
        <c:crossBetween val="between"/>
      </c:valAx>
    </c:plotArea>
    <c:plotVisOnly val="1"/>
    <c:dispBlanksAs val="gap"/>
    <c:showDLblsOverMax val="0"/>
  </c:chart>
  <c:printSettings>
    <c:headerFooter/>
    <c:pageMargins b="0.75" l="0.7" r="0.7" t="0.75" header="0.3" footer="0.3"/>
    <c:pageSetup/>
  </c:printSettings>
</c:chartSpace>
</file>

<file path=xl/charts/chart6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40"/>
    </mc:Choice>
    <mc:Fallback>
      <c:style val="40"/>
    </mc:Fallback>
  </mc:AlternateContent>
  <c:chart>
    <c:title>
      <c:tx>
        <c:rich>
          <a:bodyPr rot="0" vert="horz"/>
          <a:lstStyle/>
          <a:p>
            <a:pPr>
              <a:defRPr/>
            </a:pPr>
            <a:r>
              <a:rPr lang="es-CO"/>
              <a:t>INDICADORES DE LIQUIDEZ 2017</a:t>
            </a:r>
          </a:p>
        </c:rich>
      </c:tx>
      <c:overlay val="0"/>
    </c:title>
    <c:autoTitleDeleted val="0"/>
    <c:view3D>
      <c:rotX val="15"/>
      <c:rotY val="20"/>
      <c:depthPercent val="100"/>
      <c:rAngAx val="1"/>
    </c:view3D>
    <c:floor>
      <c:thickness val="0"/>
    </c:floor>
    <c:sideWall>
      <c:thickness val="0"/>
    </c:sideWall>
    <c:backWall>
      <c:thickness val="0"/>
    </c:backWall>
    <c:plotArea>
      <c:layout/>
      <c:bar3DChart>
        <c:barDir val="bar"/>
        <c:grouping val="stacked"/>
        <c:varyColors val="0"/>
        <c:ser>
          <c:idx val="0"/>
          <c:order val="0"/>
          <c:invertIfNegative val="0"/>
          <c:dLbls>
            <c:spPr>
              <a:noFill/>
              <a:ln>
                <a:noFill/>
              </a:ln>
              <a:effectLst/>
            </c:spPr>
            <c:txPr>
              <a:bodyPr rot="0" vert="horz"/>
              <a:lstStyle/>
              <a:p>
                <a:pPr>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('INDICADORES BASICOS'!$F$146,'INDICADORES BASICOS'!$F$148)</c:f>
              <c:strCache>
                <c:ptCount val="2"/>
                <c:pt idx="0">
                  <c:v>RAZON CORRIENTE (Veces)</c:v>
                </c:pt>
                <c:pt idx="1">
                  <c:v>CAPITAL NETO DE TRABAJO ($)</c:v>
                </c:pt>
              </c:strCache>
            </c:strRef>
          </c:cat>
          <c:val>
            <c:numRef>
              <c:f>('INDICADORES BASICOS'!$G$146,'INDICADORES BASICOS'!$G$148)</c:f>
              <c:numCache>
                <c:formatCode>General</c:formatCode>
                <c:ptCount val="2"/>
              </c:numCache>
            </c:numRef>
          </c:val>
          <c:extLst>
            <c:ext xmlns:c16="http://schemas.microsoft.com/office/drawing/2014/chart" uri="{C3380CC4-5D6E-409C-BE32-E72D297353CC}">
              <c16:uniqueId val="{00000000-BCB9-9145-B7BE-6C170482E4B0}"/>
            </c:ext>
          </c:extLst>
        </c:ser>
        <c:ser>
          <c:idx val="1"/>
          <c:order val="1"/>
          <c:invertIfNegative val="0"/>
          <c:dLbls>
            <c:spPr>
              <a:noFill/>
              <a:ln>
                <a:noFill/>
              </a:ln>
              <a:effectLst/>
            </c:spPr>
            <c:txPr>
              <a:bodyPr rot="0" vert="horz"/>
              <a:lstStyle/>
              <a:p>
                <a:pPr>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('INDICADORES BASICOS'!$F$146,'INDICADORES BASICOS'!$F$148)</c:f>
              <c:strCache>
                <c:ptCount val="2"/>
                <c:pt idx="0">
                  <c:v>RAZON CORRIENTE (Veces)</c:v>
                </c:pt>
                <c:pt idx="1">
                  <c:v>CAPITAL NETO DE TRABAJO ($)</c:v>
                </c:pt>
              </c:strCache>
            </c:strRef>
          </c:cat>
          <c:val>
            <c:numRef>
              <c:f>('INDICADORES BASICOS'!$H$146,'INDICADORES BASICOS'!$H$148)</c:f>
              <c:numCache>
                <c:formatCode>General</c:formatCode>
                <c:ptCount val="2"/>
              </c:numCache>
            </c:numRef>
          </c:val>
          <c:extLst>
            <c:ext xmlns:c16="http://schemas.microsoft.com/office/drawing/2014/chart" uri="{C3380CC4-5D6E-409C-BE32-E72D297353CC}">
              <c16:uniqueId val="{00000001-BCB9-9145-B7BE-6C170482E4B0}"/>
            </c:ext>
          </c:extLst>
        </c:ser>
        <c:ser>
          <c:idx val="2"/>
          <c:order val="2"/>
          <c:invertIfNegative val="0"/>
          <c:dLbls>
            <c:spPr>
              <a:noFill/>
              <a:ln>
                <a:noFill/>
              </a:ln>
              <a:effectLst/>
            </c:spPr>
            <c:txPr>
              <a:bodyPr rot="0" vert="horz"/>
              <a:lstStyle/>
              <a:p>
                <a:pPr>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('INDICADORES BASICOS'!$F$146,'INDICADORES BASICOS'!$F$148)</c:f>
              <c:strCache>
                <c:ptCount val="2"/>
                <c:pt idx="0">
                  <c:v>RAZON CORRIENTE (Veces)</c:v>
                </c:pt>
                <c:pt idx="1">
                  <c:v>CAPITAL NETO DE TRABAJO ($)</c:v>
                </c:pt>
              </c:strCache>
            </c:strRef>
          </c:cat>
          <c:val>
            <c:numRef>
              <c:f>('INDICADORES BASICOS'!$I$146,'INDICADORES BASICOS'!$I$148)</c:f>
              <c:numCache>
                <c:formatCode>"$"\ #,##0</c:formatCode>
                <c:ptCount val="2"/>
                <c:pt idx="0" formatCode="0.00">
                  <c:v>1.5497608130935312</c:v>
                </c:pt>
                <c:pt idx="1">
                  <c:v>154916000</c:v>
                </c:pt>
              </c:numCache>
            </c:numRef>
          </c:val>
          <c:extLst>
            <c:ext xmlns:c16="http://schemas.microsoft.com/office/drawing/2014/chart" uri="{C3380CC4-5D6E-409C-BE32-E72D297353CC}">
              <c16:uniqueId val="{00000002-BCB9-9145-B7BE-6C170482E4B0}"/>
            </c:ext>
          </c:extLst>
        </c:ser>
        <c:dLbls>
          <c:showLegendKey val="0"/>
          <c:showVal val="1"/>
          <c:showCatName val="0"/>
          <c:showSerName val="0"/>
          <c:showPercent val="0"/>
          <c:showBubbleSize val="0"/>
        </c:dLbls>
        <c:gapWidth val="150"/>
        <c:shape val="box"/>
        <c:axId val="265191008"/>
        <c:axId val="265191568"/>
        <c:axId val="0"/>
      </c:bar3DChart>
      <c:catAx>
        <c:axId val="265191008"/>
        <c:scaling>
          <c:orientation val="minMax"/>
        </c:scaling>
        <c:delete val="0"/>
        <c:axPos val="l"/>
        <c:numFmt formatCode="General" sourceLinked="1"/>
        <c:majorTickMark val="none"/>
        <c:minorTickMark val="none"/>
        <c:tickLblPos val="nextTo"/>
        <c:txPr>
          <a:bodyPr rot="-60000000" vert="horz"/>
          <a:lstStyle/>
          <a:p>
            <a:pPr>
              <a:defRPr/>
            </a:pPr>
            <a:endParaRPr lang="es-CO"/>
          </a:p>
        </c:txPr>
        <c:crossAx val="265191568"/>
        <c:crosses val="autoZero"/>
        <c:auto val="1"/>
        <c:lblAlgn val="ctr"/>
        <c:lblOffset val="100"/>
        <c:noMultiLvlLbl val="0"/>
      </c:catAx>
      <c:valAx>
        <c:axId val="265191568"/>
        <c:scaling>
          <c:orientation val="minMax"/>
        </c:scaling>
        <c:delete val="0"/>
        <c:axPos val="b"/>
        <c:majorGridlines/>
        <c:numFmt formatCode="General" sourceLinked="1"/>
        <c:majorTickMark val="none"/>
        <c:minorTickMark val="none"/>
        <c:tickLblPos val="nextTo"/>
        <c:txPr>
          <a:bodyPr rot="-60000000" vert="horz"/>
          <a:lstStyle/>
          <a:p>
            <a:pPr>
              <a:defRPr/>
            </a:pPr>
            <a:endParaRPr lang="es-CO"/>
          </a:p>
        </c:txPr>
        <c:crossAx val="265191008"/>
        <c:crosses val="autoZero"/>
        <c:crossBetween val="between"/>
      </c:valAx>
    </c:plotArea>
    <c:plotVisOnly val="1"/>
    <c:dispBlanksAs val="gap"/>
    <c:showDLblsOverMax val="0"/>
  </c:chart>
  <c:printSettings>
    <c:headerFooter/>
    <c:pageMargins b="0.75" l="0.7" r="0.7" t="0.75" header="0.3" footer="0.3"/>
    <c:pageSetup/>
  </c:printSettings>
</c:chartSpace>
</file>

<file path=xl/charts/chart6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s-CO"/>
              <a:t>ESTRUCTURA DEL ENDEUDAMIENTO  2016</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view3D>
      <c:rotX val="15"/>
      <c:rotY val="20"/>
      <c:depthPercent val="100"/>
      <c:rAngAx val="1"/>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bar3DChart>
        <c:barDir val="bar"/>
        <c:grouping val="clustered"/>
        <c:varyColors val="0"/>
        <c:ser>
          <c:idx val="0"/>
          <c:order val="0"/>
          <c:spPr>
            <a:solidFill>
              <a:schemeClr val="accent1"/>
            </a:solidFill>
            <a:ln>
              <a:noFill/>
            </a:ln>
            <a:effectLst/>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('INDICADORES BASICOS'!$F$248:$F$251,'INDICADORES BASICOS'!$F$252:$F$253)</c:f>
              <c:strCache>
                <c:ptCount val="6"/>
                <c:pt idx="0">
                  <c:v>NIVEL DE ENDEUDAMIENTO (%)</c:v>
                </c:pt>
                <c:pt idx="1">
                  <c:v>ENDEUDAMIENTO FINANCIERO (%)</c:v>
                </c:pt>
                <c:pt idx="2">
                  <c:v>RAZON DE AUTONOMIA (%)</c:v>
                </c:pt>
                <c:pt idx="3">
                  <c:v>APALANCAMIENTO INTERNO (%)</c:v>
                </c:pt>
                <c:pt idx="4">
                  <c:v>LAVERAGE O APALANCAMIENTO</c:v>
                </c:pt>
                <c:pt idx="5">
                  <c:v>CONCEN. DEL ENDEUDAMIENTO EN CP (%)</c:v>
                </c:pt>
              </c:strCache>
            </c:strRef>
          </c:cat>
          <c:val>
            <c:numRef>
              <c:f>('INDICADORES BASICOS'!$G$248:$G$251,'INDICADORES BASICOS'!$G$252:$G$253)</c:f>
              <c:numCache>
                <c:formatCode>General</c:formatCode>
                <c:ptCount val="6"/>
              </c:numCache>
            </c:numRef>
          </c:val>
          <c:extLst>
            <c:ext xmlns:c16="http://schemas.microsoft.com/office/drawing/2014/chart" uri="{C3380CC4-5D6E-409C-BE32-E72D297353CC}">
              <c16:uniqueId val="{00000000-31E3-8947-A394-F16A1B399257}"/>
            </c:ext>
          </c:extLst>
        </c:ser>
        <c:ser>
          <c:idx val="1"/>
          <c:order val="1"/>
          <c:spPr>
            <a:solidFill>
              <a:schemeClr val="accent2"/>
            </a:solidFill>
            <a:ln>
              <a:noFill/>
            </a:ln>
            <a:effectLst/>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('INDICADORES BASICOS'!$F$248:$F$251,'INDICADORES BASICOS'!$F$252:$F$253)</c:f>
              <c:strCache>
                <c:ptCount val="6"/>
                <c:pt idx="0">
                  <c:v>NIVEL DE ENDEUDAMIENTO (%)</c:v>
                </c:pt>
                <c:pt idx="1">
                  <c:v>ENDEUDAMIENTO FINANCIERO (%)</c:v>
                </c:pt>
                <c:pt idx="2">
                  <c:v>RAZON DE AUTONOMIA (%)</c:v>
                </c:pt>
                <c:pt idx="3">
                  <c:v>APALANCAMIENTO INTERNO (%)</c:v>
                </c:pt>
                <c:pt idx="4">
                  <c:v>LAVERAGE O APALANCAMIENTO</c:v>
                </c:pt>
                <c:pt idx="5">
                  <c:v>CONCEN. DEL ENDEUDAMIENTO EN CP (%)</c:v>
                </c:pt>
              </c:strCache>
            </c:strRef>
          </c:cat>
          <c:val>
            <c:numRef>
              <c:f>('INDICADORES BASICOS'!$H$248:$H$251,'INDICADORES BASICOS'!$H$252:$H$253)</c:f>
              <c:numCache>
                <c:formatCode>General</c:formatCode>
                <c:ptCount val="6"/>
              </c:numCache>
            </c:numRef>
          </c:val>
          <c:extLst>
            <c:ext xmlns:c16="http://schemas.microsoft.com/office/drawing/2014/chart" uri="{C3380CC4-5D6E-409C-BE32-E72D297353CC}">
              <c16:uniqueId val="{00000001-31E3-8947-A394-F16A1B399257}"/>
            </c:ext>
          </c:extLst>
        </c:ser>
        <c:ser>
          <c:idx val="2"/>
          <c:order val="2"/>
          <c:spPr>
            <a:solidFill>
              <a:schemeClr val="accent3"/>
            </a:solidFill>
            <a:ln>
              <a:noFill/>
            </a:ln>
            <a:effectLst/>
            <a:sp3d/>
          </c:spPr>
          <c:invertIfNegative val="0"/>
          <c:dLbls>
            <c:dLbl>
              <c:idx val="1"/>
              <c:layout>
                <c:manualLayout>
                  <c:x val="4.0593286494925843E-2"/>
                  <c:y val="-5.204267499349562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C0E1-40E6-B6A7-14CC494E5011}"/>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('INDICADORES BASICOS'!$F$248:$F$251,'INDICADORES BASICOS'!$F$252:$F$253)</c:f>
              <c:strCache>
                <c:ptCount val="6"/>
                <c:pt idx="0">
                  <c:v>NIVEL DE ENDEUDAMIENTO (%)</c:v>
                </c:pt>
                <c:pt idx="1">
                  <c:v>ENDEUDAMIENTO FINANCIERO (%)</c:v>
                </c:pt>
                <c:pt idx="2">
                  <c:v>RAZON DE AUTONOMIA (%)</c:v>
                </c:pt>
                <c:pt idx="3">
                  <c:v>APALANCAMIENTO INTERNO (%)</c:v>
                </c:pt>
                <c:pt idx="4">
                  <c:v>LAVERAGE O APALANCAMIENTO</c:v>
                </c:pt>
                <c:pt idx="5">
                  <c:v>CONCEN. DEL ENDEUDAMIENTO EN CP (%)</c:v>
                </c:pt>
              </c:strCache>
            </c:strRef>
          </c:cat>
          <c:val>
            <c:numRef>
              <c:f>('INDICADORES BASICOS'!$I$248:$I$251,'INDICADORES BASICOS'!$I$252:$I$253)</c:f>
              <c:numCache>
                <c:formatCode>0.00%</c:formatCode>
                <c:ptCount val="6"/>
                <c:pt idx="0">
                  <c:v>0.18867463287720668</c:v>
                </c:pt>
                <c:pt idx="1">
                  <c:v>0</c:v>
                </c:pt>
                <c:pt idx="2">
                  <c:v>0.81132536712279335</c:v>
                </c:pt>
                <c:pt idx="3">
                  <c:v>4.3001295656465945</c:v>
                </c:pt>
                <c:pt idx="4">
                  <c:v>0.23255113240980538</c:v>
                </c:pt>
                <c:pt idx="5">
                  <c:v>1</c:v>
                </c:pt>
              </c:numCache>
            </c:numRef>
          </c:val>
          <c:extLst>
            <c:ext xmlns:c16="http://schemas.microsoft.com/office/drawing/2014/chart" uri="{C3380CC4-5D6E-409C-BE32-E72D297353CC}">
              <c16:uniqueId val="{00000002-31E3-8947-A394-F16A1B399257}"/>
            </c:ext>
          </c:extLst>
        </c:ser>
        <c:dLbls>
          <c:showLegendKey val="0"/>
          <c:showVal val="1"/>
          <c:showCatName val="0"/>
          <c:showSerName val="0"/>
          <c:showPercent val="0"/>
          <c:showBubbleSize val="0"/>
        </c:dLbls>
        <c:gapWidth val="150"/>
        <c:shape val="box"/>
        <c:axId val="265195488"/>
        <c:axId val="265196048"/>
        <c:axId val="0"/>
      </c:bar3DChart>
      <c:catAx>
        <c:axId val="265195488"/>
        <c:scaling>
          <c:orientation val="minMax"/>
        </c:scaling>
        <c:delete val="0"/>
        <c:axPos val="l"/>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65196048"/>
        <c:crosses val="autoZero"/>
        <c:auto val="1"/>
        <c:lblAlgn val="ctr"/>
        <c:lblOffset val="100"/>
        <c:noMultiLvlLbl val="0"/>
      </c:catAx>
      <c:valAx>
        <c:axId val="265196048"/>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65195488"/>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6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6"/>
    </mc:Choice>
    <mc:Fallback>
      <c:style val="6"/>
    </mc:Fallback>
  </mc:AlternateContent>
  <c:chart>
    <c:title>
      <c:tx>
        <c:rich>
          <a:bodyPr rot="0" vert="horz"/>
          <a:lstStyle/>
          <a:p>
            <a:pPr>
              <a:defRPr/>
            </a:pPr>
            <a:r>
              <a:rPr lang="es-CO"/>
              <a:t>INDICADORES RENTABILIDAD 2016</a:t>
            </a:r>
          </a:p>
        </c:rich>
      </c:tx>
      <c:overlay val="0"/>
    </c:title>
    <c:autoTitleDeleted val="0"/>
    <c:view3D>
      <c:rotX val="15"/>
      <c:rotY val="20"/>
      <c:depthPercent val="100"/>
      <c:rAngAx val="1"/>
    </c:view3D>
    <c:floor>
      <c:thickness val="0"/>
    </c:floor>
    <c:sideWall>
      <c:thickness val="0"/>
    </c:sideWall>
    <c:backWall>
      <c:thickness val="0"/>
    </c:backWall>
    <c:plotArea>
      <c:layout/>
      <c:bar3DChart>
        <c:barDir val="bar"/>
        <c:grouping val="stacked"/>
        <c:varyColors val="0"/>
        <c:ser>
          <c:idx val="0"/>
          <c:order val="0"/>
          <c:invertIfNegative val="0"/>
          <c:dLbls>
            <c:spPr>
              <a:noFill/>
              <a:ln>
                <a:noFill/>
              </a:ln>
              <a:effectLst/>
            </c:spPr>
            <c:txPr>
              <a:bodyPr rot="0" vert="horz"/>
              <a:lstStyle/>
              <a:p>
                <a:pPr>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'INDICADORES BASICOS'!$F$256:$F$260</c:f>
              <c:strCache>
                <c:ptCount val="5"/>
                <c:pt idx="0">
                  <c:v>MARGEN BRUTO DE UTILIDAD (%)</c:v>
                </c:pt>
                <c:pt idx="1">
                  <c:v>MARGEN OPERACIONAL DE UTILIDAD (%)</c:v>
                </c:pt>
                <c:pt idx="2">
                  <c:v>MARGEN NETO DE UTILIDAD</c:v>
                </c:pt>
                <c:pt idx="3">
                  <c:v>RENDIMIENTO DEL PATRIMONIO (%)</c:v>
                </c:pt>
                <c:pt idx="4">
                  <c:v>RENDIMIENTO DEL ACTIVO TOTAL (%)</c:v>
                </c:pt>
              </c:strCache>
            </c:strRef>
          </c:cat>
          <c:val>
            <c:numRef>
              <c:f>'INDICADORES BASICOS'!$G$256:$G$260</c:f>
              <c:numCache>
                <c:formatCode>General</c:formatCode>
                <c:ptCount val="5"/>
              </c:numCache>
            </c:numRef>
          </c:val>
          <c:extLst>
            <c:ext xmlns:c16="http://schemas.microsoft.com/office/drawing/2014/chart" uri="{C3380CC4-5D6E-409C-BE32-E72D297353CC}">
              <c16:uniqueId val="{00000000-EF80-F84A-ACA5-28E14E255AA7}"/>
            </c:ext>
          </c:extLst>
        </c:ser>
        <c:ser>
          <c:idx val="1"/>
          <c:order val="1"/>
          <c:invertIfNegative val="0"/>
          <c:dLbls>
            <c:spPr>
              <a:noFill/>
              <a:ln>
                <a:noFill/>
              </a:ln>
              <a:effectLst/>
            </c:spPr>
            <c:txPr>
              <a:bodyPr rot="0" vert="horz"/>
              <a:lstStyle/>
              <a:p>
                <a:pPr>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'INDICADORES BASICOS'!$F$256:$F$260</c:f>
              <c:strCache>
                <c:ptCount val="5"/>
                <c:pt idx="0">
                  <c:v>MARGEN BRUTO DE UTILIDAD (%)</c:v>
                </c:pt>
                <c:pt idx="1">
                  <c:v>MARGEN OPERACIONAL DE UTILIDAD (%)</c:v>
                </c:pt>
                <c:pt idx="2">
                  <c:v>MARGEN NETO DE UTILIDAD</c:v>
                </c:pt>
                <c:pt idx="3">
                  <c:v>RENDIMIENTO DEL PATRIMONIO (%)</c:v>
                </c:pt>
                <c:pt idx="4">
                  <c:v>RENDIMIENTO DEL ACTIVO TOTAL (%)</c:v>
                </c:pt>
              </c:strCache>
            </c:strRef>
          </c:cat>
          <c:val>
            <c:numRef>
              <c:f>'INDICADORES BASICOS'!$H$256:$H$260</c:f>
              <c:numCache>
                <c:formatCode>General</c:formatCode>
                <c:ptCount val="5"/>
              </c:numCache>
            </c:numRef>
          </c:val>
          <c:extLst>
            <c:ext xmlns:c16="http://schemas.microsoft.com/office/drawing/2014/chart" uri="{C3380CC4-5D6E-409C-BE32-E72D297353CC}">
              <c16:uniqueId val="{00000001-EF80-F84A-ACA5-28E14E255AA7}"/>
            </c:ext>
          </c:extLst>
        </c:ser>
        <c:ser>
          <c:idx val="2"/>
          <c:order val="2"/>
          <c:invertIfNegative val="0"/>
          <c:dLbls>
            <c:spPr>
              <a:noFill/>
              <a:ln>
                <a:noFill/>
              </a:ln>
              <a:effectLst/>
            </c:spPr>
            <c:txPr>
              <a:bodyPr rot="0" vert="horz"/>
              <a:lstStyle/>
              <a:p>
                <a:pPr>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'INDICADORES BASICOS'!$F$256:$F$260</c:f>
              <c:strCache>
                <c:ptCount val="5"/>
                <c:pt idx="0">
                  <c:v>MARGEN BRUTO DE UTILIDAD (%)</c:v>
                </c:pt>
                <c:pt idx="1">
                  <c:v>MARGEN OPERACIONAL DE UTILIDAD (%)</c:v>
                </c:pt>
                <c:pt idx="2">
                  <c:v>MARGEN NETO DE UTILIDAD</c:v>
                </c:pt>
                <c:pt idx="3">
                  <c:v>RENDIMIENTO DEL PATRIMONIO (%)</c:v>
                </c:pt>
                <c:pt idx="4">
                  <c:v>RENDIMIENTO DEL ACTIVO TOTAL (%)</c:v>
                </c:pt>
              </c:strCache>
            </c:strRef>
          </c:cat>
          <c:val>
            <c:numRef>
              <c:f>'INDICADORES BASICOS'!$I$256:$I$260</c:f>
              <c:numCache>
                <c:formatCode>0.00%</c:formatCode>
                <c:ptCount val="5"/>
                <c:pt idx="0">
                  <c:v>0.14105410157958395</c:v>
                </c:pt>
                <c:pt idx="1">
                  <c:v>5.7885402496810366E-2</c:v>
                </c:pt>
                <c:pt idx="2">
                  <c:v>3.5821899421794458E-2</c:v>
                </c:pt>
                <c:pt idx="3">
                  <c:v>3.4080620978097893E-2</c:v>
                </c:pt>
                <c:pt idx="4">
                  <c:v>2.7650472326828046E-2</c:v>
                </c:pt>
              </c:numCache>
            </c:numRef>
          </c:val>
          <c:extLst>
            <c:ext xmlns:c16="http://schemas.microsoft.com/office/drawing/2014/chart" uri="{C3380CC4-5D6E-409C-BE32-E72D297353CC}">
              <c16:uniqueId val="{00000002-EF80-F84A-ACA5-28E14E255AA7}"/>
            </c:ext>
          </c:extLst>
        </c:ser>
        <c:dLbls>
          <c:showLegendKey val="0"/>
          <c:showVal val="1"/>
          <c:showCatName val="0"/>
          <c:showSerName val="0"/>
          <c:showPercent val="0"/>
          <c:showBubbleSize val="0"/>
        </c:dLbls>
        <c:gapWidth val="150"/>
        <c:shape val="box"/>
        <c:axId val="265199968"/>
        <c:axId val="265200528"/>
        <c:axId val="0"/>
      </c:bar3DChart>
      <c:catAx>
        <c:axId val="265199968"/>
        <c:scaling>
          <c:orientation val="minMax"/>
        </c:scaling>
        <c:delete val="0"/>
        <c:axPos val="l"/>
        <c:numFmt formatCode="General" sourceLinked="1"/>
        <c:majorTickMark val="none"/>
        <c:minorTickMark val="none"/>
        <c:tickLblPos val="nextTo"/>
        <c:txPr>
          <a:bodyPr rot="-60000000" vert="horz"/>
          <a:lstStyle/>
          <a:p>
            <a:pPr>
              <a:defRPr/>
            </a:pPr>
            <a:endParaRPr lang="es-CO"/>
          </a:p>
        </c:txPr>
        <c:crossAx val="265200528"/>
        <c:crosses val="autoZero"/>
        <c:auto val="1"/>
        <c:lblAlgn val="ctr"/>
        <c:lblOffset val="100"/>
        <c:noMultiLvlLbl val="0"/>
      </c:catAx>
      <c:valAx>
        <c:axId val="265200528"/>
        <c:scaling>
          <c:orientation val="minMax"/>
        </c:scaling>
        <c:delete val="0"/>
        <c:axPos val="b"/>
        <c:majorGridlines/>
        <c:numFmt formatCode="General" sourceLinked="1"/>
        <c:majorTickMark val="none"/>
        <c:minorTickMark val="none"/>
        <c:tickLblPos val="nextTo"/>
        <c:txPr>
          <a:bodyPr rot="-60000000" vert="horz"/>
          <a:lstStyle/>
          <a:p>
            <a:pPr>
              <a:defRPr/>
            </a:pPr>
            <a:endParaRPr lang="es-CO"/>
          </a:p>
        </c:txPr>
        <c:crossAx val="265199968"/>
        <c:crosses val="autoZero"/>
        <c:crossBetween val="between"/>
      </c:valAx>
    </c:plotArea>
    <c:plotVisOnly val="1"/>
    <c:dispBlanksAs val="gap"/>
    <c:showDLblsOverMax val="0"/>
  </c:chart>
  <c:printSettings>
    <c:headerFooter/>
    <c:pageMargins b="0.75" l="0.7" r="0.7" t="0.75" header="0.3" footer="0.3"/>
    <c:pageSetup/>
  </c:printSettings>
</c:chartSpace>
</file>

<file path=xl/charts/chart6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36"/>
    </mc:Choice>
    <mc:Fallback>
      <c:style val="36"/>
    </mc:Fallback>
  </mc:AlternateContent>
  <c:chart>
    <c:title>
      <c:tx>
        <c:rich>
          <a:bodyPr rot="0" vert="horz"/>
          <a:lstStyle/>
          <a:p>
            <a:pPr>
              <a:defRPr/>
            </a:pPr>
            <a:r>
              <a:rPr lang="es-CO"/>
              <a:t>INDICADORES DE ACTIVIDAD 2016</a:t>
            </a:r>
          </a:p>
        </c:rich>
      </c:tx>
      <c:overlay val="0"/>
    </c:title>
    <c:autoTitleDeleted val="0"/>
    <c:view3D>
      <c:rotX val="15"/>
      <c:rotY val="20"/>
      <c:depthPercent val="100"/>
      <c:rAngAx val="1"/>
    </c:view3D>
    <c:floor>
      <c:thickness val="0"/>
    </c:floor>
    <c:sideWall>
      <c:thickness val="0"/>
    </c:sideWall>
    <c:backWall>
      <c:thickness val="0"/>
    </c:backWall>
    <c:plotArea>
      <c:layout/>
      <c:bar3DChart>
        <c:barDir val="col"/>
        <c:grouping val="stacked"/>
        <c:varyColors val="0"/>
        <c:ser>
          <c:idx val="0"/>
          <c:order val="0"/>
          <c:invertIfNegative val="0"/>
          <c:dLbls>
            <c:spPr>
              <a:noFill/>
              <a:ln>
                <a:noFill/>
              </a:ln>
              <a:effectLst/>
            </c:spPr>
            <c:txPr>
              <a:bodyPr rot="0" vert="horz"/>
              <a:lstStyle/>
              <a:p>
                <a:pPr>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('INDICADORES BASICOS'!$F$241,'INDICADORES BASICOS'!$F$242,'INDICADORES BASICOS'!$F$243:$F$245)</c:f>
              <c:strCache>
                <c:ptCount val="5"/>
                <c:pt idx="0">
                  <c:v>ROTACION DE CARTERA (Dias)</c:v>
                </c:pt>
                <c:pt idx="1">
                  <c:v>ROTACION DE ACTIVOS FIJOS (Dias)</c:v>
                </c:pt>
                <c:pt idx="2">
                  <c:v>DIAS DE CUENTAS POR COBRAR</c:v>
                </c:pt>
                <c:pt idx="3">
                  <c:v>ROTACION DE ACTIVOS TOTALES (Veces)</c:v>
                </c:pt>
                <c:pt idx="4">
                  <c:v>ROTACION DEL CAPITAL DE TRABAJO</c:v>
                </c:pt>
              </c:strCache>
            </c:strRef>
          </c:cat>
          <c:val>
            <c:numRef>
              <c:f>('INDICADORES BASICOS'!$G$241,'INDICADORES BASICOS'!$G$242,'INDICADORES BASICOS'!$G$243:$G$245)</c:f>
              <c:numCache>
                <c:formatCode>General</c:formatCode>
                <c:ptCount val="5"/>
              </c:numCache>
            </c:numRef>
          </c:val>
          <c:extLst>
            <c:ext xmlns:c16="http://schemas.microsoft.com/office/drawing/2014/chart" uri="{C3380CC4-5D6E-409C-BE32-E72D297353CC}">
              <c16:uniqueId val="{00000000-F42C-2940-8253-3A5825EC03B4}"/>
            </c:ext>
          </c:extLst>
        </c:ser>
        <c:ser>
          <c:idx val="1"/>
          <c:order val="1"/>
          <c:invertIfNegative val="0"/>
          <c:dLbls>
            <c:spPr>
              <a:noFill/>
              <a:ln>
                <a:noFill/>
              </a:ln>
              <a:effectLst/>
            </c:spPr>
            <c:txPr>
              <a:bodyPr rot="0" vert="horz"/>
              <a:lstStyle/>
              <a:p>
                <a:pPr>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('INDICADORES BASICOS'!$F$241,'INDICADORES BASICOS'!$F$242,'INDICADORES BASICOS'!$F$243:$F$245)</c:f>
              <c:strCache>
                <c:ptCount val="5"/>
                <c:pt idx="0">
                  <c:v>ROTACION DE CARTERA (Dias)</c:v>
                </c:pt>
                <c:pt idx="1">
                  <c:v>ROTACION DE ACTIVOS FIJOS (Dias)</c:v>
                </c:pt>
                <c:pt idx="2">
                  <c:v>DIAS DE CUENTAS POR COBRAR</c:v>
                </c:pt>
                <c:pt idx="3">
                  <c:v>ROTACION DE ACTIVOS TOTALES (Veces)</c:v>
                </c:pt>
                <c:pt idx="4">
                  <c:v>ROTACION DEL CAPITAL DE TRABAJO</c:v>
                </c:pt>
              </c:strCache>
            </c:strRef>
          </c:cat>
          <c:val>
            <c:numRef>
              <c:f>('INDICADORES BASICOS'!$H$241,'INDICADORES BASICOS'!$H$242,'INDICADORES BASICOS'!$H$243:$H$245)</c:f>
              <c:numCache>
                <c:formatCode>General</c:formatCode>
                <c:ptCount val="5"/>
              </c:numCache>
            </c:numRef>
          </c:val>
          <c:extLst>
            <c:ext xmlns:c16="http://schemas.microsoft.com/office/drawing/2014/chart" uri="{C3380CC4-5D6E-409C-BE32-E72D297353CC}">
              <c16:uniqueId val="{00000001-F42C-2940-8253-3A5825EC03B4}"/>
            </c:ext>
          </c:extLst>
        </c:ser>
        <c:ser>
          <c:idx val="2"/>
          <c:order val="2"/>
          <c:invertIfNegative val="0"/>
          <c:dLbls>
            <c:spPr>
              <a:noFill/>
              <a:ln>
                <a:noFill/>
              </a:ln>
              <a:effectLst/>
            </c:spPr>
            <c:txPr>
              <a:bodyPr rot="0" vert="horz"/>
              <a:lstStyle/>
              <a:p>
                <a:pPr>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('INDICADORES BASICOS'!$F$241,'INDICADORES BASICOS'!$F$242,'INDICADORES BASICOS'!$F$243:$F$245)</c:f>
              <c:strCache>
                <c:ptCount val="5"/>
                <c:pt idx="0">
                  <c:v>ROTACION DE CARTERA (Dias)</c:v>
                </c:pt>
                <c:pt idx="1">
                  <c:v>ROTACION DE ACTIVOS FIJOS (Dias)</c:v>
                </c:pt>
                <c:pt idx="2">
                  <c:v>DIAS DE CUENTAS POR COBRAR</c:v>
                </c:pt>
                <c:pt idx="3">
                  <c:v>ROTACION DE ACTIVOS TOTALES (Veces)</c:v>
                </c:pt>
                <c:pt idx="4">
                  <c:v>ROTACION DEL CAPITAL DE TRABAJO</c:v>
                </c:pt>
              </c:strCache>
            </c:strRef>
          </c:cat>
          <c:val>
            <c:numRef>
              <c:f>('INDICADORES BASICOS'!$I$241,'INDICADORES BASICOS'!$I$242,'INDICADORES BASICOS'!$I$243:$I$245)</c:f>
              <c:numCache>
                <c:formatCode>0.00</c:formatCode>
                <c:ptCount val="5"/>
                <c:pt idx="0">
                  <c:v>51.873163226723335</c:v>
                </c:pt>
                <c:pt idx="1">
                  <c:v>0.92028812524288017</c:v>
                </c:pt>
                <c:pt idx="2">
                  <c:v>6.9400047655960169</c:v>
                </c:pt>
                <c:pt idx="3">
                  <c:v>0.74157836169344238</c:v>
                </c:pt>
                <c:pt idx="4">
                  <c:v>9.1</c:v>
                </c:pt>
              </c:numCache>
            </c:numRef>
          </c:val>
          <c:extLst>
            <c:ext xmlns:c16="http://schemas.microsoft.com/office/drawing/2014/chart" uri="{C3380CC4-5D6E-409C-BE32-E72D297353CC}">
              <c16:uniqueId val="{00000002-F42C-2940-8253-3A5825EC03B4}"/>
            </c:ext>
          </c:extLst>
        </c:ser>
        <c:dLbls>
          <c:showLegendKey val="0"/>
          <c:showVal val="1"/>
          <c:showCatName val="0"/>
          <c:showSerName val="0"/>
          <c:showPercent val="0"/>
          <c:showBubbleSize val="0"/>
        </c:dLbls>
        <c:gapWidth val="150"/>
        <c:shape val="box"/>
        <c:axId val="265204448"/>
        <c:axId val="265205008"/>
        <c:axId val="0"/>
      </c:bar3DChart>
      <c:catAx>
        <c:axId val="265204448"/>
        <c:scaling>
          <c:orientation val="minMax"/>
        </c:scaling>
        <c:delete val="0"/>
        <c:axPos val="b"/>
        <c:numFmt formatCode="General" sourceLinked="1"/>
        <c:majorTickMark val="none"/>
        <c:minorTickMark val="none"/>
        <c:tickLblPos val="nextTo"/>
        <c:txPr>
          <a:bodyPr rot="-60000000" vert="horz"/>
          <a:lstStyle/>
          <a:p>
            <a:pPr>
              <a:defRPr/>
            </a:pPr>
            <a:endParaRPr lang="es-CO"/>
          </a:p>
        </c:txPr>
        <c:crossAx val="265205008"/>
        <c:crosses val="autoZero"/>
        <c:auto val="1"/>
        <c:lblAlgn val="ctr"/>
        <c:lblOffset val="100"/>
        <c:noMultiLvlLbl val="0"/>
      </c:catAx>
      <c:valAx>
        <c:axId val="265205008"/>
        <c:scaling>
          <c:orientation val="minMax"/>
        </c:scaling>
        <c:delete val="0"/>
        <c:axPos val="l"/>
        <c:majorGridlines/>
        <c:numFmt formatCode="General" sourceLinked="1"/>
        <c:majorTickMark val="none"/>
        <c:minorTickMark val="none"/>
        <c:tickLblPos val="nextTo"/>
        <c:txPr>
          <a:bodyPr rot="-60000000" vert="horz"/>
          <a:lstStyle/>
          <a:p>
            <a:pPr>
              <a:defRPr/>
            </a:pPr>
            <a:endParaRPr lang="es-CO"/>
          </a:p>
        </c:txPr>
        <c:crossAx val="265204448"/>
        <c:crosses val="autoZero"/>
        <c:crossBetween val="between"/>
      </c:valAx>
    </c:plotArea>
    <c:plotVisOnly val="1"/>
    <c:dispBlanksAs val="gap"/>
    <c:showDLblsOverMax val="0"/>
  </c:chart>
  <c:printSettings>
    <c:headerFooter/>
    <c:pageMargins b="0.75" l="0.7" r="0.7" t="0.75" header="0.3" footer="0.3"/>
    <c:pageSetup/>
  </c:printSettings>
</c:chartSpace>
</file>

<file path=xl/charts/chart6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38"/>
    </mc:Choice>
    <mc:Fallback>
      <c:style val="38"/>
    </mc:Fallback>
  </mc:AlternateContent>
  <c:chart>
    <c:title>
      <c:tx>
        <c:rich>
          <a:bodyPr rot="0" vert="horz"/>
          <a:lstStyle/>
          <a:p>
            <a:pPr>
              <a:defRPr/>
            </a:pPr>
            <a:r>
              <a:rPr lang="es-CO"/>
              <a:t>INDICADORES DE LIQUIDEZ 2016</a:t>
            </a:r>
          </a:p>
        </c:rich>
      </c:tx>
      <c:overlay val="0"/>
    </c:title>
    <c:autoTitleDeleted val="0"/>
    <c:view3D>
      <c:rotX val="15"/>
      <c:rotY val="20"/>
      <c:depthPercent val="100"/>
      <c:rAngAx val="1"/>
    </c:view3D>
    <c:floor>
      <c:thickness val="0"/>
    </c:floor>
    <c:sideWall>
      <c:thickness val="0"/>
    </c:sideWall>
    <c:backWall>
      <c:thickness val="0"/>
    </c:backWall>
    <c:plotArea>
      <c:layout/>
      <c:bar3DChart>
        <c:barDir val="bar"/>
        <c:grouping val="stacked"/>
        <c:varyColors val="0"/>
        <c:ser>
          <c:idx val="0"/>
          <c:order val="0"/>
          <c:invertIfNegative val="0"/>
          <c:dLbls>
            <c:spPr>
              <a:noFill/>
              <a:ln>
                <a:noFill/>
              </a:ln>
              <a:effectLst/>
            </c:spPr>
            <c:txPr>
              <a:bodyPr rot="0" vert="horz"/>
              <a:lstStyle/>
              <a:p>
                <a:pPr>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('INDICADORES BASICOS'!$F$236,'INDICADORES BASICOS'!$F$238)</c:f>
              <c:strCache>
                <c:ptCount val="2"/>
                <c:pt idx="0">
                  <c:v>RAZON CORRIENTE (Veces)</c:v>
                </c:pt>
                <c:pt idx="1">
                  <c:v>CAPITAL NETO DE TRABAJO ($)</c:v>
                </c:pt>
              </c:strCache>
            </c:strRef>
          </c:cat>
          <c:val>
            <c:numRef>
              <c:f>('INDICADORES BASICOS'!$G$236,'INDICADORES BASICOS'!$G$238)</c:f>
              <c:numCache>
                <c:formatCode>General</c:formatCode>
                <c:ptCount val="2"/>
              </c:numCache>
            </c:numRef>
          </c:val>
          <c:extLst>
            <c:ext xmlns:c16="http://schemas.microsoft.com/office/drawing/2014/chart" uri="{C3380CC4-5D6E-409C-BE32-E72D297353CC}">
              <c16:uniqueId val="{00000000-637B-6949-9F38-7802518EC910}"/>
            </c:ext>
          </c:extLst>
        </c:ser>
        <c:ser>
          <c:idx val="1"/>
          <c:order val="1"/>
          <c:invertIfNegative val="0"/>
          <c:dLbls>
            <c:spPr>
              <a:noFill/>
              <a:ln>
                <a:noFill/>
              </a:ln>
              <a:effectLst/>
            </c:spPr>
            <c:txPr>
              <a:bodyPr rot="0" vert="horz"/>
              <a:lstStyle/>
              <a:p>
                <a:pPr>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('INDICADORES BASICOS'!$F$236,'INDICADORES BASICOS'!$F$238)</c:f>
              <c:strCache>
                <c:ptCount val="2"/>
                <c:pt idx="0">
                  <c:v>RAZON CORRIENTE (Veces)</c:v>
                </c:pt>
                <c:pt idx="1">
                  <c:v>CAPITAL NETO DE TRABAJO ($)</c:v>
                </c:pt>
              </c:strCache>
            </c:strRef>
          </c:cat>
          <c:val>
            <c:numRef>
              <c:f>('INDICADORES BASICOS'!$H$236,'INDICADORES BASICOS'!$H$238)</c:f>
              <c:numCache>
                <c:formatCode>General</c:formatCode>
                <c:ptCount val="2"/>
              </c:numCache>
            </c:numRef>
          </c:val>
          <c:extLst>
            <c:ext xmlns:c16="http://schemas.microsoft.com/office/drawing/2014/chart" uri="{C3380CC4-5D6E-409C-BE32-E72D297353CC}">
              <c16:uniqueId val="{00000001-637B-6949-9F38-7802518EC910}"/>
            </c:ext>
          </c:extLst>
        </c:ser>
        <c:ser>
          <c:idx val="2"/>
          <c:order val="2"/>
          <c:invertIfNegative val="0"/>
          <c:dLbls>
            <c:dLbl>
              <c:idx val="0"/>
              <c:layout>
                <c:manualLayout>
                  <c:x val="5.7347670250896057E-2"/>
                  <c:y val="-4.7789725209080921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3720-4256-9369-E6C748EB79C9}"/>
                </c:ext>
              </c:extLst>
            </c:dLbl>
            <c:dLbl>
              <c:idx val="1"/>
              <c:layout>
                <c:manualLayout>
                  <c:x val="0.32688172043010755"/>
                  <c:y val="4.3806742049101052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3720-4256-9369-E6C748EB79C9}"/>
                </c:ext>
              </c:extLst>
            </c:dLbl>
            <c:spPr>
              <a:noFill/>
              <a:ln>
                <a:noFill/>
              </a:ln>
              <a:effectLst/>
            </c:spPr>
            <c:txPr>
              <a:bodyPr rot="0" vert="horz"/>
              <a:lstStyle/>
              <a:p>
                <a:pPr>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('INDICADORES BASICOS'!$F$236,'INDICADORES BASICOS'!$F$238)</c:f>
              <c:strCache>
                <c:ptCount val="2"/>
                <c:pt idx="0">
                  <c:v>RAZON CORRIENTE (Veces)</c:v>
                </c:pt>
                <c:pt idx="1">
                  <c:v>CAPITAL NETO DE TRABAJO ($)</c:v>
                </c:pt>
              </c:strCache>
            </c:strRef>
          </c:cat>
          <c:val>
            <c:numRef>
              <c:f>('INDICADORES BASICOS'!$I$236,'INDICADORES BASICOS'!$I$238)</c:f>
              <c:numCache>
                <c:formatCode>"$"\ #,##0</c:formatCode>
                <c:ptCount val="2"/>
                <c:pt idx="0" formatCode="0.00">
                  <c:v>0.84560710760118463</c:v>
                </c:pt>
                <c:pt idx="1">
                  <c:v>-25024000</c:v>
                </c:pt>
              </c:numCache>
            </c:numRef>
          </c:val>
          <c:extLst>
            <c:ext xmlns:c16="http://schemas.microsoft.com/office/drawing/2014/chart" uri="{C3380CC4-5D6E-409C-BE32-E72D297353CC}">
              <c16:uniqueId val="{00000002-637B-6949-9F38-7802518EC910}"/>
            </c:ext>
          </c:extLst>
        </c:ser>
        <c:dLbls>
          <c:showLegendKey val="0"/>
          <c:showVal val="1"/>
          <c:showCatName val="0"/>
          <c:showSerName val="0"/>
          <c:showPercent val="0"/>
          <c:showBubbleSize val="0"/>
        </c:dLbls>
        <c:gapWidth val="150"/>
        <c:shape val="box"/>
        <c:axId val="265208928"/>
        <c:axId val="265209488"/>
        <c:axId val="0"/>
      </c:bar3DChart>
      <c:catAx>
        <c:axId val="265208928"/>
        <c:scaling>
          <c:orientation val="minMax"/>
        </c:scaling>
        <c:delete val="0"/>
        <c:axPos val="l"/>
        <c:numFmt formatCode="General" sourceLinked="1"/>
        <c:majorTickMark val="none"/>
        <c:minorTickMark val="none"/>
        <c:tickLblPos val="nextTo"/>
        <c:txPr>
          <a:bodyPr rot="-60000000" vert="horz"/>
          <a:lstStyle/>
          <a:p>
            <a:pPr>
              <a:defRPr/>
            </a:pPr>
            <a:endParaRPr lang="es-CO"/>
          </a:p>
        </c:txPr>
        <c:crossAx val="265209488"/>
        <c:crosses val="autoZero"/>
        <c:auto val="1"/>
        <c:lblAlgn val="ctr"/>
        <c:lblOffset val="100"/>
        <c:noMultiLvlLbl val="0"/>
      </c:catAx>
      <c:valAx>
        <c:axId val="265209488"/>
        <c:scaling>
          <c:orientation val="minMax"/>
        </c:scaling>
        <c:delete val="0"/>
        <c:axPos val="b"/>
        <c:majorGridlines/>
        <c:numFmt formatCode="General" sourceLinked="1"/>
        <c:majorTickMark val="none"/>
        <c:minorTickMark val="none"/>
        <c:tickLblPos val="nextTo"/>
        <c:txPr>
          <a:bodyPr rot="-60000000" vert="horz"/>
          <a:lstStyle/>
          <a:p>
            <a:pPr>
              <a:defRPr/>
            </a:pPr>
            <a:endParaRPr lang="es-CO"/>
          </a:p>
        </c:txPr>
        <c:crossAx val="265208928"/>
        <c:crosses val="autoZero"/>
        <c:crossBetween val="between"/>
      </c:valAx>
    </c:plotArea>
    <c:legend>
      <c:legendPos val="b"/>
      <c:overlay val="0"/>
      <c:txPr>
        <a:bodyPr rot="0" vert="horz"/>
        <a:lstStyle/>
        <a:p>
          <a:pPr>
            <a:defRPr/>
          </a:pPr>
          <a:endParaRPr lang="es-CO"/>
        </a:p>
      </c:txPr>
    </c:legend>
    <c:plotVisOnly val="1"/>
    <c:dispBlanksAs val="gap"/>
    <c:showDLblsOverMax val="0"/>
  </c:chart>
  <c:printSettings>
    <c:headerFooter/>
    <c:pageMargins b="0.75" l="0.7" r="0.7" t="0.75" header="0.3" footer="0.3"/>
    <c:pageSetup/>
  </c:printSettings>
</c:chartSpace>
</file>

<file path=xl/charts/chart6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8"/>
    </mc:Choice>
    <mc:Fallback>
      <c:style val="8"/>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s-CO"/>
              <a:t>ESTRUCTURA DEL ENDEUDAMIENTO  2015</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view3D>
      <c:rotX val="15"/>
      <c:rotY val="20"/>
      <c:depthPercent val="100"/>
      <c:rAngAx val="1"/>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bar3DChart>
        <c:barDir val="bar"/>
        <c:grouping val="clustered"/>
        <c:varyColors val="0"/>
        <c:ser>
          <c:idx val="0"/>
          <c:order val="0"/>
          <c:spPr>
            <a:solidFill>
              <a:schemeClr val="accent6">
                <a:shade val="65000"/>
              </a:schemeClr>
            </a:solidFill>
            <a:ln>
              <a:noFill/>
            </a:ln>
            <a:effectLst/>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('INDICADORES BASICOS'!$F$332:$F$335,'INDICADORES BASICOS'!$F$336:$F$337)</c:f>
              <c:strCache>
                <c:ptCount val="6"/>
                <c:pt idx="0">
                  <c:v>NIVEL DE ENDEUDAMIENTO (%)</c:v>
                </c:pt>
                <c:pt idx="1">
                  <c:v>ENDEUDAMIENTO FINANCIERO (%)</c:v>
                </c:pt>
                <c:pt idx="2">
                  <c:v>RAZON DE AUTONOMIA (%)</c:v>
                </c:pt>
                <c:pt idx="3">
                  <c:v>APALANCAMIENTO INTERNO (%)</c:v>
                </c:pt>
                <c:pt idx="4">
                  <c:v>LAVERAGE O APALANCAMIENTO</c:v>
                </c:pt>
                <c:pt idx="5">
                  <c:v>CONCEN. DEL ENDEUDAMIENTO EN CP (%)</c:v>
                </c:pt>
              </c:strCache>
            </c:strRef>
          </c:cat>
          <c:val>
            <c:numRef>
              <c:f>('INDICADORES BASICOS'!$G$332:$G$335,'INDICADORES BASICOS'!$G$336:$G$337)</c:f>
              <c:numCache>
                <c:formatCode>General</c:formatCode>
                <c:ptCount val="6"/>
              </c:numCache>
            </c:numRef>
          </c:val>
          <c:extLst>
            <c:ext xmlns:c16="http://schemas.microsoft.com/office/drawing/2014/chart" uri="{C3380CC4-5D6E-409C-BE32-E72D297353CC}">
              <c16:uniqueId val="{00000000-F02E-2B47-87C0-A29B0F522197}"/>
            </c:ext>
          </c:extLst>
        </c:ser>
        <c:ser>
          <c:idx val="1"/>
          <c:order val="1"/>
          <c:spPr>
            <a:solidFill>
              <a:schemeClr val="accent6"/>
            </a:solidFill>
            <a:ln>
              <a:noFill/>
            </a:ln>
            <a:effectLst/>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('INDICADORES BASICOS'!$F$332:$F$335,'INDICADORES BASICOS'!$F$336:$F$337)</c:f>
              <c:strCache>
                <c:ptCount val="6"/>
                <c:pt idx="0">
                  <c:v>NIVEL DE ENDEUDAMIENTO (%)</c:v>
                </c:pt>
                <c:pt idx="1">
                  <c:v>ENDEUDAMIENTO FINANCIERO (%)</c:v>
                </c:pt>
                <c:pt idx="2">
                  <c:v>RAZON DE AUTONOMIA (%)</c:v>
                </c:pt>
                <c:pt idx="3">
                  <c:v>APALANCAMIENTO INTERNO (%)</c:v>
                </c:pt>
                <c:pt idx="4">
                  <c:v>LAVERAGE O APALANCAMIENTO</c:v>
                </c:pt>
                <c:pt idx="5">
                  <c:v>CONCEN. DEL ENDEUDAMIENTO EN CP (%)</c:v>
                </c:pt>
              </c:strCache>
            </c:strRef>
          </c:cat>
          <c:val>
            <c:numRef>
              <c:f>('INDICADORES BASICOS'!$H$332:$H$335,'INDICADORES BASICOS'!$H$336:$H$337)</c:f>
              <c:numCache>
                <c:formatCode>General</c:formatCode>
                <c:ptCount val="6"/>
              </c:numCache>
            </c:numRef>
          </c:val>
          <c:extLst>
            <c:ext xmlns:c16="http://schemas.microsoft.com/office/drawing/2014/chart" uri="{C3380CC4-5D6E-409C-BE32-E72D297353CC}">
              <c16:uniqueId val="{00000001-F02E-2B47-87C0-A29B0F522197}"/>
            </c:ext>
          </c:extLst>
        </c:ser>
        <c:ser>
          <c:idx val="2"/>
          <c:order val="2"/>
          <c:spPr>
            <a:solidFill>
              <a:schemeClr val="accent6">
                <a:tint val="65000"/>
              </a:schemeClr>
            </a:solidFill>
            <a:ln>
              <a:noFill/>
            </a:ln>
            <a:effectLst/>
            <a:sp3d/>
          </c:spPr>
          <c:invertIfNegative val="0"/>
          <c:dLbls>
            <c:dLbl>
              <c:idx val="1"/>
              <c:layout>
                <c:manualLayout>
                  <c:x val="2.1909233176838752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983C-47F9-A16F-CE7529A4AAE6}"/>
                </c:ext>
              </c:extLst>
            </c:dLbl>
            <c:dLbl>
              <c:idx val="4"/>
              <c:layout>
                <c:manualLayout>
                  <c:x val="4.0688575899843565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983C-47F9-A16F-CE7529A4AAE6}"/>
                </c:ext>
              </c:extLst>
            </c:dLbl>
            <c:dLbl>
              <c:idx val="5"/>
              <c:layout>
                <c:manualLayout>
                  <c:x val="2.8169014084507043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983C-47F9-A16F-CE7529A4AAE6}"/>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('INDICADORES BASICOS'!$F$332:$F$335,'INDICADORES BASICOS'!$F$336:$F$337)</c:f>
              <c:strCache>
                <c:ptCount val="6"/>
                <c:pt idx="0">
                  <c:v>NIVEL DE ENDEUDAMIENTO (%)</c:v>
                </c:pt>
                <c:pt idx="1">
                  <c:v>ENDEUDAMIENTO FINANCIERO (%)</c:v>
                </c:pt>
                <c:pt idx="2">
                  <c:v>RAZON DE AUTONOMIA (%)</c:v>
                </c:pt>
                <c:pt idx="3">
                  <c:v>APALANCAMIENTO INTERNO (%)</c:v>
                </c:pt>
                <c:pt idx="4">
                  <c:v>LAVERAGE O APALANCAMIENTO</c:v>
                </c:pt>
                <c:pt idx="5">
                  <c:v>CONCEN. DEL ENDEUDAMIENTO EN CP (%)</c:v>
                </c:pt>
              </c:strCache>
            </c:strRef>
          </c:cat>
          <c:val>
            <c:numRef>
              <c:f>('INDICADORES BASICOS'!$I$332:$I$335,'INDICADORES BASICOS'!$I$336:$I$337)</c:f>
              <c:numCache>
                <c:formatCode>0.00%</c:formatCode>
                <c:ptCount val="6"/>
                <c:pt idx="0">
                  <c:v>0.15664120683845056</c:v>
                </c:pt>
                <c:pt idx="1">
                  <c:v>0</c:v>
                </c:pt>
                <c:pt idx="2">
                  <c:v>0.84335879316154949</c:v>
                </c:pt>
                <c:pt idx="3">
                  <c:v>5.3840161869496717</c:v>
                </c:pt>
                <c:pt idx="4">
                  <c:v>0.18573495421947323</c:v>
                </c:pt>
                <c:pt idx="5">
                  <c:v>1</c:v>
                </c:pt>
              </c:numCache>
            </c:numRef>
          </c:val>
          <c:extLst>
            <c:ext xmlns:c16="http://schemas.microsoft.com/office/drawing/2014/chart" uri="{C3380CC4-5D6E-409C-BE32-E72D297353CC}">
              <c16:uniqueId val="{00000002-F02E-2B47-87C0-A29B0F522197}"/>
            </c:ext>
          </c:extLst>
        </c:ser>
        <c:dLbls>
          <c:showLegendKey val="0"/>
          <c:showVal val="1"/>
          <c:showCatName val="0"/>
          <c:showSerName val="0"/>
          <c:showPercent val="0"/>
          <c:showBubbleSize val="0"/>
        </c:dLbls>
        <c:gapWidth val="150"/>
        <c:shape val="box"/>
        <c:axId val="265213408"/>
        <c:axId val="265213968"/>
        <c:axId val="0"/>
      </c:bar3DChart>
      <c:catAx>
        <c:axId val="265213408"/>
        <c:scaling>
          <c:orientation val="minMax"/>
        </c:scaling>
        <c:delete val="0"/>
        <c:axPos val="l"/>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65213968"/>
        <c:crosses val="autoZero"/>
        <c:auto val="1"/>
        <c:lblAlgn val="ctr"/>
        <c:lblOffset val="100"/>
        <c:noMultiLvlLbl val="0"/>
      </c:catAx>
      <c:valAx>
        <c:axId val="265213968"/>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65213408"/>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6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7"/>
    </mc:Choice>
    <mc:Fallback>
      <c:style val="7"/>
    </mc:Fallback>
  </mc:AlternateContent>
  <c:chart>
    <c:title>
      <c:tx>
        <c:rich>
          <a:bodyPr rot="0" vert="horz"/>
          <a:lstStyle/>
          <a:p>
            <a:pPr>
              <a:defRPr/>
            </a:pPr>
            <a:r>
              <a:rPr lang="es-CO"/>
              <a:t>INDICADORES RENTABILIDAD 2015</a:t>
            </a:r>
          </a:p>
        </c:rich>
      </c:tx>
      <c:overlay val="0"/>
    </c:title>
    <c:autoTitleDeleted val="0"/>
    <c:view3D>
      <c:rotX val="15"/>
      <c:rotY val="20"/>
      <c:depthPercent val="100"/>
      <c:rAngAx val="1"/>
    </c:view3D>
    <c:floor>
      <c:thickness val="0"/>
    </c:floor>
    <c:sideWall>
      <c:thickness val="0"/>
    </c:sideWall>
    <c:backWall>
      <c:thickness val="0"/>
    </c:backWall>
    <c:plotArea>
      <c:layout/>
      <c:bar3DChart>
        <c:barDir val="bar"/>
        <c:grouping val="stacked"/>
        <c:varyColors val="0"/>
        <c:ser>
          <c:idx val="0"/>
          <c:order val="0"/>
          <c:invertIfNegative val="0"/>
          <c:dLbls>
            <c:spPr>
              <a:noFill/>
              <a:ln>
                <a:noFill/>
              </a:ln>
              <a:effectLst/>
            </c:spPr>
            <c:txPr>
              <a:bodyPr rot="0" vert="horz"/>
              <a:lstStyle/>
              <a:p>
                <a:pPr>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'INDICADORES BASICOS'!$F$340:$F$344</c:f>
              <c:strCache>
                <c:ptCount val="5"/>
                <c:pt idx="0">
                  <c:v>MARGEN BRUTO DE UTILIDAD (%)</c:v>
                </c:pt>
                <c:pt idx="1">
                  <c:v>MARGEN OPERACIONAL DE UTILIDAD (%)</c:v>
                </c:pt>
                <c:pt idx="2">
                  <c:v>MARGEN NETO DE UTILIDAD</c:v>
                </c:pt>
                <c:pt idx="3">
                  <c:v>RENDIMIENTO DEL PATRIMONIO (%)</c:v>
                </c:pt>
                <c:pt idx="4">
                  <c:v>RENDIMIENTO DEL ACTIVO TOTAL (%)</c:v>
                </c:pt>
              </c:strCache>
            </c:strRef>
          </c:cat>
          <c:val>
            <c:numRef>
              <c:f>'INDICADORES BASICOS'!$G$340:$G$344</c:f>
              <c:numCache>
                <c:formatCode>General</c:formatCode>
                <c:ptCount val="5"/>
              </c:numCache>
            </c:numRef>
          </c:val>
          <c:extLst>
            <c:ext xmlns:c16="http://schemas.microsoft.com/office/drawing/2014/chart" uri="{C3380CC4-5D6E-409C-BE32-E72D297353CC}">
              <c16:uniqueId val="{00000000-3CB8-594A-9EBA-8D7B03381666}"/>
            </c:ext>
          </c:extLst>
        </c:ser>
        <c:ser>
          <c:idx val="1"/>
          <c:order val="1"/>
          <c:invertIfNegative val="0"/>
          <c:dLbls>
            <c:spPr>
              <a:noFill/>
              <a:ln>
                <a:noFill/>
              </a:ln>
              <a:effectLst/>
            </c:spPr>
            <c:txPr>
              <a:bodyPr rot="0" vert="horz"/>
              <a:lstStyle/>
              <a:p>
                <a:pPr>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'INDICADORES BASICOS'!$F$340:$F$344</c:f>
              <c:strCache>
                <c:ptCount val="5"/>
                <c:pt idx="0">
                  <c:v>MARGEN BRUTO DE UTILIDAD (%)</c:v>
                </c:pt>
                <c:pt idx="1">
                  <c:v>MARGEN OPERACIONAL DE UTILIDAD (%)</c:v>
                </c:pt>
                <c:pt idx="2">
                  <c:v>MARGEN NETO DE UTILIDAD</c:v>
                </c:pt>
                <c:pt idx="3">
                  <c:v>RENDIMIENTO DEL PATRIMONIO (%)</c:v>
                </c:pt>
                <c:pt idx="4">
                  <c:v>RENDIMIENTO DEL ACTIVO TOTAL (%)</c:v>
                </c:pt>
              </c:strCache>
            </c:strRef>
          </c:cat>
          <c:val>
            <c:numRef>
              <c:f>'INDICADORES BASICOS'!$H$340:$H$344</c:f>
              <c:numCache>
                <c:formatCode>General</c:formatCode>
                <c:ptCount val="5"/>
              </c:numCache>
            </c:numRef>
          </c:val>
          <c:extLst>
            <c:ext xmlns:c16="http://schemas.microsoft.com/office/drawing/2014/chart" uri="{C3380CC4-5D6E-409C-BE32-E72D297353CC}">
              <c16:uniqueId val="{00000001-3CB8-594A-9EBA-8D7B03381666}"/>
            </c:ext>
          </c:extLst>
        </c:ser>
        <c:ser>
          <c:idx val="2"/>
          <c:order val="2"/>
          <c:invertIfNegative val="0"/>
          <c:dLbls>
            <c:spPr>
              <a:noFill/>
              <a:ln>
                <a:noFill/>
              </a:ln>
              <a:effectLst/>
            </c:spPr>
            <c:txPr>
              <a:bodyPr rot="0" vert="horz"/>
              <a:lstStyle/>
              <a:p>
                <a:pPr>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'INDICADORES BASICOS'!$F$340:$F$344</c:f>
              <c:strCache>
                <c:ptCount val="5"/>
                <c:pt idx="0">
                  <c:v>MARGEN BRUTO DE UTILIDAD (%)</c:v>
                </c:pt>
                <c:pt idx="1">
                  <c:v>MARGEN OPERACIONAL DE UTILIDAD (%)</c:v>
                </c:pt>
                <c:pt idx="2">
                  <c:v>MARGEN NETO DE UTILIDAD</c:v>
                </c:pt>
                <c:pt idx="3">
                  <c:v>RENDIMIENTO DEL PATRIMONIO (%)</c:v>
                </c:pt>
                <c:pt idx="4">
                  <c:v>RENDIMIENTO DEL ACTIVO TOTAL (%)</c:v>
                </c:pt>
              </c:strCache>
            </c:strRef>
          </c:cat>
          <c:val>
            <c:numRef>
              <c:f>'INDICADORES BASICOS'!$I$340:$I$344</c:f>
              <c:numCache>
                <c:formatCode>0.00%</c:formatCode>
                <c:ptCount val="5"/>
                <c:pt idx="0">
                  <c:v>0.29277158847220042</c:v>
                </c:pt>
                <c:pt idx="1">
                  <c:v>0.209831987958459</c:v>
                </c:pt>
                <c:pt idx="2">
                  <c:v>0.1389484573228493</c:v>
                </c:pt>
                <c:pt idx="3">
                  <c:v>7.1029631082036568E-2</c:v>
                </c:pt>
                <c:pt idx="4">
                  <c:v>5.9903463948056436E-2</c:v>
                </c:pt>
              </c:numCache>
            </c:numRef>
          </c:val>
          <c:extLst>
            <c:ext xmlns:c16="http://schemas.microsoft.com/office/drawing/2014/chart" uri="{C3380CC4-5D6E-409C-BE32-E72D297353CC}">
              <c16:uniqueId val="{00000002-3CB8-594A-9EBA-8D7B03381666}"/>
            </c:ext>
          </c:extLst>
        </c:ser>
        <c:dLbls>
          <c:showLegendKey val="0"/>
          <c:showVal val="1"/>
          <c:showCatName val="0"/>
          <c:showSerName val="0"/>
          <c:showPercent val="0"/>
          <c:showBubbleSize val="0"/>
        </c:dLbls>
        <c:gapWidth val="150"/>
        <c:shape val="box"/>
        <c:axId val="265217888"/>
        <c:axId val="266115808"/>
        <c:axId val="0"/>
      </c:bar3DChart>
      <c:catAx>
        <c:axId val="265217888"/>
        <c:scaling>
          <c:orientation val="minMax"/>
        </c:scaling>
        <c:delete val="0"/>
        <c:axPos val="l"/>
        <c:numFmt formatCode="General" sourceLinked="1"/>
        <c:majorTickMark val="none"/>
        <c:minorTickMark val="none"/>
        <c:tickLblPos val="nextTo"/>
        <c:txPr>
          <a:bodyPr rot="-60000000" vert="horz"/>
          <a:lstStyle/>
          <a:p>
            <a:pPr>
              <a:defRPr/>
            </a:pPr>
            <a:endParaRPr lang="es-CO"/>
          </a:p>
        </c:txPr>
        <c:crossAx val="266115808"/>
        <c:crosses val="autoZero"/>
        <c:auto val="1"/>
        <c:lblAlgn val="ctr"/>
        <c:lblOffset val="100"/>
        <c:noMultiLvlLbl val="0"/>
      </c:catAx>
      <c:valAx>
        <c:axId val="266115808"/>
        <c:scaling>
          <c:orientation val="minMax"/>
        </c:scaling>
        <c:delete val="0"/>
        <c:axPos val="b"/>
        <c:majorGridlines/>
        <c:numFmt formatCode="General" sourceLinked="1"/>
        <c:majorTickMark val="none"/>
        <c:minorTickMark val="none"/>
        <c:tickLblPos val="nextTo"/>
        <c:txPr>
          <a:bodyPr rot="-60000000" vert="horz"/>
          <a:lstStyle/>
          <a:p>
            <a:pPr>
              <a:defRPr/>
            </a:pPr>
            <a:endParaRPr lang="es-CO"/>
          </a:p>
        </c:txPr>
        <c:crossAx val="265217888"/>
        <c:crosses val="autoZero"/>
        <c:crossBetween val="between"/>
      </c:valAx>
    </c:plotArea>
    <c:plotVisOnly val="1"/>
    <c:dispBlanksAs val="gap"/>
    <c:showDLblsOverMax val="0"/>
  </c:chart>
  <c:printSettings>
    <c:headerFooter/>
    <c:pageMargins b="0.75" l="0.7" r="0.7" t="0.75" header="0.3" footer="0.3"/>
    <c:pageSetup/>
  </c:printSettings>
</c:chartSpace>
</file>

<file path=xl/charts/chart6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38"/>
    </mc:Choice>
    <mc:Fallback>
      <c:style val="38"/>
    </mc:Fallback>
  </mc:AlternateContent>
  <c:chart>
    <c:title>
      <c:tx>
        <c:rich>
          <a:bodyPr rot="0" vert="horz"/>
          <a:lstStyle/>
          <a:p>
            <a:pPr>
              <a:defRPr/>
            </a:pPr>
            <a:r>
              <a:rPr lang="es-CO"/>
              <a:t>INDICADORES DE ACTIVIDAD 2015</a:t>
            </a:r>
          </a:p>
        </c:rich>
      </c:tx>
      <c:overlay val="0"/>
    </c:title>
    <c:autoTitleDeleted val="0"/>
    <c:view3D>
      <c:rotX val="15"/>
      <c:rotY val="20"/>
      <c:depthPercent val="100"/>
      <c:rAngAx val="1"/>
    </c:view3D>
    <c:floor>
      <c:thickness val="0"/>
    </c:floor>
    <c:sideWall>
      <c:thickness val="0"/>
    </c:sideWall>
    <c:backWall>
      <c:thickness val="0"/>
    </c:backWall>
    <c:plotArea>
      <c:layout/>
      <c:bar3DChart>
        <c:barDir val="col"/>
        <c:grouping val="stacked"/>
        <c:varyColors val="0"/>
        <c:ser>
          <c:idx val="0"/>
          <c:order val="0"/>
          <c:invertIfNegative val="0"/>
          <c:dLbls>
            <c:spPr>
              <a:noFill/>
              <a:ln>
                <a:noFill/>
              </a:ln>
              <a:effectLst/>
            </c:spPr>
            <c:txPr>
              <a:bodyPr rot="0" vert="horz"/>
              <a:lstStyle/>
              <a:p>
                <a:pPr>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('INDICADORES BASICOS'!$F$325,'INDICADORES BASICOS'!$F$326,'INDICADORES BASICOS'!$F$327:$F$329)</c:f>
              <c:strCache>
                <c:ptCount val="5"/>
                <c:pt idx="0">
                  <c:v>ROTACION DE CARTERA (Dias)</c:v>
                </c:pt>
                <c:pt idx="1">
                  <c:v>ROTACION DE ACTIVOS FIJOS (Dias)</c:v>
                </c:pt>
                <c:pt idx="2">
                  <c:v>DIAS DE CUENTAS POR COBRAR</c:v>
                </c:pt>
                <c:pt idx="3">
                  <c:v>ROTACION DE ACTIVOS TOTALES (Veces)</c:v>
                </c:pt>
                <c:pt idx="4">
                  <c:v>ROTACION DEL CAPITAL DE TRABAJO</c:v>
                </c:pt>
              </c:strCache>
            </c:strRef>
          </c:cat>
          <c:val>
            <c:numRef>
              <c:f>('INDICADORES BASICOS'!$G$325,'INDICADORES BASICOS'!$G$326,'INDICADORES BASICOS'!$G$327:$G$329)</c:f>
              <c:numCache>
                <c:formatCode>General</c:formatCode>
                <c:ptCount val="5"/>
              </c:numCache>
            </c:numRef>
          </c:val>
          <c:extLst>
            <c:ext xmlns:c16="http://schemas.microsoft.com/office/drawing/2014/chart" uri="{C3380CC4-5D6E-409C-BE32-E72D297353CC}">
              <c16:uniqueId val="{00000000-FC77-8B48-802B-0943B58698AA}"/>
            </c:ext>
          </c:extLst>
        </c:ser>
        <c:ser>
          <c:idx val="1"/>
          <c:order val="1"/>
          <c:invertIfNegative val="0"/>
          <c:dLbls>
            <c:spPr>
              <a:noFill/>
              <a:ln>
                <a:noFill/>
              </a:ln>
              <a:effectLst/>
            </c:spPr>
            <c:txPr>
              <a:bodyPr rot="0" vert="horz"/>
              <a:lstStyle/>
              <a:p>
                <a:pPr>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('INDICADORES BASICOS'!$F$325,'INDICADORES BASICOS'!$F$326,'INDICADORES BASICOS'!$F$327:$F$329)</c:f>
              <c:strCache>
                <c:ptCount val="5"/>
                <c:pt idx="0">
                  <c:v>ROTACION DE CARTERA (Dias)</c:v>
                </c:pt>
                <c:pt idx="1">
                  <c:v>ROTACION DE ACTIVOS FIJOS (Dias)</c:v>
                </c:pt>
                <c:pt idx="2">
                  <c:v>DIAS DE CUENTAS POR COBRAR</c:v>
                </c:pt>
                <c:pt idx="3">
                  <c:v>ROTACION DE ACTIVOS TOTALES (Veces)</c:v>
                </c:pt>
                <c:pt idx="4">
                  <c:v>ROTACION DEL CAPITAL DE TRABAJO</c:v>
                </c:pt>
              </c:strCache>
            </c:strRef>
          </c:cat>
          <c:val>
            <c:numRef>
              <c:f>('INDICADORES BASICOS'!$H$325,'INDICADORES BASICOS'!$H$326,'INDICADORES BASICOS'!$H$327:$H$329)</c:f>
              <c:numCache>
                <c:formatCode>General</c:formatCode>
                <c:ptCount val="5"/>
              </c:numCache>
            </c:numRef>
          </c:val>
          <c:extLst>
            <c:ext xmlns:c16="http://schemas.microsoft.com/office/drawing/2014/chart" uri="{C3380CC4-5D6E-409C-BE32-E72D297353CC}">
              <c16:uniqueId val="{00000001-FC77-8B48-802B-0943B58698AA}"/>
            </c:ext>
          </c:extLst>
        </c:ser>
        <c:ser>
          <c:idx val="2"/>
          <c:order val="2"/>
          <c:invertIfNegative val="0"/>
          <c:dLbls>
            <c:spPr>
              <a:noFill/>
              <a:ln>
                <a:noFill/>
              </a:ln>
              <a:effectLst/>
            </c:spPr>
            <c:txPr>
              <a:bodyPr rot="0" vert="horz"/>
              <a:lstStyle/>
              <a:p>
                <a:pPr>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('INDICADORES BASICOS'!$F$325,'INDICADORES BASICOS'!$F$326,'INDICADORES BASICOS'!$F$327:$F$329)</c:f>
              <c:strCache>
                <c:ptCount val="5"/>
                <c:pt idx="0">
                  <c:v>ROTACION DE CARTERA (Dias)</c:v>
                </c:pt>
                <c:pt idx="1">
                  <c:v>ROTACION DE ACTIVOS FIJOS (Dias)</c:v>
                </c:pt>
                <c:pt idx="2">
                  <c:v>DIAS DE CUENTAS POR COBRAR</c:v>
                </c:pt>
                <c:pt idx="3">
                  <c:v>ROTACION DE ACTIVOS TOTALES (Veces)</c:v>
                </c:pt>
                <c:pt idx="4">
                  <c:v>ROTACION DEL CAPITAL DE TRABAJO</c:v>
                </c:pt>
              </c:strCache>
            </c:strRef>
          </c:cat>
          <c:val>
            <c:numRef>
              <c:f>('INDICADORES BASICOS'!$I$325,'INDICADORES BASICOS'!$I$326,'INDICADORES BASICOS'!$I$327:$I$329)</c:f>
              <c:numCache>
                <c:formatCode>0.00</c:formatCode>
                <c:ptCount val="5"/>
                <c:pt idx="0">
                  <c:v>85.432135542729469</c:v>
                </c:pt>
                <c:pt idx="1">
                  <c:v>0.45818399680468647</c:v>
                </c:pt>
                <c:pt idx="2">
                  <c:v>4.2138710183587014</c:v>
                </c:pt>
                <c:pt idx="3">
                  <c:v>0.43112003617909656</c:v>
                </c:pt>
                <c:pt idx="4">
                  <c:v>9.1</c:v>
                </c:pt>
              </c:numCache>
            </c:numRef>
          </c:val>
          <c:extLst>
            <c:ext xmlns:c16="http://schemas.microsoft.com/office/drawing/2014/chart" uri="{C3380CC4-5D6E-409C-BE32-E72D297353CC}">
              <c16:uniqueId val="{00000002-FC77-8B48-802B-0943B58698AA}"/>
            </c:ext>
          </c:extLst>
        </c:ser>
        <c:dLbls>
          <c:showLegendKey val="0"/>
          <c:showVal val="1"/>
          <c:showCatName val="0"/>
          <c:showSerName val="0"/>
          <c:showPercent val="0"/>
          <c:showBubbleSize val="0"/>
        </c:dLbls>
        <c:gapWidth val="150"/>
        <c:shape val="box"/>
        <c:axId val="266119728"/>
        <c:axId val="266120288"/>
        <c:axId val="0"/>
      </c:bar3DChart>
      <c:catAx>
        <c:axId val="266119728"/>
        <c:scaling>
          <c:orientation val="minMax"/>
        </c:scaling>
        <c:delete val="0"/>
        <c:axPos val="b"/>
        <c:numFmt formatCode="General" sourceLinked="1"/>
        <c:majorTickMark val="none"/>
        <c:minorTickMark val="none"/>
        <c:tickLblPos val="nextTo"/>
        <c:txPr>
          <a:bodyPr rot="-60000000" vert="horz"/>
          <a:lstStyle/>
          <a:p>
            <a:pPr>
              <a:defRPr/>
            </a:pPr>
            <a:endParaRPr lang="es-CO"/>
          </a:p>
        </c:txPr>
        <c:crossAx val="266120288"/>
        <c:crosses val="autoZero"/>
        <c:auto val="1"/>
        <c:lblAlgn val="ctr"/>
        <c:lblOffset val="100"/>
        <c:noMultiLvlLbl val="0"/>
      </c:catAx>
      <c:valAx>
        <c:axId val="266120288"/>
        <c:scaling>
          <c:orientation val="minMax"/>
        </c:scaling>
        <c:delete val="0"/>
        <c:axPos val="l"/>
        <c:majorGridlines/>
        <c:numFmt formatCode="General" sourceLinked="1"/>
        <c:majorTickMark val="none"/>
        <c:minorTickMark val="none"/>
        <c:tickLblPos val="nextTo"/>
        <c:txPr>
          <a:bodyPr rot="-60000000" vert="horz"/>
          <a:lstStyle/>
          <a:p>
            <a:pPr>
              <a:defRPr/>
            </a:pPr>
            <a:endParaRPr lang="es-CO"/>
          </a:p>
        </c:txPr>
        <c:crossAx val="266119728"/>
        <c:crosses val="autoZero"/>
        <c:crossBetween val="between"/>
      </c:valAx>
    </c:plotArea>
    <c:plotVisOnly val="1"/>
    <c:dispBlanksAs val="gap"/>
    <c:showDLblsOverMax val="0"/>
  </c:chart>
  <c:printSettings>
    <c:headerFooter/>
    <c:pageMargins b="0.75" l="0.7" r="0.7" t="0.75" header="0.3" footer="0.3"/>
    <c:pageSetup/>
  </c:printSettings>
</c:chartSpace>
</file>

<file path=xl/charts/chart7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18"/>
    </mc:Choice>
    <mc:Fallback>
      <c:style val="18"/>
    </mc:Fallback>
  </mc:AlternateContent>
  <c:chart>
    <c:title>
      <c:tx>
        <c:rich>
          <a:bodyPr rot="0" vert="horz"/>
          <a:lstStyle/>
          <a:p>
            <a:pPr>
              <a:defRPr/>
            </a:pPr>
            <a:r>
              <a:rPr lang="es-CO"/>
              <a:t>INDICADORES DE LIQUIDEZ 2015</a:t>
            </a:r>
          </a:p>
        </c:rich>
      </c:tx>
      <c:layout>
        <c:manualLayout>
          <c:xMode val="edge"/>
          <c:yMode val="edge"/>
          <c:x val="0.20329011675264727"/>
          <c:y val="3.8314176245210725E-2"/>
        </c:manualLayout>
      </c:layout>
      <c:overlay val="0"/>
    </c:title>
    <c:autoTitleDeleted val="0"/>
    <c:view3D>
      <c:rotX val="15"/>
      <c:rotY val="20"/>
      <c:depthPercent val="100"/>
      <c:rAngAx val="1"/>
    </c:view3D>
    <c:floor>
      <c:thickness val="0"/>
    </c:floor>
    <c:sideWall>
      <c:thickness val="0"/>
    </c:sideWall>
    <c:backWall>
      <c:thickness val="0"/>
    </c:backWall>
    <c:plotArea>
      <c:layout/>
      <c:bar3DChart>
        <c:barDir val="bar"/>
        <c:grouping val="stacked"/>
        <c:varyColors val="0"/>
        <c:ser>
          <c:idx val="0"/>
          <c:order val="0"/>
          <c:invertIfNegative val="0"/>
          <c:dLbls>
            <c:spPr>
              <a:noFill/>
              <a:ln>
                <a:noFill/>
              </a:ln>
              <a:effectLst/>
            </c:spPr>
            <c:txPr>
              <a:bodyPr rot="0" vert="horz"/>
              <a:lstStyle/>
              <a:p>
                <a:pPr>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('INDICADORES BASICOS'!$F$320,'INDICADORES BASICOS'!$F$322)</c:f>
              <c:strCache>
                <c:ptCount val="2"/>
                <c:pt idx="0">
                  <c:v>RAZON CORRIENTE (Veces)</c:v>
                </c:pt>
                <c:pt idx="1">
                  <c:v>CAPITAL NETO DE TRABAJO ($)</c:v>
                </c:pt>
              </c:strCache>
            </c:strRef>
          </c:cat>
          <c:val>
            <c:numRef>
              <c:f>('INDICADORES BASICOS'!$G$320,'INDICADORES BASICOS'!$G$322)</c:f>
              <c:numCache>
                <c:formatCode>General</c:formatCode>
                <c:ptCount val="2"/>
              </c:numCache>
            </c:numRef>
          </c:val>
          <c:extLst>
            <c:ext xmlns:c16="http://schemas.microsoft.com/office/drawing/2014/chart" uri="{C3380CC4-5D6E-409C-BE32-E72D297353CC}">
              <c16:uniqueId val="{00000000-A9E4-A146-AD3B-93A4B67CDDB3}"/>
            </c:ext>
          </c:extLst>
        </c:ser>
        <c:ser>
          <c:idx val="1"/>
          <c:order val="1"/>
          <c:invertIfNegative val="0"/>
          <c:dLbls>
            <c:spPr>
              <a:noFill/>
              <a:ln>
                <a:noFill/>
              </a:ln>
              <a:effectLst/>
            </c:spPr>
            <c:txPr>
              <a:bodyPr rot="0" vert="horz"/>
              <a:lstStyle/>
              <a:p>
                <a:pPr>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('INDICADORES BASICOS'!$F$320,'INDICADORES BASICOS'!$F$322)</c:f>
              <c:strCache>
                <c:ptCount val="2"/>
                <c:pt idx="0">
                  <c:v>RAZON CORRIENTE (Veces)</c:v>
                </c:pt>
                <c:pt idx="1">
                  <c:v>CAPITAL NETO DE TRABAJO ($)</c:v>
                </c:pt>
              </c:strCache>
            </c:strRef>
          </c:cat>
          <c:val>
            <c:numRef>
              <c:f>('INDICADORES BASICOS'!$H$320,'INDICADORES BASICOS'!$H$322)</c:f>
              <c:numCache>
                <c:formatCode>General</c:formatCode>
                <c:ptCount val="2"/>
              </c:numCache>
            </c:numRef>
          </c:val>
          <c:extLst>
            <c:ext xmlns:c16="http://schemas.microsoft.com/office/drawing/2014/chart" uri="{C3380CC4-5D6E-409C-BE32-E72D297353CC}">
              <c16:uniqueId val="{00000001-A9E4-A146-AD3B-93A4B67CDDB3}"/>
            </c:ext>
          </c:extLst>
        </c:ser>
        <c:ser>
          <c:idx val="2"/>
          <c:order val="2"/>
          <c:invertIfNegative val="0"/>
          <c:dLbls>
            <c:dLbl>
              <c:idx val="0"/>
              <c:layout>
                <c:manualLayout>
                  <c:x val="6.8965517241379309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7E65-40CE-BE8C-EC7AB7CE174C}"/>
                </c:ext>
              </c:extLst>
            </c:dLbl>
            <c:dLbl>
              <c:idx val="1"/>
              <c:layout>
                <c:manualLayout>
                  <c:x val="0.3706896551724137"/>
                  <c:y val="4.7892720306513849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7E65-40CE-BE8C-EC7AB7CE174C}"/>
                </c:ext>
              </c:extLst>
            </c:dLbl>
            <c:spPr>
              <a:noFill/>
              <a:ln>
                <a:noFill/>
              </a:ln>
              <a:effectLst/>
            </c:spPr>
            <c:txPr>
              <a:bodyPr rot="0" vert="horz"/>
              <a:lstStyle/>
              <a:p>
                <a:pPr>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('INDICADORES BASICOS'!$F$320,'INDICADORES BASICOS'!$F$322)</c:f>
              <c:strCache>
                <c:ptCount val="2"/>
                <c:pt idx="0">
                  <c:v>RAZON CORRIENTE (Veces)</c:v>
                </c:pt>
                <c:pt idx="1">
                  <c:v>CAPITAL NETO DE TRABAJO ($)</c:v>
                </c:pt>
              </c:strCache>
            </c:strRef>
          </c:cat>
          <c:val>
            <c:numRef>
              <c:f>('INDICADORES BASICOS'!$I$320,'INDICADORES BASICOS'!$I$322)</c:f>
              <c:numCache>
                <c:formatCode>"$"\ #,##0</c:formatCode>
                <c:ptCount val="2"/>
                <c:pt idx="0" formatCode="0.00">
                  <c:v>0.37709034781148282</c:v>
                </c:pt>
                <c:pt idx="1">
                  <c:v>-77888000</c:v>
                </c:pt>
              </c:numCache>
            </c:numRef>
          </c:val>
          <c:extLst>
            <c:ext xmlns:c16="http://schemas.microsoft.com/office/drawing/2014/chart" uri="{C3380CC4-5D6E-409C-BE32-E72D297353CC}">
              <c16:uniqueId val="{00000002-A9E4-A146-AD3B-93A4B67CDDB3}"/>
            </c:ext>
          </c:extLst>
        </c:ser>
        <c:dLbls>
          <c:showLegendKey val="0"/>
          <c:showVal val="1"/>
          <c:showCatName val="0"/>
          <c:showSerName val="0"/>
          <c:showPercent val="0"/>
          <c:showBubbleSize val="0"/>
        </c:dLbls>
        <c:gapWidth val="150"/>
        <c:shape val="box"/>
        <c:axId val="266124208"/>
        <c:axId val="266124768"/>
        <c:axId val="0"/>
      </c:bar3DChart>
      <c:catAx>
        <c:axId val="266124208"/>
        <c:scaling>
          <c:orientation val="minMax"/>
        </c:scaling>
        <c:delete val="0"/>
        <c:axPos val="l"/>
        <c:numFmt formatCode="General" sourceLinked="1"/>
        <c:majorTickMark val="none"/>
        <c:minorTickMark val="none"/>
        <c:tickLblPos val="nextTo"/>
        <c:txPr>
          <a:bodyPr rot="-60000000" vert="horz"/>
          <a:lstStyle/>
          <a:p>
            <a:pPr>
              <a:defRPr/>
            </a:pPr>
            <a:endParaRPr lang="es-CO"/>
          </a:p>
        </c:txPr>
        <c:crossAx val="266124768"/>
        <c:crosses val="autoZero"/>
        <c:auto val="1"/>
        <c:lblAlgn val="ctr"/>
        <c:lblOffset val="100"/>
        <c:noMultiLvlLbl val="0"/>
      </c:catAx>
      <c:valAx>
        <c:axId val="266124768"/>
        <c:scaling>
          <c:orientation val="minMax"/>
        </c:scaling>
        <c:delete val="0"/>
        <c:axPos val="b"/>
        <c:majorGridlines/>
        <c:numFmt formatCode="General" sourceLinked="1"/>
        <c:majorTickMark val="none"/>
        <c:minorTickMark val="none"/>
        <c:tickLblPos val="nextTo"/>
        <c:txPr>
          <a:bodyPr rot="-60000000" vert="horz"/>
          <a:lstStyle/>
          <a:p>
            <a:pPr>
              <a:defRPr/>
            </a:pPr>
            <a:endParaRPr lang="es-CO"/>
          </a:p>
        </c:txPr>
        <c:crossAx val="266124208"/>
        <c:crosses val="autoZero"/>
        <c:crossBetween val="between"/>
      </c:valAx>
    </c:plotArea>
    <c:plotVisOnly val="1"/>
    <c:dispBlanksAs val="gap"/>
    <c:showDLblsOverMax val="0"/>
  </c:chart>
  <c:printSettings>
    <c:headerFooter/>
    <c:pageMargins b="0.75" l="0.7" r="0.7" t="0.75" header="0.3" footer="0.3"/>
    <c:pageSetup/>
  </c:printSettings>
</c:chartSpace>
</file>

<file path=xl/charts/chart7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4"/>
    </mc:Choice>
    <mc:Fallback>
      <c:style val="4"/>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s-CO"/>
              <a:t>ESTRUCTURA DEL ENDEUDAMIENTO  2014</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view3D>
      <c:rotX val="15"/>
      <c:rotY val="20"/>
      <c:depthPercent val="100"/>
      <c:rAngAx val="1"/>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bar3DChart>
        <c:barDir val="bar"/>
        <c:grouping val="clustered"/>
        <c:varyColors val="0"/>
        <c:ser>
          <c:idx val="0"/>
          <c:order val="0"/>
          <c:spPr>
            <a:solidFill>
              <a:schemeClr val="accent2">
                <a:shade val="65000"/>
              </a:schemeClr>
            </a:solidFill>
            <a:ln>
              <a:noFill/>
            </a:ln>
            <a:effectLst/>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('INDICADORES BASICOS'!$F$414:$F$417,'INDICADORES BASICOS'!$F$418:$F$419)</c:f>
              <c:strCache>
                <c:ptCount val="6"/>
                <c:pt idx="0">
                  <c:v>NIVEL DE ENDEUDAMIENTO (%)</c:v>
                </c:pt>
                <c:pt idx="1">
                  <c:v>ENDEUDAMIENTO FINANCIERO (%)</c:v>
                </c:pt>
                <c:pt idx="2">
                  <c:v>RAZON DE AUTONOMIA (%)</c:v>
                </c:pt>
                <c:pt idx="3">
                  <c:v>APALANCAMIENTO INTERNO (%)</c:v>
                </c:pt>
                <c:pt idx="4">
                  <c:v>LAVERAGE O APALANCAMIENTO</c:v>
                </c:pt>
                <c:pt idx="5">
                  <c:v>CONCEN. DEL ENDEUDAMIENTO EN CP (%)</c:v>
                </c:pt>
              </c:strCache>
            </c:strRef>
          </c:cat>
          <c:val>
            <c:numRef>
              <c:f>('INDICADORES BASICOS'!$G$414:$G$417,'INDICADORES BASICOS'!$G$418:$G$419)</c:f>
              <c:numCache>
                <c:formatCode>General</c:formatCode>
                <c:ptCount val="6"/>
              </c:numCache>
            </c:numRef>
          </c:val>
          <c:extLst>
            <c:ext xmlns:c16="http://schemas.microsoft.com/office/drawing/2014/chart" uri="{C3380CC4-5D6E-409C-BE32-E72D297353CC}">
              <c16:uniqueId val="{00000000-1A04-B54D-952B-5A0F7B104B2F}"/>
            </c:ext>
          </c:extLst>
        </c:ser>
        <c:ser>
          <c:idx val="1"/>
          <c:order val="1"/>
          <c:spPr>
            <a:solidFill>
              <a:schemeClr val="accent2"/>
            </a:solidFill>
            <a:ln>
              <a:noFill/>
            </a:ln>
            <a:effectLst/>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('INDICADORES BASICOS'!$F$414:$F$417,'INDICADORES BASICOS'!$F$418:$F$419)</c:f>
              <c:strCache>
                <c:ptCount val="6"/>
                <c:pt idx="0">
                  <c:v>NIVEL DE ENDEUDAMIENTO (%)</c:v>
                </c:pt>
                <c:pt idx="1">
                  <c:v>ENDEUDAMIENTO FINANCIERO (%)</c:v>
                </c:pt>
                <c:pt idx="2">
                  <c:v>RAZON DE AUTONOMIA (%)</c:v>
                </c:pt>
                <c:pt idx="3">
                  <c:v>APALANCAMIENTO INTERNO (%)</c:v>
                </c:pt>
                <c:pt idx="4">
                  <c:v>LAVERAGE O APALANCAMIENTO</c:v>
                </c:pt>
                <c:pt idx="5">
                  <c:v>CONCEN. DEL ENDEUDAMIENTO EN CP (%)</c:v>
                </c:pt>
              </c:strCache>
            </c:strRef>
          </c:cat>
          <c:val>
            <c:numRef>
              <c:f>('INDICADORES BASICOS'!$H$414:$H$417,'INDICADORES BASICOS'!$H$418:$H$419)</c:f>
              <c:numCache>
                <c:formatCode>General</c:formatCode>
                <c:ptCount val="6"/>
              </c:numCache>
            </c:numRef>
          </c:val>
          <c:extLst>
            <c:ext xmlns:c16="http://schemas.microsoft.com/office/drawing/2014/chart" uri="{C3380CC4-5D6E-409C-BE32-E72D297353CC}">
              <c16:uniqueId val="{00000001-1A04-B54D-952B-5A0F7B104B2F}"/>
            </c:ext>
          </c:extLst>
        </c:ser>
        <c:ser>
          <c:idx val="2"/>
          <c:order val="2"/>
          <c:spPr>
            <a:solidFill>
              <a:schemeClr val="accent2">
                <a:tint val="65000"/>
              </a:schemeClr>
            </a:solidFill>
            <a:ln>
              <a:noFill/>
            </a:ln>
            <a:effectLst/>
            <a:sp3d/>
          </c:spPr>
          <c:invertIfNegative val="0"/>
          <c:dLbls>
            <c:dLbl>
              <c:idx val="2"/>
              <c:layout>
                <c:manualLayout>
                  <c:x val="3.434816549570642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385B-4A69-8515-28200210B4F6}"/>
                </c:ext>
              </c:extLst>
            </c:dLbl>
            <c:dLbl>
              <c:idx val="4"/>
              <c:layout>
                <c:manualLayout>
                  <c:x val="5.3083528493364562E-2"/>
                  <c:y val="-4.8118429258658238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385B-4A69-8515-28200210B4F6}"/>
                </c:ext>
              </c:extLst>
            </c:dLbl>
            <c:dLbl>
              <c:idx val="5"/>
              <c:layout>
                <c:manualLayout>
                  <c:x val="5.9328649492583922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385B-4A69-8515-28200210B4F6}"/>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('INDICADORES BASICOS'!$F$414:$F$417,'INDICADORES BASICOS'!$F$418:$F$419)</c:f>
              <c:strCache>
                <c:ptCount val="6"/>
                <c:pt idx="0">
                  <c:v>NIVEL DE ENDEUDAMIENTO (%)</c:v>
                </c:pt>
                <c:pt idx="1">
                  <c:v>ENDEUDAMIENTO FINANCIERO (%)</c:v>
                </c:pt>
                <c:pt idx="2">
                  <c:v>RAZON DE AUTONOMIA (%)</c:v>
                </c:pt>
                <c:pt idx="3">
                  <c:v>APALANCAMIENTO INTERNO (%)</c:v>
                </c:pt>
                <c:pt idx="4">
                  <c:v>LAVERAGE O APALANCAMIENTO</c:v>
                </c:pt>
                <c:pt idx="5">
                  <c:v>CONCEN. DEL ENDEUDAMIENTO EN CP (%)</c:v>
                </c:pt>
              </c:strCache>
            </c:strRef>
          </c:cat>
          <c:val>
            <c:numRef>
              <c:f>('INDICADORES BASICOS'!$I$414:$I$417,'INDICADORES BASICOS'!$I$418:$I$419)</c:f>
              <c:numCache>
                <c:formatCode>0.00%</c:formatCode>
                <c:ptCount val="6"/>
                <c:pt idx="0">
                  <c:v>4.5187512444843696E-2</c:v>
                </c:pt>
                <c:pt idx="1">
                  <c:v>0</c:v>
                </c:pt>
                <c:pt idx="2">
                  <c:v>0.95058694062802573</c:v>
                </c:pt>
                <c:pt idx="3">
                  <c:v>21.036496350364963</c:v>
                </c:pt>
                <c:pt idx="4">
                  <c:v>4.7536433032616239E-2</c:v>
                </c:pt>
                <c:pt idx="5">
                  <c:v>1</c:v>
                </c:pt>
              </c:numCache>
            </c:numRef>
          </c:val>
          <c:extLst>
            <c:ext xmlns:c16="http://schemas.microsoft.com/office/drawing/2014/chart" uri="{C3380CC4-5D6E-409C-BE32-E72D297353CC}">
              <c16:uniqueId val="{00000002-1A04-B54D-952B-5A0F7B104B2F}"/>
            </c:ext>
          </c:extLst>
        </c:ser>
        <c:dLbls>
          <c:showLegendKey val="0"/>
          <c:showVal val="1"/>
          <c:showCatName val="0"/>
          <c:showSerName val="0"/>
          <c:showPercent val="0"/>
          <c:showBubbleSize val="0"/>
        </c:dLbls>
        <c:gapWidth val="150"/>
        <c:shape val="box"/>
        <c:axId val="266128688"/>
        <c:axId val="266129248"/>
        <c:axId val="0"/>
      </c:bar3DChart>
      <c:catAx>
        <c:axId val="266128688"/>
        <c:scaling>
          <c:orientation val="minMax"/>
        </c:scaling>
        <c:delete val="0"/>
        <c:axPos val="l"/>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66129248"/>
        <c:crosses val="autoZero"/>
        <c:auto val="1"/>
        <c:lblAlgn val="ctr"/>
        <c:lblOffset val="100"/>
        <c:noMultiLvlLbl val="0"/>
      </c:catAx>
      <c:valAx>
        <c:axId val="266129248"/>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66128688"/>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7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26"/>
    </mc:Choice>
    <mc:Fallback>
      <c:style val="26"/>
    </mc:Fallback>
  </mc:AlternateContent>
  <c:chart>
    <c:title>
      <c:tx>
        <c:rich>
          <a:bodyPr rot="0" vert="horz"/>
          <a:lstStyle/>
          <a:p>
            <a:pPr>
              <a:defRPr/>
            </a:pPr>
            <a:r>
              <a:rPr lang="es-CO"/>
              <a:t>INDICADORES RENTABILIDAD 2014</a:t>
            </a:r>
          </a:p>
        </c:rich>
      </c:tx>
      <c:overlay val="0"/>
    </c:title>
    <c:autoTitleDeleted val="0"/>
    <c:view3D>
      <c:rotX val="15"/>
      <c:rotY val="20"/>
      <c:depthPercent val="100"/>
      <c:rAngAx val="1"/>
    </c:view3D>
    <c:floor>
      <c:thickness val="0"/>
    </c:floor>
    <c:sideWall>
      <c:thickness val="0"/>
    </c:sideWall>
    <c:backWall>
      <c:thickness val="0"/>
    </c:backWall>
    <c:plotArea>
      <c:layout/>
      <c:bar3DChart>
        <c:barDir val="bar"/>
        <c:grouping val="stacked"/>
        <c:varyColors val="0"/>
        <c:ser>
          <c:idx val="0"/>
          <c:order val="0"/>
          <c:invertIfNegative val="0"/>
          <c:dLbls>
            <c:spPr>
              <a:noFill/>
              <a:ln>
                <a:noFill/>
              </a:ln>
              <a:effectLst/>
            </c:spPr>
            <c:txPr>
              <a:bodyPr rot="0" vert="horz"/>
              <a:lstStyle/>
              <a:p>
                <a:pPr>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'INDICADORES BASICOS'!$F$422:$F$426</c:f>
              <c:strCache>
                <c:ptCount val="5"/>
                <c:pt idx="0">
                  <c:v>MARGEN BRUTO DE UTILIDAD (%)</c:v>
                </c:pt>
                <c:pt idx="1">
                  <c:v>MARGEN OPERACIONAL DE UTILIDAD (%)</c:v>
                </c:pt>
                <c:pt idx="2">
                  <c:v>MARGEN NETO DE UTILIDAD</c:v>
                </c:pt>
                <c:pt idx="3">
                  <c:v>RENDIMIENTO DEL PATRIMONIO (%)</c:v>
                </c:pt>
                <c:pt idx="4">
                  <c:v>RENDIMIENTO DEL ACTIVO TOTAL (%)</c:v>
                </c:pt>
              </c:strCache>
            </c:strRef>
          </c:cat>
          <c:val>
            <c:numRef>
              <c:f>'INDICADORES BASICOS'!$G$422:$G$426</c:f>
              <c:numCache>
                <c:formatCode>General</c:formatCode>
                <c:ptCount val="5"/>
              </c:numCache>
            </c:numRef>
          </c:val>
          <c:extLst>
            <c:ext xmlns:c16="http://schemas.microsoft.com/office/drawing/2014/chart" uri="{C3380CC4-5D6E-409C-BE32-E72D297353CC}">
              <c16:uniqueId val="{00000000-3CCE-8A42-903F-56CF32098EB7}"/>
            </c:ext>
          </c:extLst>
        </c:ser>
        <c:ser>
          <c:idx val="1"/>
          <c:order val="1"/>
          <c:invertIfNegative val="0"/>
          <c:dLbls>
            <c:spPr>
              <a:noFill/>
              <a:ln>
                <a:noFill/>
              </a:ln>
              <a:effectLst/>
            </c:spPr>
            <c:txPr>
              <a:bodyPr rot="0" vert="horz"/>
              <a:lstStyle/>
              <a:p>
                <a:pPr>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'INDICADORES BASICOS'!$F$422:$F$426</c:f>
              <c:strCache>
                <c:ptCount val="5"/>
                <c:pt idx="0">
                  <c:v>MARGEN BRUTO DE UTILIDAD (%)</c:v>
                </c:pt>
                <c:pt idx="1">
                  <c:v>MARGEN OPERACIONAL DE UTILIDAD (%)</c:v>
                </c:pt>
                <c:pt idx="2">
                  <c:v>MARGEN NETO DE UTILIDAD</c:v>
                </c:pt>
                <c:pt idx="3">
                  <c:v>RENDIMIENTO DEL PATRIMONIO (%)</c:v>
                </c:pt>
                <c:pt idx="4">
                  <c:v>RENDIMIENTO DEL ACTIVO TOTAL (%)</c:v>
                </c:pt>
              </c:strCache>
            </c:strRef>
          </c:cat>
          <c:val>
            <c:numRef>
              <c:f>'INDICADORES BASICOS'!$H$422:$H$426</c:f>
              <c:numCache>
                <c:formatCode>General</c:formatCode>
                <c:ptCount val="5"/>
              </c:numCache>
            </c:numRef>
          </c:val>
          <c:extLst>
            <c:ext xmlns:c16="http://schemas.microsoft.com/office/drawing/2014/chart" uri="{C3380CC4-5D6E-409C-BE32-E72D297353CC}">
              <c16:uniqueId val="{00000001-3CCE-8A42-903F-56CF32098EB7}"/>
            </c:ext>
          </c:extLst>
        </c:ser>
        <c:ser>
          <c:idx val="2"/>
          <c:order val="2"/>
          <c:invertIfNegative val="0"/>
          <c:dLbls>
            <c:dLbl>
              <c:idx val="3"/>
              <c:layout>
                <c:manualLayout>
                  <c:x val="4.059328649492578E-2"/>
                  <c:y val="-4.7705234315765782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2B3A-45A7-BC45-8C851BA8009E}"/>
                </c:ext>
              </c:extLst>
            </c:dLbl>
            <c:dLbl>
              <c:idx val="4"/>
              <c:layout>
                <c:manualLayout>
                  <c:x val="3.7470725995316104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2B3A-45A7-BC45-8C851BA8009E}"/>
                </c:ext>
              </c:extLst>
            </c:dLbl>
            <c:spPr>
              <a:noFill/>
              <a:ln>
                <a:noFill/>
              </a:ln>
              <a:effectLst/>
            </c:spPr>
            <c:txPr>
              <a:bodyPr rot="0" vert="horz"/>
              <a:lstStyle/>
              <a:p>
                <a:pPr>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'INDICADORES BASICOS'!$F$422:$F$426</c:f>
              <c:strCache>
                <c:ptCount val="5"/>
                <c:pt idx="0">
                  <c:v>MARGEN BRUTO DE UTILIDAD (%)</c:v>
                </c:pt>
                <c:pt idx="1">
                  <c:v>MARGEN OPERACIONAL DE UTILIDAD (%)</c:v>
                </c:pt>
                <c:pt idx="2">
                  <c:v>MARGEN NETO DE UTILIDAD</c:v>
                </c:pt>
                <c:pt idx="3">
                  <c:v>RENDIMIENTO DEL PATRIMONIO (%)</c:v>
                </c:pt>
                <c:pt idx="4">
                  <c:v>RENDIMIENTO DEL ACTIVO TOTAL (%)</c:v>
                </c:pt>
              </c:strCache>
            </c:strRef>
          </c:cat>
          <c:val>
            <c:numRef>
              <c:f>'INDICADORES BASICOS'!$I$422:$I$426</c:f>
              <c:numCache>
                <c:formatCode>0.00%</c:formatCode>
                <c:ptCount val="5"/>
                <c:pt idx="0">
                  <c:v>0.16311713455953533</c:v>
                </c:pt>
                <c:pt idx="1">
                  <c:v>0.13188125201677961</c:v>
                </c:pt>
                <c:pt idx="2">
                  <c:v>0.13188125201677961</c:v>
                </c:pt>
                <c:pt idx="3">
                  <c:v>1.3070160570776182E-2</c:v>
                </c:pt>
                <c:pt idx="4">
                  <c:v>1.2424323950491182E-2</c:v>
                </c:pt>
              </c:numCache>
            </c:numRef>
          </c:val>
          <c:extLst>
            <c:ext xmlns:c16="http://schemas.microsoft.com/office/drawing/2014/chart" uri="{C3380CC4-5D6E-409C-BE32-E72D297353CC}">
              <c16:uniqueId val="{00000002-3CCE-8A42-903F-56CF32098EB7}"/>
            </c:ext>
          </c:extLst>
        </c:ser>
        <c:dLbls>
          <c:showLegendKey val="0"/>
          <c:showVal val="1"/>
          <c:showCatName val="0"/>
          <c:showSerName val="0"/>
          <c:showPercent val="0"/>
          <c:showBubbleSize val="0"/>
        </c:dLbls>
        <c:gapWidth val="150"/>
        <c:shape val="box"/>
        <c:axId val="266133168"/>
        <c:axId val="266133728"/>
        <c:axId val="0"/>
      </c:bar3DChart>
      <c:catAx>
        <c:axId val="266133168"/>
        <c:scaling>
          <c:orientation val="minMax"/>
        </c:scaling>
        <c:delete val="0"/>
        <c:axPos val="l"/>
        <c:numFmt formatCode="General" sourceLinked="1"/>
        <c:majorTickMark val="none"/>
        <c:minorTickMark val="none"/>
        <c:tickLblPos val="nextTo"/>
        <c:txPr>
          <a:bodyPr rot="-60000000" vert="horz"/>
          <a:lstStyle/>
          <a:p>
            <a:pPr>
              <a:defRPr/>
            </a:pPr>
            <a:endParaRPr lang="es-CO"/>
          </a:p>
        </c:txPr>
        <c:crossAx val="266133728"/>
        <c:crosses val="autoZero"/>
        <c:auto val="1"/>
        <c:lblAlgn val="ctr"/>
        <c:lblOffset val="100"/>
        <c:noMultiLvlLbl val="0"/>
      </c:catAx>
      <c:valAx>
        <c:axId val="266133728"/>
        <c:scaling>
          <c:orientation val="minMax"/>
        </c:scaling>
        <c:delete val="0"/>
        <c:axPos val="b"/>
        <c:majorGridlines/>
        <c:numFmt formatCode="General" sourceLinked="1"/>
        <c:majorTickMark val="none"/>
        <c:minorTickMark val="none"/>
        <c:tickLblPos val="nextTo"/>
        <c:txPr>
          <a:bodyPr rot="-60000000" vert="horz"/>
          <a:lstStyle/>
          <a:p>
            <a:pPr>
              <a:defRPr/>
            </a:pPr>
            <a:endParaRPr lang="es-CO"/>
          </a:p>
        </c:txPr>
        <c:crossAx val="266133168"/>
        <c:crosses val="autoZero"/>
        <c:crossBetween val="between"/>
      </c:valAx>
    </c:plotArea>
    <c:plotVisOnly val="1"/>
    <c:dispBlanksAs val="gap"/>
    <c:showDLblsOverMax val="0"/>
  </c:chart>
  <c:printSettings>
    <c:headerFooter/>
    <c:pageMargins b="0.75" l="0.7" r="0.7" t="0.75" header="0.3" footer="0.3"/>
    <c:pageSetup/>
  </c:printSettings>
</c:chartSpace>
</file>

<file path=xl/charts/chart7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22"/>
    </mc:Choice>
    <mc:Fallback>
      <c:style val="22"/>
    </mc:Fallback>
  </mc:AlternateContent>
  <c:chart>
    <c:title>
      <c:tx>
        <c:rich>
          <a:bodyPr rot="0" vert="horz"/>
          <a:lstStyle/>
          <a:p>
            <a:pPr>
              <a:defRPr/>
            </a:pPr>
            <a:r>
              <a:rPr lang="es-CO"/>
              <a:t>INDICADORES DE ACTIVIDAD 2014</a:t>
            </a:r>
          </a:p>
        </c:rich>
      </c:tx>
      <c:overlay val="0"/>
    </c:title>
    <c:autoTitleDeleted val="0"/>
    <c:view3D>
      <c:rotX val="15"/>
      <c:rotY val="20"/>
      <c:depthPercent val="100"/>
      <c:rAngAx val="1"/>
    </c:view3D>
    <c:floor>
      <c:thickness val="0"/>
    </c:floor>
    <c:sideWall>
      <c:thickness val="0"/>
    </c:sideWall>
    <c:backWall>
      <c:thickness val="0"/>
    </c:backWall>
    <c:plotArea>
      <c:layout/>
      <c:bar3DChart>
        <c:barDir val="col"/>
        <c:grouping val="stacked"/>
        <c:varyColors val="0"/>
        <c:ser>
          <c:idx val="0"/>
          <c:order val="0"/>
          <c:invertIfNegative val="0"/>
          <c:cat>
            <c:strRef>
              <c:f>('INDICADORES BASICOS'!$F$407,'INDICADORES BASICOS'!$F$408,'INDICADORES BASICOS'!$F$409:$F$411)</c:f>
              <c:strCache>
                <c:ptCount val="5"/>
                <c:pt idx="0">
                  <c:v>ROTACION DE CARTERA (Dias)</c:v>
                </c:pt>
                <c:pt idx="1">
                  <c:v>ROTACION DE ACTIVOS FIJOS (Dias)</c:v>
                </c:pt>
                <c:pt idx="2">
                  <c:v>DIAS DE CUENTAS POR COBRAR</c:v>
                </c:pt>
                <c:pt idx="3">
                  <c:v>ROTACION DE ACTIVOS TOTALES (Veces)</c:v>
                </c:pt>
                <c:pt idx="4">
                  <c:v>ROTACION DEL CAPITAL DE TRABAJO</c:v>
                </c:pt>
              </c:strCache>
            </c:strRef>
          </c:cat>
          <c:val>
            <c:numRef>
              <c:f>('INDICADORES BASICOS'!$G$407,'INDICADORES BASICOS'!$G$408,'INDICADORES BASICOS'!$G$409:$G$411)</c:f>
              <c:numCache>
                <c:formatCode>General</c:formatCode>
                <c:ptCount val="5"/>
              </c:numCache>
            </c:numRef>
          </c:val>
          <c:extLst>
            <c:ext xmlns:c16="http://schemas.microsoft.com/office/drawing/2014/chart" uri="{C3380CC4-5D6E-409C-BE32-E72D297353CC}">
              <c16:uniqueId val="{00000000-DD46-CD45-A231-47C03B9DDB4C}"/>
            </c:ext>
          </c:extLst>
        </c:ser>
        <c:ser>
          <c:idx val="1"/>
          <c:order val="1"/>
          <c:invertIfNegative val="0"/>
          <c:cat>
            <c:strRef>
              <c:f>('INDICADORES BASICOS'!$F$407,'INDICADORES BASICOS'!$F$408,'INDICADORES BASICOS'!$F$409:$F$411)</c:f>
              <c:strCache>
                <c:ptCount val="5"/>
                <c:pt idx="0">
                  <c:v>ROTACION DE CARTERA (Dias)</c:v>
                </c:pt>
                <c:pt idx="1">
                  <c:v>ROTACION DE ACTIVOS FIJOS (Dias)</c:v>
                </c:pt>
                <c:pt idx="2">
                  <c:v>DIAS DE CUENTAS POR COBRAR</c:v>
                </c:pt>
                <c:pt idx="3">
                  <c:v>ROTACION DE ACTIVOS TOTALES (Veces)</c:v>
                </c:pt>
                <c:pt idx="4">
                  <c:v>ROTACION DEL CAPITAL DE TRABAJO</c:v>
                </c:pt>
              </c:strCache>
            </c:strRef>
          </c:cat>
          <c:val>
            <c:numRef>
              <c:f>('INDICADORES BASICOS'!$H$407,'INDICADORES BASICOS'!$H$408,'INDICADORES BASICOS'!$H$409:$H$411)</c:f>
              <c:numCache>
                <c:formatCode>General</c:formatCode>
                <c:ptCount val="5"/>
              </c:numCache>
            </c:numRef>
          </c:val>
          <c:extLst>
            <c:ext xmlns:c16="http://schemas.microsoft.com/office/drawing/2014/chart" uri="{C3380CC4-5D6E-409C-BE32-E72D297353CC}">
              <c16:uniqueId val="{00000001-DD46-CD45-A231-47C03B9DDB4C}"/>
            </c:ext>
          </c:extLst>
        </c:ser>
        <c:ser>
          <c:idx val="2"/>
          <c:order val="2"/>
          <c:invertIfNegative val="0"/>
          <c:cat>
            <c:strRef>
              <c:f>('INDICADORES BASICOS'!$F$407,'INDICADORES BASICOS'!$F$408,'INDICADORES BASICOS'!$F$409:$F$411)</c:f>
              <c:strCache>
                <c:ptCount val="5"/>
                <c:pt idx="0">
                  <c:v>ROTACION DE CARTERA (Dias)</c:v>
                </c:pt>
                <c:pt idx="1">
                  <c:v>ROTACION DE ACTIVOS FIJOS (Dias)</c:v>
                </c:pt>
                <c:pt idx="2">
                  <c:v>DIAS DE CUENTAS POR COBRAR</c:v>
                </c:pt>
                <c:pt idx="3">
                  <c:v>ROTACION DE ACTIVOS TOTALES (Veces)</c:v>
                </c:pt>
                <c:pt idx="4">
                  <c:v>ROTACION DEL CAPITAL DE TRABAJO</c:v>
                </c:pt>
              </c:strCache>
            </c:strRef>
          </c:cat>
          <c:val>
            <c:numRef>
              <c:f>('INDICADORES BASICOS'!$I$407,'INDICADORES BASICOS'!$I$408,'INDICADORES BASICOS'!$I$409:$I$411)</c:f>
              <c:numCache>
                <c:formatCode>0.00</c:formatCode>
                <c:ptCount val="5"/>
                <c:pt idx="0">
                  <c:v>70.874785591766724</c:v>
                </c:pt>
                <c:pt idx="1">
                  <c:v>0.1033</c:v>
                </c:pt>
                <c:pt idx="2">
                  <c:v>5.0793804453049374</c:v>
                </c:pt>
                <c:pt idx="3">
                  <c:v>9.4208416742285722E-2</c:v>
                </c:pt>
                <c:pt idx="4">
                  <c:v>9.1</c:v>
                </c:pt>
              </c:numCache>
            </c:numRef>
          </c:val>
          <c:extLst>
            <c:ext xmlns:c16="http://schemas.microsoft.com/office/drawing/2014/chart" uri="{C3380CC4-5D6E-409C-BE32-E72D297353CC}">
              <c16:uniqueId val="{00000002-DD46-CD45-A231-47C03B9DDB4C}"/>
            </c:ext>
          </c:extLst>
        </c:ser>
        <c:dLbls>
          <c:showLegendKey val="0"/>
          <c:showVal val="0"/>
          <c:showCatName val="0"/>
          <c:showSerName val="0"/>
          <c:showPercent val="0"/>
          <c:showBubbleSize val="0"/>
        </c:dLbls>
        <c:gapWidth val="150"/>
        <c:shape val="box"/>
        <c:axId val="266137648"/>
        <c:axId val="266138208"/>
        <c:axId val="0"/>
      </c:bar3DChart>
      <c:catAx>
        <c:axId val="266137648"/>
        <c:scaling>
          <c:orientation val="minMax"/>
        </c:scaling>
        <c:delete val="0"/>
        <c:axPos val="b"/>
        <c:numFmt formatCode="General" sourceLinked="1"/>
        <c:majorTickMark val="none"/>
        <c:minorTickMark val="none"/>
        <c:tickLblPos val="nextTo"/>
        <c:txPr>
          <a:bodyPr rot="-60000000" vert="horz"/>
          <a:lstStyle/>
          <a:p>
            <a:pPr>
              <a:defRPr/>
            </a:pPr>
            <a:endParaRPr lang="es-CO"/>
          </a:p>
        </c:txPr>
        <c:crossAx val="266138208"/>
        <c:crosses val="autoZero"/>
        <c:auto val="1"/>
        <c:lblAlgn val="ctr"/>
        <c:lblOffset val="100"/>
        <c:noMultiLvlLbl val="0"/>
      </c:catAx>
      <c:valAx>
        <c:axId val="266138208"/>
        <c:scaling>
          <c:orientation val="minMax"/>
        </c:scaling>
        <c:delete val="0"/>
        <c:axPos val="l"/>
        <c:majorGridlines/>
        <c:numFmt formatCode="General" sourceLinked="1"/>
        <c:majorTickMark val="none"/>
        <c:minorTickMark val="none"/>
        <c:tickLblPos val="nextTo"/>
        <c:txPr>
          <a:bodyPr rot="-60000000" vert="horz"/>
          <a:lstStyle/>
          <a:p>
            <a:pPr>
              <a:defRPr/>
            </a:pPr>
            <a:endParaRPr lang="es-CO"/>
          </a:p>
        </c:txPr>
        <c:crossAx val="266137648"/>
        <c:crosses val="autoZero"/>
        <c:crossBetween val="between"/>
      </c:valAx>
    </c:plotArea>
    <c:plotVisOnly val="1"/>
    <c:dispBlanksAs val="gap"/>
    <c:showDLblsOverMax val="0"/>
  </c:chart>
  <c:printSettings>
    <c:headerFooter/>
    <c:pageMargins b="0.75" l="0.7" r="0.7" t="0.75" header="0.3" footer="0.3"/>
    <c:pageSetup/>
  </c:printSettings>
</c:chartSpace>
</file>

<file path=xl/charts/chart7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8"/>
    </mc:Choice>
    <mc:Fallback>
      <c:style val="8"/>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s-CO"/>
              <a:t>INDICADORES DE LIQUIDEZ 2014</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view3D>
      <c:rotX val="15"/>
      <c:rotY val="20"/>
      <c:depthPercent val="100"/>
      <c:rAngAx val="1"/>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bar3DChart>
        <c:barDir val="bar"/>
        <c:grouping val="clustered"/>
        <c:varyColors val="0"/>
        <c:ser>
          <c:idx val="0"/>
          <c:order val="0"/>
          <c:spPr>
            <a:solidFill>
              <a:schemeClr val="accent6">
                <a:shade val="65000"/>
              </a:schemeClr>
            </a:solidFill>
            <a:ln>
              <a:noFill/>
            </a:ln>
            <a:effectLst/>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('INDICADORES BASICOS'!$F$402,'INDICADORES BASICOS'!$F$404)</c:f>
              <c:strCache>
                <c:ptCount val="2"/>
                <c:pt idx="0">
                  <c:v>RAZON CORRIENTE (Veces)</c:v>
                </c:pt>
                <c:pt idx="1">
                  <c:v>CAPITAL NETO DE TRABAJO ($)</c:v>
                </c:pt>
              </c:strCache>
            </c:strRef>
          </c:cat>
          <c:val>
            <c:numRef>
              <c:f>('INDICADORES BASICOS'!$G$402,'INDICADORES BASICOS'!$G$404)</c:f>
              <c:numCache>
                <c:formatCode>General</c:formatCode>
                <c:ptCount val="2"/>
              </c:numCache>
            </c:numRef>
          </c:val>
          <c:extLst>
            <c:ext xmlns:c16="http://schemas.microsoft.com/office/drawing/2014/chart" uri="{C3380CC4-5D6E-409C-BE32-E72D297353CC}">
              <c16:uniqueId val="{00000000-DCF5-0541-B30B-C4AC68D25516}"/>
            </c:ext>
          </c:extLst>
        </c:ser>
        <c:ser>
          <c:idx val="1"/>
          <c:order val="1"/>
          <c:spPr>
            <a:solidFill>
              <a:schemeClr val="accent6"/>
            </a:solidFill>
            <a:ln>
              <a:noFill/>
            </a:ln>
            <a:effectLst/>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('INDICADORES BASICOS'!$F$402,'INDICADORES BASICOS'!$F$404)</c:f>
              <c:strCache>
                <c:ptCount val="2"/>
                <c:pt idx="0">
                  <c:v>RAZON CORRIENTE (Veces)</c:v>
                </c:pt>
                <c:pt idx="1">
                  <c:v>CAPITAL NETO DE TRABAJO ($)</c:v>
                </c:pt>
              </c:strCache>
            </c:strRef>
          </c:cat>
          <c:val>
            <c:numRef>
              <c:f>('INDICADORES BASICOS'!$H$402,'INDICADORES BASICOS'!$H$404)</c:f>
              <c:numCache>
                <c:formatCode>General</c:formatCode>
                <c:ptCount val="2"/>
              </c:numCache>
            </c:numRef>
          </c:val>
          <c:extLst>
            <c:ext xmlns:c16="http://schemas.microsoft.com/office/drawing/2014/chart" uri="{C3380CC4-5D6E-409C-BE32-E72D297353CC}">
              <c16:uniqueId val="{00000001-DCF5-0541-B30B-C4AC68D25516}"/>
            </c:ext>
          </c:extLst>
        </c:ser>
        <c:ser>
          <c:idx val="2"/>
          <c:order val="2"/>
          <c:spPr>
            <a:solidFill>
              <a:schemeClr val="accent6">
                <a:tint val="65000"/>
              </a:schemeClr>
            </a:solidFill>
            <a:ln>
              <a:noFill/>
            </a:ln>
            <a:effectLst/>
            <a:sp3d/>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('INDICADORES BASICOS'!$F$402,'INDICADORES BASICOS'!$F$404)</c:f>
              <c:strCache>
                <c:ptCount val="2"/>
                <c:pt idx="0">
                  <c:v>RAZON CORRIENTE (Veces)</c:v>
                </c:pt>
                <c:pt idx="1">
                  <c:v>CAPITAL NETO DE TRABAJO ($)</c:v>
                </c:pt>
              </c:strCache>
            </c:strRef>
          </c:cat>
          <c:val>
            <c:numRef>
              <c:f>('INDICADORES BASICOS'!$I$402,'INDICADORES BASICOS'!$I$404)</c:f>
              <c:numCache>
                <c:formatCode>"$"\ #,##0</c:formatCode>
                <c:ptCount val="2"/>
                <c:pt idx="0" formatCode="0.00">
                  <c:v>1.9476941706750983</c:v>
                </c:pt>
                <c:pt idx="1">
                  <c:v>28174000</c:v>
                </c:pt>
              </c:numCache>
            </c:numRef>
          </c:val>
          <c:extLst>
            <c:ext xmlns:c16="http://schemas.microsoft.com/office/drawing/2014/chart" uri="{C3380CC4-5D6E-409C-BE32-E72D297353CC}">
              <c16:uniqueId val="{00000002-DCF5-0541-B30B-C4AC68D25516}"/>
            </c:ext>
          </c:extLst>
        </c:ser>
        <c:dLbls>
          <c:showLegendKey val="0"/>
          <c:showVal val="1"/>
          <c:showCatName val="0"/>
          <c:showSerName val="0"/>
          <c:showPercent val="0"/>
          <c:showBubbleSize val="0"/>
        </c:dLbls>
        <c:gapWidth val="150"/>
        <c:shape val="box"/>
        <c:axId val="266142128"/>
        <c:axId val="266142688"/>
        <c:axId val="0"/>
      </c:bar3DChart>
      <c:catAx>
        <c:axId val="266142128"/>
        <c:scaling>
          <c:orientation val="minMax"/>
        </c:scaling>
        <c:delete val="0"/>
        <c:axPos val="l"/>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66142688"/>
        <c:crosses val="autoZero"/>
        <c:auto val="1"/>
        <c:lblAlgn val="ctr"/>
        <c:lblOffset val="100"/>
        <c:noMultiLvlLbl val="0"/>
      </c:catAx>
      <c:valAx>
        <c:axId val="266142688"/>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66142128"/>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7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s-CO" sz="1800" b="0" i="0" baseline="0">
                <a:effectLst/>
              </a:rPr>
              <a:t>ANÁLISIS COMPARATIVO ACTIVOS 2017-2014</a:t>
            </a:r>
            <a:endParaRPr lang="es-CO">
              <a:effectLst/>
            </a:endParaRP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view3D>
      <c:rotX val="15"/>
      <c:rotY val="20"/>
      <c:depthPercent val="100"/>
      <c:rAngAx val="1"/>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bar3DChart>
        <c:barDir val="col"/>
        <c:grouping val="clustered"/>
        <c:varyColors val="0"/>
        <c:ser>
          <c:idx val="0"/>
          <c:order val="0"/>
          <c:tx>
            <c:strRef>
              <c:f>'INDICADORES BASICOS'!$C$7</c:f>
              <c:strCache>
                <c:ptCount val="1"/>
                <c:pt idx="0">
                  <c:v>2017</c:v>
                </c:pt>
              </c:strCache>
            </c:strRef>
          </c:tx>
          <c:spPr>
            <a:solidFill>
              <a:schemeClr val="accent1"/>
            </a:solidFill>
            <a:ln>
              <a:noFill/>
            </a:ln>
            <a:effectLst/>
            <a:sp3d/>
          </c:spPr>
          <c:invertIfNegative val="0"/>
          <c:cat>
            <c:numRef>
              <c:f>'INDICADORES BASICOS'!$M$738:$M$741</c:f>
              <c:numCache>
                <c:formatCode>General</c:formatCode>
                <c:ptCount val="4"/>
              </c:numCache>
            </c:numRef>
          </c:cat>
          <c:val>
            <c:numRef>
              <c:f>'INDICADORES BASICOS'!$C$64</c:f>
              <c:numCache>
                <c:formatCode>"$"\ #,##0_);[Red]\("$"\ #,##0\)</c:formatCode>
                <c:ptCount val="1"/>
                <c:pt idx="0">
                  <c:v>1010330000</c:v>
                </c:pt>
              </c:numCache>
            </c:numRef>
          </c:val>
          <c:extLst>
            <c:ext xmlns:c16="http://schemas.microsoft.com/office/drawing/2014/chart" uri="{C3380CC4-5D6E-409C-BE32-E72D297353CC}">
              <c16:uniqueId val="{00000000-ED1A-4FE3-8F16-1309C30792F5}"/>
            </c:ext>
          </c:extLst>
        </c:ser>
        <c:ser>
          <c:idx val="1"/>
          <c:order val="1"/>
          <c:tx>
            <c:strRef>
              <c:f>'INDICADORES BASICOS'!$F$7</c:f>
              <c:strCache>
                <c:ptCount val="1"/>
                <c:pt idx="0">
                  <c:v>2016</c:v>
                </c:pt>
              </c:strCache>
            </c:strRef>
          </c:tx>
          <c:spPr>
            <a:solidFill>
              <a:schemeClr val="accent2"/>
            </a:solidFill>
            <a:ln>
              <a:noFill/>
            </a:ln>
            <a:effectLst/>
            <a:sp3d/>
          </c:spPr>
          <c:invertIfNegative val="0"/>
          <c:cat>
            <c:numRef>
              <c:f>'INDICADORES BASICOS'!$M$738:$M$741</c:f>
              <c:numCache>
                <c:formatCode>General</c:formatCode>
                <c:ptCount val="4"/>
              </c:numCache>
            </c:numRef>
          </c:cat>
          <c:val>
            <c:numRef>
              <c:f>'INDICADORES BASICOS'!$F$64</c:f>
              <c:numCache>
                <c:formatCode>"$"\ #,##0</c:formatCode>
                <c:ptCount val="1"/>
                <c:pt idx="0">
                  <c:v>859045000</c:v>
                </c:pt>
              </c:numCache>
            </c:numRef>
          </c:val>
          <c:extLst>
            <c:ext xmlns:c16="http://schemas.microsoft.com/office/drawing/2014/chart" uri="{C3380CC4-5D6E-409C-BE32-E72D297353CC}">
              <c16:uniqueId val="{00000001-ED1A-4FE3-8F16-1309C30792F5}"/>
            </c:ext>
          </c:extLst>
        </c:ser>
        <c:ser>
          <c:idx val="2"/>
          <c:order val="2"/>
          <c:tx>
            <c:strRef>
              <c:f>'INDICADORES BASICOS'!$F$25</c:f>
              <c:strCache>
                <c:ptCount val="1"/>
                <c:pt idx="0">
                  <c:v>2015</c:v>
                </c:pt>
              </c:strCache>
            </c:strRef>
          </c:tx>
          <c:spPr>
            <a:solidFill>
              <a:schemeClr val="accent3"/>
            </a:solidFill>
            <a:ln>
              <a:noFill/>
            </a:ln>
            <a:effectLst/>
            <a:sp3d/>
          </c:spPr>
          <c:invertIfNegative val="0"/>
          <c:cat>
            <c:numRef>
              <c:f>'INDICADORES BASICOS'!$M$738:$M$741</c:f>
              <c:numCache>
                <c:formatCode>General</c:formatCode>
                <c:ptCount val="4"/>
              </c:numCache>
            </c:numRef>
          </c:cat>
          <c:val>
            <c:numRef>
              <c:f>'INDICADORES BASICOS'!$F$95</c:f>
              <c:numCache>
                <c:formatCode>"$"\ #,##0</c:formatCode>
                <c:ptCount val="1"/>
                <c:pt idx="0">
                  <c:v>798251000</c:v>
                </c:pt>
              </c:numCache>
            </c:numRef>
          </c:val>
          <c:extLst>
            <c:ext xmlns:c16="http://schemas.microsoft.com/office/drawing/2014/chart" uri="{C3380CC4-5D6E-409C-BE32-E72D297353CC}">
              <c16:uniqueId val="{00000002-ED1A-4FE3-8F16-1309C30792F5}"/>
            </c:ext>
          </c:extLst>
        </c:ser>
        <c:ser>
          <c:idx val="3"/>
          <c:order val="3"/>
          <c:tx>
            <c:strRef>
              <c:f>'INDICADORES BASICOS'!$F$41</c:f>
              <c:strCache>
                <c:ptCount val="1"/>
                <c:pt idx="0">
                  <c:v>2014</c:v>
                </c:pt>
              </c:strCache>
            </c:strRef>
          </c:tx>
          <c:spPr>
            <a:solidFill>
              <a:schemeClr val="accent4"/>
            </a:solidFill>
            <a:ln>
              <a:noFill/>
            </a:ln>
            <a:effectLst/>
            <a:sp3d/>
          </c:spPr>
          <c:invertIfNegative val="0"/>
          <c:cat>
            <c:numRef>
              <c:f>'INDICADORES BASICOS'!$M$738:$M$741</c:f>
              <c:numCache>
                <c:formatCode>General</c:formatCode>
                <c:ptCount val="4"/>
              </c:numCache>
            </c:numRef>
          </c:cat>
          <c:val>
            <c:numRef>
              <c:f>'INDICADORES BASICOS'!$F$124</c:f>
              <c:numCache>
                <c:formatCode>"$"\ #,##0</c:formatCode>
                <c:ptCount val="1"/>
                <c:pt idx="0">
                  <c:v>657903000</c:v>
                </c:pt>
              </c:numCache>
            </c:numRef>
          </c:val>
          <c:extLst>
            <c:ext xmlns:c16="http://schemas.microsoft.com/office/drawing/2014/chart" uri="{C3380CC4-5D6E-409C-BE32-E72D297353CC}">
              <c16:uniqueId val="{00000003-ED1A-4FE3-8F16-1309C30792F5}"/>
            </c:ext>
          </c:extLst>
        </c:ser>
        <c:dLbls>
          <c:showLegendKey val="0"/>
          <c:showVal val="0"/>
          <c:showCatName val="0"/>
          <c:showSerName val="0"/>
          <c:showPercent val="0"/>
          <c:showBubbleSize val="0"/>
        </c:dLbls>
        <c:gapWidth val="150"/>
        <c:shape val="box"/>
        <c:axId val="266147168"/>
        <c:axId val="266147728"/>
        <c:axId val="0"/>
      </c:bar3DChart>
      <c:catAx>
        <c:axId val="266147168"/>
        <c:scaling>
          <c:orientation val="minMax"/>
        </c:scaling>
        <c:delete val="1"/>
        <c:axPos val="b"/>
        <c:numFmt formatCode="General" sourceLinked="1"/>
        <c:majorTickMark val="none"/>
        <c:minorTickMark val="none"/>
        <c:tickLblPos val="nextTo"/>
        <c:crossAx val="266147728"/>
        <c:crosses val="autoZero"/>
        <c:auto val="1"/>
        <c:lblAlgn val="ctr"/>
        <c:lblOffset val="100"/>
        <c:noMultiLvlLbl val="0"/>
      </c:catAx>
      <c:valAx>
        <c:axId val="266147728"/>
        <c:scaling>
          <c:orientation val="minMax"/>
        </c:scaling>
        <c:delete val="0"/>
        <c:axPos val="l"/>
        <c:majorGridlines>
          <c:spPr>
            <a:ln w="9525" cap="flat" cmpd="sng" algn="ctr">
              <a:solidFill>
                <a:schemeClr val="tx1">
                  <a:lumMod val="15000"/>
                  <a:lumOff val="85000"/>
                </a:schemeClr>
              </a:solidFill>
              <a:round/>
            </a:ln>
            <a:effectLst/>
          </c:spPr>
        </c:majorGridlines>
        <c:numFmt formatCode="&quot;$&quot;\ #,##0_);[Red]\(&quot;$&quot;\ #,##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6614716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7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s-CO" sz="1800" b="0" i="0" baseline="0">
                <a:effectLst/>
              </a:rPr>
              <a:t>ANÁLISIS COMPARATIVO PASIVOS 2017-2014</a:t>
            </a:r>
            <a:endParaRPr lang="es-CO">
              <a:effectLst/>
            </a:endParaRP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view3D>
      <c:rotX val="15"/>
      <c:rotY val="20"/>
      <c:depthPercent val="100"/>
      <c:rAngAx val="1"/>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bar3DChart>
        <c:barDir val="col"/>
        <c:grouping val="clustered"/>
        <c:varyColors val="0"/>
        <c:ser>
          <c:idx val="0"/>
          <c:order val="0"/>
          <c:tx>
            <c:strRef>
              <c:f>'INDICADORES BASICOS'!$C$76</c:f>
              <c:strCache>
                <c:ptCount val="1"/>
                <c:pt idx="0">
                  <c:v>2017</c:v>
                </c:pt>
              </c:strCache>
            </c:strRef>
          </c:tx>
          <c:spPr>
            <a:solidFill>
              <a:schemeClr val="accent1"/>
            </a:solidFill>
            <a:ln>
              <a:noFill/>
            </a:ln>
            <a:effectLst/>
            <a:sp3d/>
          </c:spPr>
          <c:invertIfNegative val="0"/>
          <c:val>
            <c:numRef>
              <c:f>'INDICADORES BASICOS'!$B$74</c:f>
              <c:numCache>
                <c:formatCode>General</c:formatCode>
                <c:ptCount val="1"/>
                <c:pt idx="0">
                  <c:v>0</c:v>
                </c:pt>
              </c:numCache>
            </c:numRef>
          </c:val>
          <c:extLst>
            <c:ext xmlns:c16="http://schemas.microsoft.com/office/drawing/2014/chart" uri="{C3380CC4-5D6E-409C-BE32-E72D297353CC}">
              <c16:uniqueId val="{00000000-C036-4C2A-90FC-BC780138919D}"/>
            </c:ext>
          </c:extLst>
        </c:ser>
        <c:ser>
          <c:idx val="1"/>
          <c:order val="1"/>
          <c:tx>
            <c:strRef>
              <c:f>'INDICADORES BASICOS'!$F$76</c:f>
              <c:strCache>
                <c:ptCount val="1"/>
                <c:pt idx="0">
                  <c:v>2016</c:v>
                </c:pt>
              </c:strCache>
            </c:strRef>
          </c:tx>
          <c:spPr>
            <a:solidFill>
              <a:schemeClr val="accent2"/>
            </a:solidFill>
            <a:ln>
              <a:noFill/>
            </a:ln>
            <a:effectLst/>
            <a:sp3d/>
          </c:spPr>
          <c:invertIfNegative val="0"/>
          <c:val>
            <c:numRef>
              <c:f>'INDICADORES BASICOS'!$C$74</c:f>
              <c:numCache>
                <c:formatCode>"$"\ #,##0</c:formatCode>
                <c:ptCount val="1"/>
                <c:pt idx="0">
                  <c:v>281788000</c:v>
                </c:pt>
              </c:numCache>
            </c:numRef>
          </c:val>
          <c:extLst>
            <c:ext xmlns:c16="http://schemas.microsoft.com/office/drawing/2014/chart" uri="{C3380CC4-5D6E-409C-BE32-E72D297353CC}">
              <c16:uniqueId val="{00000001-C036-4C2A-90FC-BC780138919D}"/>
            </c:ext>
          </c:extLst>
        </c:ser>
        <c:ser>
          <c:idx val="2"/>
          <c:order val="2"/>
          <c:tx>
            <c:strRef>
              <c:f>'INDICADORES BASICOS'!$F$87</c:f>
              <c:strCache>
                <c:ptCount val="1"/>
                <c:pt idx="0">
                  <c:v>2015</c:v>
                </c:pt>
              </c:strCache>
            </c:strRef>
          </c:tx>
          <c:spPr>
            <a:solidFill>
              <a:schemeClr val="accent3"/>
            </a:solidFill>
            <a:ln>
              <a:noFill/>
            </a:ln>
            <a:effectLst/>
            <a:sp3d/>
          </c:spPr>
          <c:invertIfNegative val="0"/>
          <c:val>
            <c:numRef>
              <c:f>'INDICADORES BASICOS'!$F$74</c:f>
              <c:numCache>
                <c:formatCode>[$$-240A]\ #,##0</c:formatCode>
                <c:ptCount val="1"/>
                <c:pt idx="0">
                  <c:v>162080000</c:v>
                </c:pt>
              </c:numCache>
            </c:numRef>
          </c:val>
          <c:extLst>
            <c:ext xmlns:c16="http://schemas.microsoft.com/office/drawing/2014/chart" uri="{C3380CC4-5D6E-409C-BE32-E72D297353CC}">
              <c16:uniqueId val="{00000002-C036-4C2A-90FC-BC780138919D}"/>
            </c:ext>
          </c:extLst>
        </c:ser>
        <c:ser>
          <c:idx val="3"/>
          <c:order val="3"/>
          <c:tx>
            <c:strRef>
              <c:f>'INDICADORES BASICOS'!$F$117</c:f>
              <c:strCache>
                <c:ptCount val="1"/>
                <c:pt idx="0">
                  <c:v>2014</c:v>
                </c:pt>
              </c:strCache>
            </c:strRef>
          </c:tx>
          <c:spPr>
            <a:solidFill>
              <a:schemeClr val="accent4"/>
            </a:solidFill>
            <a:ln>
              <a:noFill/>
            </a:ln>
            <a:effectLst/>
            <a:sp3d/>
          </c:spPr>
          <c:invertIfNegative val="0"/>
          <c:val>
            <c:numRef>
              <c:f>'INDICADORES BASICOS'!$F$105</c:f>
              <c:numCache>
                <c:formatCode>[$$-240A]\ #,##0</c:formatCode>
                <c:ptCount val="1"/>
                <c:pt idx="0">
                  <c:v>125039000</c:v>
                </c:pt>
              </c:numCache>
            </c:numRef>
          </c:val>
          <c:extLst>
            <c:ext xmlns:c16="http://schemas.microsoft.com/office/drawing/2014/chart" uri="{C3380CC4-5D6E-409C-BE32-E72D297353CC}">
              <c16:uniqueId val="{00000003-C036-4C2A-90FC-BC780138919D}"/>
            </c:ext>
          </c:extLst>
        </c:ser>
        <c:dLbls>
          <c:showLegendKey val="0"/>
          <c:showVal val="0"/>
          <c:showCatName val="0"/>
          <c:showSerName val="0"/>
          <c:showPercent val="0"/>
          <c:showBubbleSize val="0"/>
        </c:dLbls>
        <c:gapWidth val="150"/>
        <c:shape val="box"/>
        <c:axId val="267020944"/>
        <c:axId val="267021504"/>
        <c:axId val="0"/>
      </c:bar3DChart>
      <c:catAx>
        <c:axId val="267020944"/>
        <c:scaling>
          <c:orientation val="minMax"/>
        </c:scaling>
        <c:delete val="1"/>
        <c:axPos val="b"/>
        <c:majorTickMark val="none"/>
        <c:minorTickMark val="none"/>
        <c:tickLblPos val="nextTo"/>
        <c:crossAx val="267021504"/>
        <c:crosses val="autoZero"/>
        <c:auto val="1"/>
        <c:lblAlgn val="ctr"/>
        <c:lblOffset val="100"/>
        <c:noMultiLvlLbl val="0"/>
      </c:catAx>
      <c:valAx>
        <c:axId val="26702150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67020944"/>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7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s-CO" sz="1800" b="0" i="0" baseline="0">
                <a:effectLst/>
              </a:rPr>
              <a:t>ANÁLISIS COMPARATIVO PATRIMONIO 2017-2014</a:t>
            </a:r>
            <a:endParaRPr lang="es-CO">
              <a:effectLst/>
            </a:endParaRP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view3D>
      <c:rotX val="15"/>
      <c:rotY val="20"/>
      <c:depthPercent val="100"/>
      <c:rAngAx val="1"/>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bar3DChart>
        <c:barDir val="col"/>
        <c:grouping val="clustered"/>
        <c:varyColors val="0"/>
        <c:ser>
          <c:idx val="0"/>
          <c:order val="0"/>
          <c:tx>
            <c:strRef>
              <c:f>'INDICADORES BASICOS'!$C$76</c:f>
              <c:strCache>
                <c:ptCount val="1"/>
                <c:pt idx="0">
                  <c:v>2017</c:v>
                </c:pt>
              </c:strCache>
            </c:strRef>
          </c:tx>
          <c:spPr>
            <a:solidFill>
              <a:schemeClr val="accent1"/>
            </a:solidFill>
            <a:ln>
              <a:noFill/>
            </a:ln>
            <a:effectLst/>
            <a:sp3d/>
          </c:spPr>
          <c:invertIfNegative val="0"/>
          <c:val>
            <c:numRef>
              <c:f>'INDICADORES BASICOS'!$C$81</c:f>
              <c:numCache>
                <c:formatCode>"$"\ #,##0</c:formatCode>
                <c:ptCount val="1"/>
                <c:pt idx="0">
                  <c:v>728542000</c:v>
                </c:pt>
              </c:numCache>
            </c:numRef>
          </c:val>
          <c:extLst>
            <c:ext xmlns:c16="http://schemas.microsoft.com/office/drawing/2014/chart" uri="{C3380CC4-5D6E-409C-BE32-E72D297353CC}">
              <c16:uniqueId val="{00000000-95F4-400A-A9FF-7C9E9B218BF1}"/>
            </c:ext>
          </c:extLst>
        </c:ser>
        <c:ser>
          <c:idx val="1"/>
          <c:order val="1"/>
          <c:tx>
            <c:strRef>
              <c:f>'INDICADORES BASICOS'!$F$76</c:f>
              <c:strCache>
                <c:ptCount val="1"/>
                <c:pt idx="0">
                  <c:v>2016</c:v>
                </c:pt>
              </c:strCache>
            </c:strRef>
          </c:tx>
          <c:spPr>
            <a:solidFill>
              <a:schemeClr val="accent2"/>
            </a:solidFill>
            <a:ln>
              <a:noFill/>
            </a:ln>
            <a:effectLst/>
            <a:sp3d/>
          </c:spPr>
          <c:invertIfNegative val="0"/>
          <c:val>
            <c:numRef>
              <c:f>'INDICADORES BASICOS'!$F$81</c:f>
              <c:numCache>
                <c:formatCode>"$"\ #,##0</c:formatCode>
                <c:ptCount val="1"/>
                <c:pt idx="0">
                  <c:v>696965000</c:v>
                </c:pt>
              </c:numCache>
            </c:numRef>
          </c:val>
          <c:extLst>
            <c:ext xmlns:c16="http://schemas.microsoft.com/office/drawing/2014/chart" uri="{C3380CC4-5D6E-409C-BE32-E72D297353CC}">
              <c16:uniqueId val="{00000001-95F4-400A-A9FF-7C9E9B218BF1}"/>
            </c:ext>
          </c:extLst>
        </c:ser>
        <c:ser>
          <c:idx val="2"/>
          <c:order val="2"/>
          <c:tx>
            <c:strRef>
              <c:f>'INDICADORES BASICOS'!$F$87</c:f>
              <c:strCache>
                <c:ptCount val="1"/>
                <c:pt idx="0">
                  <c:v>2015</c:v>
                </c:pt>
              </c:strCache>
            </c:strRef>
          </c:tx>
          <c:spPr>
            <a:solidFill>
              <a:schemeClr val="accent3"/>
            </a:solidFill>
            <a:ln>
              <a:noFill/>
            </a:ln>
            <a:effectLst/>
            <a:sp3d/>
          </c:spPr>
          <c:invertIfNegative val="0"/>
          <c:val>
            <c:numRef>
              <c:f>'INDICADORES BASICOS'!$B$81</c:f>
              <c:numCache>
                <c:formatCode>General</c:formatCode>
                <c:ptCount val="1"/>
                <c:pt idx="0">
                  <c:v>0</c:v>
                </c:pt>
              </c:numCache>
            </c:numRef>
          </c:val>
          <c:extLst>
            <c:ext xmlns:c16="http://schemas.microsoft.com/office/drawing/2014/chart" uri="{C3380CC4-5D6E-409C-BE32-E72D297353CC}">
              <c16:uniqueId val="{00000002-95F4-400A-A9FF-7C9E9B218BF1}"/>
            </c:ext>
          </c:extLst>
        </c:ser>
        <c:ser>
          <c:idx val="3"/>
          <c:order val="3"/>
          <c:tx>
            <c:strRef>
              <c:f>'INDICADORES BASICOS'!$F$117</c:f>
              <c:strCache>
                <c:ptCount val="1"/>
                <c:pt idx="0">
                  <c:v>2014</c:v>
                </c:pt>
              </c:strCache>
            </c:strRef>
          </c:tx>
          <c:spPr>
            <a:solidFill>
              <a:schemeClr val="accent4"/>
            </a:solidFill>
            <a:ln>
              <a:noFill/>
            </a:ln>
            <a:effectLst/>
            <a:sp3d/>
          </c:spPr>
          <c:invertIfNegative val="0"/>
          <c:val>
            <c:numRef>
              <c:f>'INDICADORES BASICOS'!$F$112</c:f>
              <c:numCache>
                <c:formatCode>"$"\ #,##0</c:formatCode>
                <c:ptCount val="1"/>
                <c:pt idx="0">
                  <c:v>673212000</c:v>
                </c:pt>
              </c:numCache>
            </c:numRef>
          </c:val>
          <c:extLst>
            <c:ext xmlns:c16="http://schemas.microsoft.com/office/drawing/2014/chart" uri="{C3380CC4-5D6E-409C-BE32-E72D297353CC}">
              <c16:uniqueId val="{00000003-95F4-400A-A9FF-7C9E9B218BF1}"/>
            </c:ext>
          </c:extLst>
        </c:ser>
        <c:dLbls>
          <c:showLegendKey val="0"/>
          <c:showVal val="0"/>
          <c:showCatName val="0"/>
          <c:showSerName val="0"/>
          <c:showPercent val="0"/>
          <c:showBubbleSize val="0"/>
        </c:dLbls>
        <c:gapWidth val="150"/>
        <c:shape val="box"/>
        <c:axId val="267025984"/>
        <c:axId val="267026544"/>
        <c:axId val="0"/>
      </c:bar3DChart>
      <c:catAx>
        <c:axId val="267025984"/>
        <c:scaling>
          <c:orientation val="minMax"/>
        </c:scaling>
        <c:delete val="1"/>
        <c:axPos val="b"/>
        <c:majorTickMark val="none"/>
        <c:minorTickMark val="none"/>
        <c:tickLblPos val="nextTo"/>
        <c:crossAx val="267026544"/>
        <c:crosses val="autoZero"/>
        <c:auto val="1"/>
        <c:lblAlgn val="ctr"/>
        <c:lblOffset val="100"/>
        <c:noMultiLvlLbl val="0"/>
      </c:catAx>
      <c:valAx>
        <c:axId val="267026544"/>
        <c:scaling>
          <c:orientation val="minMax"/>
        </c:scaling>
        <c:delete val="0"/>
        <c:axPos val="l"/>
        <c:majorGridlines>
          <c:spPr>
            <a:ln w="9525" cap="flat" cmpd="sng" algn="ctr">
              <a:solidFill>
                <a:schemeClr val="tx1">
                  <a:lumMod val="15000"/>
                  <a:lumOff val="85000"/>
                </a:schemeClr>
              </a:solidFill>
              <a:round/>
            </a:ln>
            <a:effectLst/>
          </c:spPr>
        </c:majorGridlines>
        <c:numFmt formatCode="&quot;$&quot;\ #,##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67025984"/>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7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s-CO" sz="1800" b="0" i="0" baseline="0">
                <a:effectLst/>
              </a:rPr>
              <a:t>ANÁLISIS COMPARATIVO INGRESOS OPERACIONALES 2017-2014</a:t>
            </a:r>
            <a:endParaRPr lang="es-CO">
              <a:effectLst/>
            </a:endParaRP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view3D>
      <c:rotX val="15"/>
      <c:rotY val="20"/>
      <c:depthPercent val="100"/>
      <c:rAngAx val="1"/>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bar3DChart>
        <c:barDir val="col"/>
        <c:grouping val="clustered"/>
        <c:varyColors val="0"/>
        <c:ser>
          <c:idx val="0"/>
          <c:order val="0"/>
          <c:tx>
            <c:strRef>
              <c:f>'INDICADORES BASICOS'!$C$7</c:f>
              <c:strCache>
                <c:ptCount val="1"/>
                <c:pt idx="0">
                  <c:v>2017</c:v>
                </c:pt>
              </c:strCache>
            </c:strRef>
          </c:tx>
          <c:spPr>
            <a:solidFill>
              <a:schemeClr val="accent1"/>
            </a:solidFill>
            <a:ln>
              <a:noFill/>
            </a:ln>
            <a:effectLst/>
            <a:sp3d/>
          </c:spPr>
          <c:invertIfNegative val="0"/>
          <c:val>
            <c:numRef>
              <c:f>'INDICADORES BASICOS'!$C$8</c:f>
              <c:numCache>
                <c:formatCode>"$"#,##0_);\("$"#,##0\)</c:formatCode>
                <c:ptCount val="1"/>
                <c:pt idx="0">
                  <c:v>1148878000</c:v>
                </c:pt>
              </c:numCache>
            </c:numRef>
          </c:val>
          <c:extLst>
            <c:ext xmlns:c16="http://schemas.microsoft.com/office/drawing/2014/chart" uri="{C3380CC4-5D6E-409C-BE32-E72D297353CC}">
              <c16:uniqueId val="{00000000-13FD-4C59-BB67-161B7EF95603}"/>
            </c:ext>
          </c:extLst>
        </c:ser>
        <c:ser>
          <c:idx val="1"/>
          <c:order val="1"/>
          <c:tx>
            <c:strRef>
              <c:f>'INDICADORES BASICOS'!$F$7</c:f>
              <c:strCache>
                <c:ptCount val="1"/>
                <c:pt idx="0">
                  <c:v>2016</c:v>
                </c:pt>
              </c:strCache>
            </c:strRef>
          </c:tx>
          <c:spPr>
            <a:solidFill>
              <a:schemeClr val="accent2"/>
            </a:solidFill>
            <a:ln>
              <a:noFill/>
            </a:ln>
            <a:effectLst/>
            <a:sp3d/>
          </c:spPr>
          <c:invertIfNegative val="0"/>
          <c:val>
            <c:numRef>
              <c:f>'INDICADORES BASICOS'!$F$8</c:f>
              <c:numCache>
                <c:formatCode>"$"\ #,##0</c:formatCode>
                <c:ptCount val="1"/>
                <c:pt idx="0">
                  <c:v>663086000</c:v>
                </c:pt>
              </c:numCache>
            </c:numRef>
          </c:val>
          <c:extLst>
            <c:ext xmlns:c16="http://schemas.microsoft.com/office/drawing/2014/chart" uri="{C3380CC4-5D6E-409C-BE32-E72D297353CC}">
              <c16:uniqueId val="{00000001-13FD-4C59-BB67-161B7EF95603}"/>
            </c:ext>
          </c:extLst>
        </c:ser>
        <c:ser>
          <c:idx val="2"/>
          <c:order val="2"/>
          <c:tx>
            <c:strRef>
              <c:f>'INDICADORES BASICOS'!$F$25</c:f>
              <c:strCache>
                <c:ptCount val="1"/>
                <c:pt idx="0">
                  <c:v>2015</c:v>
                </c:pt>
              </c:strCache>
            </c:strRef>
          </c:tx>
          <c:spPr>
            <a:solidFill>
              <a:schemeClr val="accent3"/>
            </a:solidFill>
            <a:ln>
              <a:noFill/>
            </a:ln>
            <a:effectLst/>
            <a:sp3d/>
          </c:spPr>
          <c:invertIfNegative val="0"/>
          <c:val>
            <c:numRef>
              <c:f>'INDICADORES BASICOS'!$F$26</c:f>
              <c:numCache>
                <c:formatCode>"$"\ #,##0</c:formatCode>
                <c:ptCount val="1"/>
                <c:pt idx="0">
                  <c:v>344142000</c:v>
                </c:pt>
              </c:numCache>
            </c:numRef>
          </c:val>
          <c:extLst>
            <c:ext xmlns:c16="http://schemas.microsoft.com/office/drawing/2014/chart" uri="{C3380CC4-5D6E-409C-BE32-E72D297353CC}">
              <c16:uniqueId val="{00000002-13FD-4C59-BB67-161B7EF95603}"/>
            </c:ext>
          </c:extLst>
        </c:ser>
        <c:ser>
          <c:idx val="3"/>
          <c:order val="3"/>
          <c:tx>
            <c:strRef>
              <c:f>'INDICADORES BASICOS'!$F$41</c:f>
              <c:strCache>
                <c:ptCount val="1"/>
                <c:pt idx="0">
                  <c:v>2014</c:v>
                </c:pt>
              </c:strCache>
            </c:strRef>
          </c:tx>
          <c:spPr>
            <a:solidFill>
              <a:schemeClr val="accent4"/>
            </a:solidFill>
            <a:ln>
              <a:noFill/>
            </a:ln>
            <a:effectLst/>
            <a:sp3d/>
          </c:spPr>
          <c:invertIfNegative val="0"/>
          <c:val>
            <c:numRef>
              <c:f>'INDICADORES BASICOS'!$F$42</c:f>
              <c:numCache>
                <c:formatCode>[$$-240A]\ #,##0</c:formatCode>
                <c:ptCount val="1"/>
                <c:pt idx="0">
                  <c:v>61980000</c:v>
                </c:pt>
              </c:numCache>
            </c:numRef>
          </c:val>
          <c:extLst>
            <c:ext xmlns:c16="http://schemas.microsoft.com/office/drawing/2014/chart" uri="{C3380CC4-5D6E-409C-BE32-E72D297353CC}">
              <c16:uniqueId val="{00000003-13FD-4C59-BB67-161B7EF95603}"/>
            </c:ext>
          </c:extLst>
        </c:ser>
        <c:dLbls>
          <c:showLegendKey val="0"/>
          <c:showVal val="0"/>
          <c:showCatName val="0"/>
          <c:showSerName val="0"/>
          <c:showPercent val="0"/>
          <c:showBubbleSize val="0"/>
        </c:dLbls>
        <c:gapWidth val="150"/>
        <c:shape val="box"/>
        <c:axId val="267031024"/>
        <c:axId val="267031584"/>
        <c:axId val="0"/>
      </c:bar3DChart>
      <c:catAx>
        <c:axId val="267031024"/>
        <c:scaling>
          <c:orientation val="minMax"/>
        </c:scaling>
        <c:delete val="1"/>
        <c:axPos val="b"/>
        <c:majorTickMark val="none"/>
        <c:minorTickMark val="none"/>
        <c:tickLblPos val="nextTo"/>
        <c:crossAx val="267031584"/>
        <c:crosses val="autoZero"/>
        <c:auto val="1"/>
        <c:lblAlgn val="ctr"/>
        <c:lblOffset val="100"/>
        <c:noMultiLvlLbl val="0"/>
      </c:catAx>
      <c:valAx>
        <c:axId val="267031584"/>
        <c:scaling>
          <c:orientation val="minMax"/>
        </c:scaling>
        <c:delete val="0"/>
        <c:axPos val="l"/>
        <c:majorGridlines>
          <c:spPr>
            <a:ln w="9525" cap="flat" cmpd="sng" algn="ctr">
              <a:solidFill>
                <a:schemeClr val="tx1">
                  <a:lumMod val="15000"/>
                  <a:lumOff val="85000"/>
                </a:schemeClr>
              </a:solidFill>
              <a:round/>
            </a:ln>
            <a:effectLst/>
          </c:spPr>
        </c:majorGridlines>
        <c:numFmt formatCode="&quot;$&quot;#,##0_);\(&quot;$&quot;#,##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67031024"/>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7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s-CO" sz="1800" b="0" i="0" baseline="0">
                <a:effectLst/>
              </a:rPr>
              <a:t>ANÁLISIS COMPARATIVO COSTOS DE VENTAS 2017-2014</a:t>
            </a:r>
            <a:endParaRPr lang="es-CO">
              <a:effectLst/>
            </a:endParaRP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view3D>
      <c:rotX val="15"/>
      <c:rotY val="20"/>
      <c:depthPercent val="100"/>
      <c:rAngAx val="1"/>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bar3DChart>
        <c:barDir val="col"/>
        <c:grouping val="clustered"/>
        <c:varyColors val="0"/>
        <c:ser>
          <c:idx val="0"/>
          <c:order val="0"/>
          <c:tx>
            <c:strRef>
              <c:f>'INDICADORES BASICOS'!$C$7</c:f>
              <c:strCache>
                <c:ptCount val="1"/>
                <c:pt idx="0">
                  <c:v>2017</c:v>
                </c:pt>
              </c:strCache>
            </c:strRef>
          </c:tx>
          <c:spPr>
            <a:solidFill>
              <a:schemeClr val="accent1"/>
            </a:solidFill>
            <a:ln>
              <a:noFill/>
            </a:ln>
            <a:effectLst/>
            <a:sp3d/>
          </c:spPr>
          <c:invertIfNegative val="0"/>
          <c:val>
            <c:numRef>
              <c:f>'INDICADORES BASICOS'!$C$9</c:f>
              <c:numCache>
                <c:formatCode>"$"#,##0_);\("$"#,##0\)</c:formatCode>
                <c:ptCount val="1"/>
                <c:pt idx="0">
                  <c:v>1010660000</c:v>
                </c:pt>
              </c:numCache>
            </c:numRef>
          </c:val>
          <c:extLst>
            <c:ext xmlns:c16="http://schemas.microsoft.com/office/drawing/2014/chart" uri="{C3380CC4-5D6E-409C-BE32-E72D297353CC}">
              <c16:uniqueId val="{00000000-8179-4BB9-ACB8-6EDAAC3466D1}"/>
            </c:ext>
          </c:extLst>
        </c:ser>
        <c:ser>
          <c:idx val="1"/>
          <c:order val="1"/>
          <c:tx>
            <c:strRef>
              <c:f>'INDICADORES BASICOS'!$F$7</c:f>
              <c:strCache>
                <c:ptCount val="1"/>
                <c:pt idx="0">
                  <c:v>2016</c:v>
                </c:pt>
              </c:strCache>
            </c:strRef>
          </c:tx>
          <c:spPr>
            <a:solidFill>
              <a:schemeClr val="accent2"/>
            </a:solidFill>
            <a:ln>
              <a:noFill/>
            </a:ln>
            <a:effectLst/>
            <a:sp3d/>
          </c:spPr>
          <c:invertIfNegative val="0"/>
          <c:val>
            <c:numRef>
              <c:f>'INDICADORES BASICOS'!$F$9</c:f>
              <c:numCache>
                <c:formatCode>"$"\ #,##0</c:formatCode>
                <c:ptCount val="1"/>
                <c:pt idx="0">
                  <c:v>569555000</c:v>
                </c:pt>
              </c:numCache>
            </c:numRef>
          </c:val>
          <c:extLst>
            <c:ext xmlns:c16="http://schemas.microsoft.com/office/drawing/2014/chart" uri="{C3380CC4-5D6E-409C-BE32-E72D297353CC}">
              <c16:uniqueId val="{00000001-8179-4BB9-ACB8-6EDAAC3466D1}"/>
            </c:ext>
          </c:extLst>
        </c:ser>
        <c:ser>
          <c:idx val="2"/>
          <c:order val="2"/>
          <c:tx>
            <c:strRef>
              <c:f>'INDICADORES BASICOS'!$F$25</c:f>
              <c:strCache>
                <c:ptCount val="1"/>
                <c:pt idx="0">
                  <c:v>2015</c:v>
                </c:pt>
              </c:strCache>
            </c:strRef>
          </c:tx>
          <c:spPr>
            <a:solidFill>
              <a:schemeClr val="accent3"/>
            </a:solidFill>
            <a:ln>
              <a:noFill/>
            </a:ln>
            <a:effectLst/>
            <a:sp3d/>
          </c:spPr>
          <c:invertIfNegative val="0"/>
          <c:val>
            <c:numRef>
              <c:f>'INDICADORES BASICOS'!$F$27</c:f>
              <c:numCache>
                <c:formatCode>"$"\ #,##0</c:formatCode>
                <c:ptCount val="1"/>
                <c:pt idx="0">
                  <c:v>243387000</c:v>
                </c:pt>
              </c:numCache>
            </c:numRef>
          </c:val>
          <c:extLst>
            <c:ext xmlns:c16="http://schemas.microsoft.com/office/drawing/2014/chart" uri="{C3380CC4-5D6E-409C-BE32-E72D297353CC}">
              <c16:uniqueId val="{00000002-8179-4BB9-ACB8-6EDAAC3466D1}"/>
            </c:ext>
          </c:extLst>
        </c:ser>
        <c:ser>
          <c:idx val="3"/>
          <c:order val="3"/>
          <c:tx>
            <c:strRef>
              <c:f>'INDICADORES BASICOS'!$F$41</c:f>
              <c:strCache>
                <c:ptCount val="1"/>
                <c:pt idx="0">
                  <c:v>2014</c:v>
                </c:pt>
              </c:strCache>
            </c:strRef>
          </c:tx>
          <c:spPr>
            <a:solidFill>
              <a:schemeClr val="accent4"/>
            </a:solidFill>
            <a:ln>
              <a:noFill/>
            </a:ln>
            <a:effectLst/>
            <a:sp3d/>
          </c:spPr>
          <c:invertIfNegative val="0"/>
          <c:val>
            <c:numRef>
              <c:f>'INDICADORES BASICOS'!$F$43</c:f>
              <c:numCache>
                <c:formatCode>[$$-240A]\ #,##0</c:formatCode>
                <c:ptCount val="1"/>
                <c:pt idx="0">
                  <c:v>51870000</c:v>
                </c:pt>
              </c:numCache>
            </c:numRef>
          </c:val>
          <c:extLst>
            <c:ext xmlns:c16="http://schemas.microsoft.com/office/drawing/2014/chart" uri="{C3380CC4-5D6E-409C-BE32-E72D297353CC}">
              <c16:uniqueId val="{00000003-8179-4BB9-ACB8-6EDAAC3466D1}"/>
            </c:ext>
          </c:extLst>
        </c:ser>
        <c:dLbls>
          <c:showLegendKey val="0"/>
          <c:showVal val="0"/>
          <c:showCatName val="0"/>
          <c:showSerName val="0"/>
          <c:showPercent val="0"/>
          <c:showBubbleSize val="0"/>
        </c:dLbls>
        <c:gapWidth val="150"/>
        <c:shape val="box"/>
        <c:axId val="267036064"/>
        <c:axId val="267036624"/>
        <c:axId val="0"/>
      </c:bar3DChart>
      <c:catAx>
        <c:axId val="267036064"/>
        <c:scaling>
          <c:orientation val="minMax"/>
        </c:scaling>
        <c:delete val="1"/>
        <c:axPos val="b"/>
        <c:majorTickMark val="none"/>
        <c:minorTickMark val="none"/>
        <c:tickLblPos val="nextTo"/>
        <c:crossAx val="267036624"/>
        <c:crosses val="autoZero"/>
        <c:auto val="1"/>
        <c:lblAlgn val="ctr"/>
        <c:lblOffset val="100"/>
        <c:noMultiLvlLbl val="0"/>
      </c:catAx>
      <c:valAx>
        <c:axId val="267036624"/>
        <c:scaling>
          <c:orientation val="minMax"/>
        </c:scaling>
        <c:delete val="0"/>
        <c:axPos val="l"/>
        <c:majorGridlines>
          <c:spPr>
            <a:ln w="9525" cap="flat" cmpd="sng" algn="ctr">
              <a:solidFill>
                <a:schemeClr val="tx1">
                  <a:lumMod val="15000"/>
                  <a:lumOff val="85000"/>
                </a:schemeClr>
              </a:solidFill>
              <a:round/>
            </a:ln>
            <a:effectLst/>
          </c:spPr>
        </c:majorGridlines>
        <c:numFmt formatCode="&quot;$&quot;#,##0_);\(&quot;$&quot;#,##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67036064"/>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8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6"/>
    </mc:Choice>
    <mc:Fallback>
      <c:style val="6"/>
    </mc:Fallback>
  </mc:AlternateContent>
  <c:chart>
    <c:title>
      <c:overlay val="0"/>
      <c:spPr>
        <a:noFill/>
        <a:ln>
          <a:noFill/>
        </a:ln>
        <a:effectLst/>
      </c:spPr>
      <c:txPr>
        <a:bodyPr rot="0" spcFirstLastPara="1" vertOverflow="ellipsis" vert="horz" wrap="square" anchor="ctr" anchorCtr="1"/>
        <a:lstStyle/>
        <a:p>
          <a:pPr>
            <a:defRPr sz="1600" b="1" i="0" u="none" strike="noStrike" kern="1200" baseline="0">
              <a:solidFill>
                <a:schemeClr val="tx1">
                  <a:lumMod val="65000"/>
                  <a:lumOff val="35000"/>
                </a:schemeClr>
              </a:solidFill>
              <a:latin typeface="+mn-lt"/>
              <a:ea typeface="+mn-ea"/>
              <a:cs typeface="+mn-cs"/>
            </a:defRPr>
          </a:pPr>
          <a:endParaRPr lang="es-CO"/>
        </a:p>
      </c:txPr>
    </c:title>
    <c:autoTitleDeleted val="0"/>
    <c:view3D>
      <c:rotX val="15"/>
      <c:rotY val="20"/>
      <c:depthPercent val="100"/>
      <c:rAngAx val="1"/>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bar3DChart>
        <c:barDir val="col"/>
        <c:grouping val="clustered"/>
        <c:varyColors val="0"/>
        <c:ser>
          <c:idx val="0"/>
          <c:order val="0"/>
          <c:tx>
            <c:strRef>
              <c:f>'EST. RESUL. HIST.'!$B$8</c:f>
              <c:strCache>
                <c:ptCount val="1"/>
                <c:pt idx="0">
                  <c:v>INGRESOS OPERACIONALES</c:v>
                </c:pt>
              </c:strCache>
            </c:strRef>
          </c:tx>
          <c:spPr>
            <a:gradFill rotWithShape="1">
              <a:gsLst>
                <a:gs pos="0">
                  <a:schemeClr val="accent4">
                    <a:shade val="51000"/>
                    <a:satMod val="130000"/>
                  </a:schemeClr>
                </a:gs>
                <a:gs pos="80000">
                  <a:schemeClr val="accent4">
                    <a:shade val="93000"/>
                    <a:satMod val="130000"/>
                  </a:schemeClr>
                </a:gs>
                <a:gs pos="100000">
                  <a:schemeClr val="accent4">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cat>
            <c:numRef>
              <c:f>'EST. RESUL. HIST.'!$C$7:$F$7</c:f>
              <c:numCache>
                <c:formatCode>General</c:formatCode>
                <c:ptCount val="4"/>
                <c:pt idx="0">
                  <c:v>2017</c:v>
                </c:pt>
                <c:pt idx="1">
                  <c:v>2016</c:v>
                </c:pt>
                <c:pt idx="2">
                  <c:v>2015</c:v>
                </c:pt>
                <c:pt idx="3">
                  <c:v>2014</c:v>
                </c:pt>
              </c:numCache>
            </c:numRef>
          </c:cat>
          <c:val>
            <c:numRef>
              <c:f>'EST. RESUL. HIST.'!$C$8:$F$8</c:f>
              <c:numCache>
                <c:formatCode>"$"\ #,##0</c:formatCode>
                <c:ptCount val="4"/>
                <c:pt idx="0" formatCode="&quot;$&quot;#,##0_);\(&quot;$&quot;#,##0\)">
                  <c:v>1148878000</c:v>
                </c:pt>
                <c:pt idx="1">
                  <c:v>663086000</c:v>
                </c:pt>
                <c:pt idx="2">
                  <c:v>344142000</c:v>
                </c:pt>
                <c:pt idx="3" formatCode="[$$-240A]\ #,##0">
                  <c:v>61980000</c:v>
                </c:pt>
              </c:numCache>
            </c:numRef>
          </c:val>
          <c:extLst>
            <c:ext xmlns:c16="http://schemas.microsoft.com/office/drawing/2014/chart" uri="{C3380CC4-5D6E-409C-BE32-E72D297353CC}">
              <c16:uniqueId val="{00000000-BB96-490E-85C6-2A8A6D95B60D}"/>
            </c:ext>
          </c:extLst>
        </c:ser>
        <c:dLbls>
          <c:showLegendKey val="0"/>
          <c:showVal val="0"/>
          <c:showCatName val="0"/>
          <c:showSerName val="0"/>
          <c:showPercent val="0"/>
          <c:showBubbleSize val="0"/>
        </c:dLbls>
        <c:gapWidth val="150"/>
        <c:shape val="box"/>
        <c:axId val="267039424"/>
        <c:axId val="267039984"/>
        <c:axId val="0"/>
      </c:bar3DChart>
      <c:catAx>
        <c:axId val="267039424"/>
        <c:scaling>
          <c:orientation val="minMax"/>
        </c:scaling>
        <c:delete val="0"/>
        <c:axPos val="b"/>
        <c:numFmt formatCode="General" sourceLinked="1"/>
        <c:majorTickMark val="none"/>
        <c:minorTickMark val="none"/>
        <c:tickLblPos val="nextTo"/>
        <c:spPr>
          <a:noFill/>
          <a:ln w="12700"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67039984"/>
        <c:crosses val="autoZero"/>
        <c:auto val="1"/>
        <c:lblAlgn val="ctr"/>
        <c:lblOffset val="100"/>
        <c:noMultiLvlLbl val="0"/>
      </c:catAx>
      <c:valAx>
        <c:axId val="267039984"/>
        <c:scaling>
          <c:orientation val="minMax"/>
        </c:scaling>
        <c:delete val="0"/>
        <c:axPos val="l"/>
        <c:majorGridlines>
          <c:spPr>
            <a:ln w="9525" cap="flat" cmpd="sng" algn="ctr">
              <a:solidFill>
                <a:schemeClr val="tx1">
                  <a:lumMod val="15000"/>
                  <a:lumOff val="85000"/>
                </a:schemeClr>
              </a:solidFill>
              <a:round/>
            </a:ln>
            <a:effectLst/>
          </c:spPr>
        </c:majorGridlines>
        <c:numFmt formatCode="&quot;$&quot;#,##0_);\(&quot;$&quot;#,##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67039424"/>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8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600" b="1" i="0" u="none" strike="noStrike" kern="1200" baseline="0">
              <a:solidFill>
                <a:schemeClr val="tx1">
                  <a:lumMod val="65000"/>
                  <a:lumOff val="35000"/>
                </a:schemeClr>
              </a:solidFill>
              <a:latin typeface="+mn-lt"/>
              <a:ea typeface="+mn-ea"/>
              <a:cs typeface="+mn-cs"/>
            </a:defRPr>
          </a:pPr>
          <a:endParaRPr lang="es-CO"/>
        </a:p>
      </c:txPr>
    </c:title>
    <c:autoTitleDeleted val="0"/>
    <c:view3D>
      <c:rotX val="15"/>
      <c:rotY val="20"/>
      <c:depthPercent val="100"/>
      <c:rAngAx val="1"/>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bar3DChart>
        <c:barDir val="col"/>
        <c:grouping val="clustered"/>
        <c:varyColors val="0"/>
        <c:ser>
          <c:idx val="0"/>
          <c:order val="0"/>
          <c:tx>
            <c:strRef>
              <c:f>'EST. RESUL. HIST.'!$B$13</c:f>
              <c:strCache>
                <c:ptCount val="1"/>
                <c:pt idx="0">
                  <c:v>UTILIDAD OPERACIONAL</c:v>
                </c:pt>
              </c:strCache>
            </c:strRef>
          </c:tx>
          <c:spPr>
            <a:gradFill rotWithShape="1">
              <a:gsLst>
                <a:gs pos="0">
                  <a:schemeClr val="accent6">
                    <a:shade val="51000"/>
                    <a:satMod val="130000"/>
                  </a:schemeClr>
                </a:gs>
                <a:gs pos="80000">
                  <a:schemeClr val="accent6">
                    <a:shade val="93000"/>
                    <a:satMod val="130000"/>
                  </a:schemeClr>
                </a:gs>
                <a:gs pos="100000">
                  <a:schemeClr val="accent6">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cat>
            <c:numRef>
              <c:f>'EST. RESUL. HIST.'!$C$7:$F$7</c:f>
              <c:numCache>
                <c:formatCode>General</c:formatCode>
                <c:ptCount val="4"/>
                <c:pt idx="0">
                  <c:v>2017</c:v>
                </c:pt>
                <c:pt idx="1">
                  <c:v>2016</c:v>
                </c:pt>
                <c:pt idx="2">
                  <c:v>2015</c:v>
                </c:pt>
                <c:pt idx="3">
                  <c:v>2014</c:v>
                </c:pt>
              </c:numCache>
            </c:numRef>
          </c:cat>
          <c:val>
            <c:numRef>
              <c:f>'EST. RESUL. HIST.'!$C$13:$F$13</c:f>
              <c:numCache>
                <c:formatCode>"$"\ #,##0</c:formatCode>
                <c:ptCount val="4"/>
                <c:pt idx="0" formatCode="&quot;$&quot;#,##0_);\(&quot;$&quot;#,##0\)">
                  <c:v>60171000</c:v>
                </c:pt>
                <c:pt idx="1">
                  <c:v>38383000</c:v>
                </c:pt>
                <c:pt idx="2">
                  <c:v>72212000</c:v>
                </c:pt>
                <c:pt idx="3" formatCode="[$$-240A]\ #,##0">
                  <c:v>8174000</c:v>
                </c:pt>
              </c:numCache>
            </c:numRef>
          </c:val>
          <c:extLst>
            <c:ext xmlns:c16="http://schemas.microsoft.com/office/drawing/2014/chart" uri="{C3380CC4-5D6E-409C-BE32-E72D297353CC}">
              <c16:uniqueId val="{00000000-FD60-4CBC-8236-7908027CAD95}"/>
            </c:ext>
          </c:extLst>
        </c:ser>
        <c:dLbls>
          <c:showLegendKey val="0"/>
          <c:showVal val="0"/>
          <c:showCatName val="0"/>
          <c:showSerName val="0"/>
          <c:showPercent val="0"/>
          <c:showBubbleSize val="0"/>
        </c:dLbls>
        <c:gapWidth val="150"/>
        <c:shape val="box"/>
        <c:axId val="267042224"/>
        <c:axId val="267042784"/>
        <c:axId val="0"/>
      </c:bar3DChart>
      <c:catAx>
        <c:axId val="267042224"/>
        <c:scaling>
          <c:orientation val="minMax"/>
        </c:scaling>
        <c:delete val="0"/>
        <c:axPos val="b"/>
        <c:numFmt formatCode="General" sourceLinked="1"/>
        <c:majorTickMark val="none"/>
        <c:minorTickMark val="none"/>
        <c:tickLblPos val="nextTo"/>
        <c:spPr>
          <a:noFill/>
          <a:ln w="12700"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67042784"/>
        <c:crosses val="autoZero"/>
        <c:auto val="1"/>
        <c:lblAlgn val="ctr"/>
        <c:lblOffset val="100"/>
        <c:noMultiLvlLbl val="0"/>
      </c:catAx>
      <c:valAx>
        <c:axId val="267042784"/>
        <c:scaling>
          <c:orientation val="minMax"/>
        </c:scaling>
        <c:delete val="0"/>
        <c:axPos val="l"/>
        <c:majorGridlines>
          <c:spPr>
            <a:ln w="9525" cap="flat" cmpd="sng" algn="ctr">
              <a:solidFill>
                <a:schemeClr val="tx1">
                  <a:lumMod val="15000"/>
                  <a:lumOff val="85000"/>
                </a:schemeClr>
              </a:solidFill>
              <a:round/>
            </a:ln>
            <a:effectLst/>
          </c:spPr>
        </c:majorGridlines>
        <c:numFmt formatCode="&quot;$&quot;#,##0_);\(&quot;$&quot;#,##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67042224"/>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8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600" b="1" i="0" u="none" strike="noStrike" kern="1200" baseline="0">
              <a:solidFill>
                <a:schemeClr val="tx1">
                  <a:lumMod val="65000"/>
                  <a:lumOff val="35000"/>
                </a:schemeClr>
              </a:solidFill>
              <a:latin typeface="+mn-lt"/>
              <a:ea typeface="+mn-ea"/>
              <a:cs typeface="+mn-cs"/>
            </a:defRPr>
          </a:pPr>
          <a:endParaRPr lang="es-CO"/>
        </a:p>
      </c:txPr>
    </c:title>
    <c:autoTitleDeleted val="0"/>
    <c:view3D>
      <c:rotX val="15"/>
      <c:rotY val="20"/>
      <c:depthPercent val="100"/>
      <c:rAngAx val="1"/>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bar3DChart>
        <c:barDir val="col"/>
        <c:grouping val="clustered"/>
        <c:varyColors val="0"/>
        <c:ser>
          <c:idx val="0"/>
          <c:order val="0"/>
          <c:tx>
            <c:strRef>
              <c:f>'EST. RESUL. HIST.'!$B$9</c:f>
              <c:strCache>
                <c:ptCount val="1"/>
                <c:pt idx="0">
                  <c:v>COSTO DE VENTAS</c:v>
                </c:pt>
              </c:strCache>
            </c:strRef>
          </c:tx>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val>
            <c:numRef>
              <c:f>'EST. RESUL. HIST.'!$C$9:$F$9</c:f>
              <c:numCache>
                <c:formatCode>"$"\ #,##0</c:formatCode>
                <c:ptCount val="4"/>
                <c:pt idx="0" formatCode="&quot;$&quot;#,##0_);\(&quot;$&quot;#,##0\)">
                  <c:v>1010660000</c:v>
                </c:pt>
                <c:pt idx="1">
                  <c:v>569555000</c:v>
                </c:pt>
                <c:pt idx="2">
                  <c:v>243387000</c:v>
                </c:pt>
                <c:pt idx="3" formatCode="[$$-240A]\ #,##0">
                  <c:v>51870000</c:v>
                </c:pt>
              </c:numCache>
            </c:numRef>
          </c:val>
          <c:extLst>
            <c:ext xmlns:c16="http://schemas.microsoft.com/office/drawing/2014/chart" uri="{C3380CC4-5D6E-409C-BE32-E72D297353CC}">
              <c16:uniqueId val="{00000000-0ABD-4173-9D83-EBF44B92C0E7}"/>
            </c:ext>
          </c:extLst>
        </c:ser>
        <c:dLbls>
          <c:showLegendKey val="0"/>
          <c:showVal val="0"/>
          <c:showCatName val="0"/>
          <c:showSerName val="0"/>
          <c:showPercent val="0"/>
          <c:showBubbleSize val="0"/>
        </c:dLbls>
        <c:gapWidth val="150"/>
        <c:shape val="box"/>
        <c:axId val="267045024"/>
        <c:axId val="267045584"/>
        <c:axId val="0"/>
      </c:bar3DChart>
      <c:catAx>
        <c:axId val="267045024"/>
        <c:scaling>
          <c:orientation val="minMax"/>
        </c:scaling>
        <c:delete val="0"/>
        <c:axPos val="b"/>
        <c:majorTickMark val="none"/>
        <c:minorTickMark val="none"/>
        <c:tickLblPos val="nextTo"/>
        <c:spPr>
          <a:noFill/>
          <a:ln w="12700"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67045584"/>
        <c:crosses val="autoZero"/>
        <c:auto val="1"/>
        <c:lblAlgn val="ctr"/>
        <c:lblOffset val="100"/>
        <c:noMultiLvlLbl val="0"/>
      </c:catAx>
      <c:valAx>
        <c:axId val="267045584"/>
        <c:scaling>
          <c:orientation val="minMax"/>
        </c:scaling>
        <c:delete val="0"/>
        <c:axPos val="l"/>
        <c:majorGridlines>
          <c:spPr>
            <a:ln w="9525" cap="flat" cmpd="sng" algn="ctr">
              <a:solidFill>
                <a:schemeClr val="tx1">
                  <a:lumMod val="15000"/>
                  <a:lumOff val="85000"/>
                </a:schemeClr>
              </a:solidFill>
              <a:round/>
            </a:ln>
            <a:effectLst/>
          </c:spPr>
        </c:majorGridlines>
        <c:numFmt formatCode="&quot;$&quot;#,##0_);\(&quot;$&quot;#,##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67045024"/>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8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5"/>
    </mc:Choice>
    <mc:Fallback>
      <c:style val="5"/>
    </mc:Fallback>
  </mc:AlternateContent>
  <c:chart>
    <c:title>
      <c:overlay val="0"/>
      <c:spPr>
        <a:noFill/>
        <a:ln>
          <a:noFill/>
        </a:ln>
        <a:effectLst/>
      </c:spPr>
      <c:txPr>
        <a:bodyPr rot="0" spcFirstLastPara="1" vertOverflow="ellipsis" vert="horz" wrap="square" anchor="ctr" anchorCtr="1"/>
        <a:lstStyle/>
        <a:p>
          <a:pPr>
            <a:defRPr sz="1600" b="1" i="0" u="none" strike="noStrike" kern="1200" baseline="0">
              <a:solidFill>
                <a:schemeClr val="tx1">
                  <a:lumMod val="65000"/>
                  <a:lumOff val="35000"/>
                </a:schemeClr>
              </a:solidFill>
              <a:latin typeface="+mn-lt"/>
              <a:ea typeface="+mn-ea"/>
              <a:cs typeface="+mn-cs"/>
            </a:defRPr>
          </a:pPr>
          <a:endParaRPr lang="es-CO"/>
        </a:p>
      </c:txPr>
    </c:title>
    <c:autoTitleDeleted val="0"/>
    <c:view3D>
      <c:rotX val="15"/>
      <c:rotY val="20"/>
      <c:depthPercent val="100"/>
      <c:rAngAx val="1"/>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bar3DChart>
        <c:barDir val="col"/>
        <c:grouping val="clustered"/>
        <c:varyColors val="0"/>
        <c:ser>
          <c:idx val="0"/>
          <c:order val="0"/>
          <c:tx>
            <c:strRef>
              <c:f>'EST. RESUL. HIST.'!$B$19</c:f>
              <c:strCache>
                <c:ptCount val="1"/>
                <c:pt idx="0">
                  <c:v>UTILIDAD NETA</c:v>
                </c:pt>
              </c:strCache>
            </c:strRef>
          </c:tx>
          <c:spPr>
            <a:gradFill rotWithShape="1">
              <a:gsLst>
                <a:gs pos="0">
                  <a:schemeClr val="accent3">
                    <a:shade val="51000"/>
                    <a:satMod val="130000"/>
                  </a:schemeClr>
                </a:gs>
                <a:gs pos="80000">
                  <a:schemeClr val="accent3">
                    <a:shade val="93000"/>
                    <a:satMod val="130000"/>
                  </a:schemeClr>
                </a:gs>
                <a:gs pos="100000">
                  <a:schemeClr val="accent3">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cat>
            <c:numRef>
              <c:f>'EST. RESUL. HIST.'!$C$7:$F$7</c:f>
              <c:numCache>
                <c:formatCode>General</c:formatCode>
                <c:ptCount val="4"/>
                <c:pt idx="0">
                  <c:v>2017</c:v>
                </c:pt>
                <c:pt idx="1">
                  <c:v>2016</c:v>
                </c:pt>
                <c:pt idx="2">
                  <c:v>2015</c:v>
                </c:pt>
                <c:pt idx="3">
                  <c:v>2014</c:v>
                </c:pt>
              </c:numCache>
            </c:numRef>
          </c:cat>
          <c:val>
            <c:numRef>
              <c:f>'EST. RESUL. HIST.'!$C$19:$F$19</c:f>
              <c:numCache>
                <c:formatCode>"$"\ #,##0</c:formatCode>
                <c:ptCount val="4"/>
                <c:pt idx="0" formatCode="&quot;$&quot;#,##0_);\(&quot;$&quot;#,##0\)">
                  <c:v>31577000</c:v>
                </c:pt>
                <c:pt idx="1">
                  <c:v>23753000</c:v>
                </c:pt>
                <c:pt idx="2">
                  <c:v>47818000</c:v>
                </c:pt>
                <c:pt idx="3" formatCode="[$$-240A]\ #,##0">
                  <c:v>8174000</c:v>
                </c:pt>
              </c:numCache>
            </c:numRef>
          </c:val>
          <c:extLst>
            <c:ext xmlns:c16="http://schemas.microsoft.com/office/drawing/2014/chart" uri="{C3380CC4-5D6E-409C-BE32-E72D297353CC}">
              <c16:uniqueId val="{00000000-D0D7-470F-A3E0-3C903CC594AE}"/>
            </c:ext>
          </c:extLst>
        </c:ser>
        <c:dLbls>
          <c:showLegendKey val="0"/>
          <c:showVal val="0"/>
          <c:showCatName val="0"/>
          <c:showSerName val="0"/>
          <c:showPercent val="0"/>
          <c:showBubbleSize val="0"/>
        </c:dLbls>
        <c:gapWidth val="150"/>
        <c:shape val="box"/>
        <c:axId val="267047824"/>
        <c:axId val="267048384"/>
        <c:axId val="0"/>
      </c:bar3DChart>
      <c:catAx>
        <c:axId val="267047824"/>
        <c:scaling>
          <c:orientation val="minMax"/>
        </c:scaling>
        <c:delete val="0"/>
        <c:axPos val="b"/>
        <c:numFmt formatCode="General" sourceLinked="1"/>
        <c:majorTickMark val="none"/>
        <c:minorTickMark val="none"/>
        <c:tickLblPos val="nextTo"/>
        <c:spPr>
          <a:noFill/>
          <a:ln w="12700"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67048384"/>
        <c:crosses val="autoZero"/>
        <c:auto val="1"/>
        <c:lblAlgn val="ctr"/>
        <c:lblOffset val="100"/>
        <c:noMultiLvlLbl val="0"/>
      </c:catAx>
      <c:valAx>
        <c:axId val="267048384"/>
        <c:scaling>
          <c:orientation val="minMax"/>
        </c:scaling>
        <c:delete val="0"/>
        <c:axPos val="l"/>
        <c:majorGridlines>
          <c:spPr>
            <a:ln w="9525" cap="flat" cmpd="sng" algn="ctr">
              <a:solidFill>
                <a:schemeClr val="tx1">
                  <a:lumMod val="15000"/>
                  <a:lumOff val="85000"/>
                </a:schemeClr>
              </a:solidFill>
              <a:round/>
            </a:ln>
            <a:effectLst/>
          </c:spPr>
        </c:majorGridlines>
        <c:numFmt formatCode="&quot;$&quot;#,##0_);\(&quot;$&quot;#,##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267047824"/>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withinLinear" id="16">
  <a:schemeClr val="accent3"/>
</cs:colorStyle>
</file>

<file path=xl/charts/colors7.xml><?xml version="1.0" encoding="utf-8"?>
<cs:colorStyle xmlns:cs="http://schemas.microsoft.com/office/drawing/2012/chartStyle" xmlns:a="http://schemas.openxmlformats.org/drawingml/2006/main" meth="withinLinear" id="17">
  <a:schemeClr val="accent4"/>
</cs:colorStyle>
</file>

<file path=xl/charts/colors8.xml><?xml version="1.0" encoding="utf-8"?>
<cs:colorStyle xmlns:cs="http://schemas.microsoft.com/office/drawing/2012/chartStyle" xmlns:a="http://schemas.openxmlformats.org/drawingml/2006/main" meth="cycle" id="12">
  <a:schemeClr val="accent2"/>
  <a:schemeClr val="accent4"/>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withinLinear" id="16">
  <a:schemeClr val="accent3"/>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xml><?xml version="1.0" encoding="utf-8"?>
<cs:colorStyle xmlns:cs="http://schemas.microsoft.com/office/drawing/2012/chartStyle" xmlns:a="http://schemas.openxmlformats.org/drawingml/2006/main" meth="withinLinear" id="15">
  <a:schemeClr val="accent2"/>
</cs:colorStyle>
</file>

<file path=xl/charts/colors1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4.xml><?xml version="1.0" encoding="utf-8"?>
<cs:colorStyle xmlns:cs="http://schemas.microsoft.com/office/drawing/2012/chartStyle" xmlns:a="http://schemas.openxmlformats.org/drawingml/2006/main" meth="cycle" id="12">
  <a:schemeClr val="accent2"/>
  <a:schemeClr val="accent4"/>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5.xml><?xml version="1.0" encoding="utf-8"?>
<cs:colorStyle xmlns:cs="http://schemas.microsoft.com/office/drawing/2012/chartStyle" xmlns:a="http://schemas.openxmlformats.org/drawingml/2006/main" meth="withinLinear" id="17">
  <a:schemeClr val="accent4"/>
</cs:colorStyle>
</file>

<file path=xl/charts/colors16.xml><?xml version="1.0" encoding="utf-8"?>
<cs:colorStyle xmlns:cs="http://schemas.microsoft.com/office/drawing/2012/chartStyle" xmlns:a="http://schemas.openxmlformats.org/drawingml/2006/main" meth="cycle" id="13">
  <a:schemeClr val="accent6"/>
  <a:schemeClr val="accent5"/>
  <a:schemeClr val="accent4"/>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7.xml><?xml version="1.0" encoding="utf-8"?>
<cs:colorStyle xmlns:cs="http://schemas.microsoft.com/office/drawing/2012/chartStyle" xmlns:a="http://schemas.openxmlformats.org/drawingml/2006/main" meth="withinLinear" id="16">
  <a:schemeClr val="accent3"/>
</cs:colorStyle>
</file>

<file path=xl/charts/colors18.xml><?xml version="1.0" encoding="utf-8"?>
<cs:colorStyle xmlns:cs="http://schemas.microsoft.com/office/drawing/2012/chartStyle" xmlns:a="http://schemas.openxmlformats.org/drawingml/2006/main" meth="withinLinear" id="17">
  <a:schemeClr val="accent4"/>
</cs:colorStyle>
</file>

<file path=xl/charts/colors19.xml><?xml version="1.0" encoding="utf-8"?>
<cs:colorStyle xmlns:cs="http://schemas.microsoft.com/office/drawing/2012/chartStyle" xmlns:a="http://schemas.openxmlformats.org/drawingml/2006/main" meth="cycle" id="12">
  <a:schemeClr val="accent2"/>
  <a:schemeClr val="accent4"/>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1.xml><?xml version="1.0" encoding="utf-8"?>
<cs:colorStyle xmlns:cs="http://schemas.microsoft.com/office/drawing/2012/chartStyle" xmlns:a="http://schemas.openxmlformats.org/drawingml/2006/main" meth="withinLinear" id="18">
  <a:schemeClr val="accent5"/>
</cs:colorStyle>
</file>

<file path=xl/charts/colors22.xml><?xml version="1.0" encoding="utf-8"?>
<cs:colorStyle xmlns:cs="http://schemas.microsoft.com/office/drawing/2012/chartStyle" xmlns:a="http://schemas.openxmlformats.org/drawingml/2006/main" meth="cycle" id="12">
  <a:schemeClr val="accent2"/>
  <a:schemeClr val="accent4"/>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3.xml><?xml version="1.0" encoding="utf-8"?>
<cs:colorStyle xmlns:cs="http://schemas.microsoft.com/office/drawing/2012/chartStyle" xmlns:a="http://schemas.openxmlformats.org/drawingml/2006/main" meth="cycle" id="13">
  <a:schemeClr val="accent6"/>
  <a:schemeClr val="accent5"/>
  <a:schemeClr val="accent4"/>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5.xml><?xml version="1.0" encoding="utf-8"?>
<cs:colorStyle xmlns:cs="http://schemas.microsoft.com/office/drawing/2012/chartStyle" xmlns:a="http://schemas.openxmlformats.org/drawingml/2006/main" meth="withinLinear" id="16">
  <a:schemeClr val="accent3"/>
</cs:colorStyle>
</file>

<file path=xl/charts/colors26.xml><?xml version="1.0" encoding="utf-8"?>
<cs:colorStyle xmlns:cs="http://schemas.microsoft.com/office/drawing/2012/chartStyle" xmlns:a="http://schemas.openxmlformats.org/drawingml/2006/main" meth="withinLinear" id="17">
  <a:schemeClr val="accent4"/>
</cs:colorStyle>
</file>

<file path=xl/charts/colors27.xml><?xml version="1.0" encoding="utf-8"?>
<cs:colorStyle xmlns:cs="http://schemas.microsoft.com/office/drawing/2012/chartStyle" xmlns:a="http://schemas.openxmlformats.org/drawingml/2006/main" meth="withinLinear" id="18">
  <a:schemeClr val="accent5"/>
</cs:colorStyle>
</file>

<file path=xl/charts/colors28.xml><?xml version="1.0" encoding="utf-8"?>
<cs:colorStyle xmlns:cs="http://schemas.microsoft.com/office/drawing/2012/chartStyle" xmlns:a="http://schemas.openxmlformats.org/drawingml/2006/main" meth="cycle" id="12">
  <a:schemeClr val="accent2"/>
  <a:schemeClr val="accent4"/>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1.xml><?xml version="1.0" encoding="utf-8"?>
<cs:colorStyle xmlns:cs="http://schemas.microsoft.com/office/drawing/2012/chartStyle" xmlns:a="http://schemas.openxmlformats.org/drawingml/2006/main" meth="withinLinear" id="17">
  <a:schemeClr val="accent4"/>
</cs:colorStyle>
</file>

<file path=xl/charts/colors4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3.xml><?xml version="1.0" encoding="utf-8"?>
<cs:colorStyle xmlns:cs="http://schemas.microsoft.com/office/drawing/2012/chartStyle" xmlns:a="http://schemas.openxmlformats.org/drawingml/2006/main" meth="withinLinear" id="19">
  <a:schemeClr val="accent6"/>
</cs:colorStyle>
</file>

<file path=xl/charts/colors44.xml><?xml version="1.0" encoding="utf-8"?>
<cs:colorStyle xmlns:cs="http://schemas.microsoft.com/office/drawing/2012/chartStyle" xmlns:a="http://schemas.openxmlformats.org/drawingml/2006/main" meth="withinLinear" id="15">
  <a:schemeClr val="accent2"/>
</cs:colorStyle>
</file>

<file path=xl/charts/colors45.xml><?xml version="1.0" encoding="utf-8"?>
<cs:colorStyle xmlns:cs="http://schemas.microsoft.com/office/drawing/2012/chartStyle" xmlns:a="http://schemas.openxmlformats.org/drawingml/2006/main" meth="withinLinear" id="19">
  <a:schemeClr val="accent6"/>
</cs:colorStyle>
</file>

<file path=xl/charts/colors4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1.xml><?xml version="1.0" encoding="utf-8"?>
<cs:colorStyle xmlns:cs="http://schemas.microsoft.com/office/drawing/2012/chartStyle" xmlns:a="http://schemas.openxmlformats.org/drawingml/2006/main" meth="withinLinear" id="17">
  <a:schemeClr val="accent4"/>
</cs:colorStyle>
</file>

<file path=xl/charts/colors52.xml><?xml version="1.0" encoding="utf-8"?>
<cs:colorStyle xmlns:cs="http://schemas.microsoft.com/office/drawing/2012/chartStyle" xmlns:a="http://schemas.openxmlformats.org/drawingml/2006/main" meth="cycle" id="13">
  <a:schemeClr val="accent6"/>
  <a:schemeClr val="accent5"/>
  <a:schemeClr val="accent4"/>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3.xml><?xml version="1.0" encoding="utf-8"?>
<cs:colorStyle xmlns:cs="http://schemas.microsoft.com/office/drawing/2012/chartStyle" xmlns:a="http://schemas.openxmlformats.org/drawingml/2006/main" meth="cycle" id="12">
  <a:schemeClr val="accent2"/>
  <a:schemeClr val="accent4"/>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4.xml><?xml version="1.0" encoding="utf-8"?>
<cs:colorStyle xmlns:cs="http://schemas.microsoft.com/office/drawing/2012/chartStyle" xmlns:a="http://schemas.openxmlformats.org/drawingml/2006/main" meth="withinLinear" id="16">
  <a:schemeClr val="accent3"/>
</cs:colorStyle>
</file>

<file path=xl/charts/style1.xml><?xml version="1.0" encoding="utf-8"?>
<cs:chartStyle xmlns:cs="http://schemas.microsoft.com/office/drawing/2012/chartStyle" xmlns:a="http://schemas.openxmlformats.org/drawingml/2006/main" id="235">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b="0" kern="1200" cap="none" spc="0" normalizeH="0" baseline="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75000"/>
        <a:lumOff val="25000"/>
      </a:schemeClr>
    </cs:fontRef>
    <cs:spPr>
      <a:solidFill>
        <a:schemeClr val="dk1">
          <a:lumMod val="15000"/>
          <a:lumOff val="85000"/>
        </a:schemeClr>
      </a:solidFill>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38100" cap="rnd">
        <a:solidFill>
          <a:schemeClr val="phClr"/>
        </a:solidFill>
        <a:round/>
      </a:ln>
    </cs:spPr>
  </cs:dataPointLine>
  <cs:dataPointMarker>
    <cs:lnRef idx="0"/>
    <cs:fillRef idx="0">
      <cs:styleClr val="auto"/>
    </cs:fillRef>
    <cs:effectRef idx="0"/>
    <cs:fontRef idx="minor">
      <a:schemeClr val="dk1"/>
    </cs:fontRef>
    <cs:spPr>
      <a:solidFill>
        <a:schemeClr val="phClr"/>
      </a:solidFill>
    </cs:spPr>
  </cs:dataPointMarker>
  <cs:dataPointMarkerLayout symbol="circle" size="8"/>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50000"/>
            <a:lumOff val="50000"/>
          </a:schemeClr>
        </a:solidFill>
        <a:prstDash val="dash"/>
      </a:ln>
    </cs:spPr>
  </cs:dropLine>
  <cs:errorBar>
    <cs:lnRef idx="0"/>
    <cs:fillRef idx="0"/>
    <cs:effectRef idx="0"/>
    <cs:fontRef idx="minor">
      <a:schemeClr val="dk1"/>
    </cs:fontRef>
    <cs:spPr>
      <a:ln w="9525">
        <a:solidFill>
          <a:schemeClr val="tx1">
            <a:lumMod val="50000"/>
            <a:lumOff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w="9525" cap="flat" cmpd="sng" algn="ctr">
        <a:solidFill>
          <a:schemeClr val="tx1">
            <a:lumMod val="5000"/>
            <a:lumOff val="95000"/>
          </a:schemeClr>
        </a:solidFill>
        <a:round/>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ajor">
      <a:schemeClr val="tx1">
        <a:lumMod val="65000"/>
        <a:lumOff val="35000"/>
      </a:schemeClr>
    </cs:fontRef>
    <cs:defRPr sz="2000" b="0" kern="1200" cap="none" spc="0" normalizeH="0" baseline="0"/>
  </cs:title>
  <cs:trendline>
    <cs:lnRef idx="0">
      <cs:styleClr val="auto"/>
    </cs:lnRef>
    <cs:fillRef idx="0"/>
    <cs:effectRef idx="0"/>
    <cs:fontRef idx="minor">
      <a:schemeClr val="dk1"/>
    </cs:fontRef>
    <cs:spPr>
      <a:ln w="19050" cap="rnd">
        <a:solidFill>
          <a:schemeClr val="phClr"/>
        </a:solidFill>
        <a:round/>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35">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b="0" kern="1200" cap="none" spc="0" normalizeH="0" baseline="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75000"/>
        <a:lumOff val="25000"/>
      </a:schemeClr>
    </cs:fontRef>
    <cs:spPr>
      <a:solidFill>
        <a:schemeClr val="dk1">
          <a:lumMod val="15000"/>
          <a:lumOff val="85000"/>
        </a:schemeClr>
      </a:solidFill>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38100" cap="rnd">
        <a:solidFill>
          <a:schemeClr val="phClr"/>
        </a:solidFill>
        <a:round/>
      </a:ln>
    </cs:spPr>
  </cs:dataPointLine>
  <cs:dataPointMarker>
    <cs:lnRef idx="0"/>
    <cs:fillRef idx="0">
      <cs:styleClr val="auto"/>
    </cs:fillRef>
    <cs:effectRef idx="0"/>
    <cs:fontRef idx="minor">
      <a:schemeClr val="dk1"/>
    </cs:fontRef>
    <cs:spPr>
      <a:solidFill>
        <a:schemeClr val="phClr"/>
      </a:solidFill>
    </cs:spPr>
  </cs:dataPointMarker>
  <cs:dataPointMarkerLayout symbol="circle" size="8"/>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50000"/>
            <a:lumOff val="50000"/>
          </a:schemeClr>
        </a:solidFill>
        <a:prstDash val="dash"/>
      </a:ln>
    </cs:spPr>
  </cs:dropLine>
  <cs:errorBar>
    <cs:lnRef idx="0"/>
    <cs:fillRef idx="0"/>
    <cs:effectRef idx="0"/>
    <cs:fontRef idx="minor">
      <a:schemeClr val="dk1"/>
    </cs:fontRef>
    <cs:spPr>
      <a:ln w="9525">
        <a:solidFill>
          <a:schemeClr val="tx1">
            <a:lumMod val="50000"/>
            <a:lumOff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w="9525" cap="flat" cmpd="sng" algn="ctr">
        <a:solidFill>
          <a:schemeClr val="tx1">
            <a:lumMod val="5000"/>
            <a:lumOff val="95000"/>
          </a:schemeClr>
        </a:solidFill>
        <a:round/>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ajor">
      <a:schemeClr val="tx1">
        <a:lumMod val="65000"/>
        <a:lumOff val="35000"/>
      </a:schemeClr>
    </cs:fontRef>
    <cs:defRPr sz="2000" b="0" kern="1200" cap="none" spc="0" normalizeH="0" baseline="0"/>
  </cs:title>
  <cs:trendline>
    <cs:lnRef idx="0">
      <cs:styleClr val="auto"/>
    </cs:lnRef>
    <cs:fillRef idx="0"/>
    <cs:effectRef idx="0"/>
    <cs:fontRef idx="minor">
      <a:schemeClr val="dk1"/>
    </cs:fontRef>
    <cs:spPr>
      <a:ln w="19050" cap="rnd">
        <a:solidFill>
          <a:schemeClr val="phClr"/>
        </a:solidFill>
        <a:round/>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dk1"/>
    </cs:fontRef>
  </cs:wall>
</cs:chartStyle>
</file>

<file path=xl/charts/style3.xml><?xml version="1.0" encoding="utf-8"?>
<cs:chartStyle xmlns:cs="http://schemas.microsoft.com/office/drawing/2012/chartStyle" xmlns:a="http://schemas.openxmlformats.org/drawingml/2006/main" id="235">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b="0" kern="1200" cap="none" spc="0" normalizeH="0" baseline="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75000"/>
        <a:lumOff val="25000"/>
      </a:schemeClr>
    </cs:fontRef>
    <cs:spPr>
      <a:solidFill>
        <a:schemeClr val="dk1">
          <a:lumMod val="15000"/>
          <a:lumOff val="85000"/>
        </a:schemeClr>
      </a:solidFill>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38100" cap="rnd">
        <a:solidFill>
          <a:schemeClr val="phClr"/>
        </a:solidFill>
        <a:round/>
      </a:ln>
    </cs:spPr>
  </cs:dataPointLine>
  <cs:dataPointMarker>
    <cs:lnRef idx="0"/>
    <cs:fillRef idx="0">
      <cs:styleClr val="auto"/>
    </cs:fillRef>
    <cs:effectRef idx="0"/>
    <cs:fontRef idx="minor">
      <a:schemeClr val="dk1"/>
    </cs:fontRef>
    <cs:spPr>
      <a:solidFill>
        <a:schemeClr val="phClr"/>
      </a:solidFill>
    </cs:spPr>
  </cs:dataPointMarker>
  <cs:dataPointMarkerLayout symbol="circle" size="8"/>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50000"/>
            <a:lumOff val="50000"/>
          </a:schemeClr>
        </a:solidFill>
        <a:prstDash val="dash"/>
      </a:ln>
    </cs:spPr>
  </cs:dropLine>
  <cs:errorBar>
    <cs:lnRef idx="0"/>
    <cs:fillRef idx="0"/>
    <cs:effectRef idx="0"/>
    <cs:fontRef idx="minor">
      <a:schemeClr val="dk1"/>
    </cs:fontRef>
    <cs:spPr>
      <a:ln w="9525">
        <a:solidFill>
          <a:schemeClr val="tx1">
            <a:lumMod val="50000"/>
            <a:lumOff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w="9525" cap="flat" cmpd="sng" algn="ctr">
        <a:solidFill>
          <a:schemeClr val="tx1">
            <a:lumMod val="5000"/>
            <a:lumOff val="95000"/>
          </a:schemeClr>
        </a:solidFill>
        <a:round/>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ajor">
      <a:schemeClr val="tx1">
        <a:lumMod val="65000"/>
        <a:lumOff val="35000"/>
      </a:schemeClr>
    </cs:fontRef>
    <cs:defRPr sz="2000" b="0" kern="1200" cap="none" spc="0" normalizeH="0" baseline="0"/>
  </cs:title>
  <cs:trendline>
    <cs:lnRef idx="0">
      <cs:styleClr val="auto"/>
    </cs:lnRef>
    <cs:fillRef idx="0"/>
    <cs:effectRef idx="0"/>
    <cs:fontRef idx="minor">
      <a:schemeClr val="dk1"/>
    </cs:fontRef>
    <cs:spPr>
      <a:ln w="19050" cap="rnd">
        <a:solidFill>
          <a:schemeClr val="phClr"/>
        </a:solidFill>
        <a:round/>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dk1"/>
    </cs:fontRef>
  </cs:wall>
</cs:chartStyle>
</file>

<file path=xl/charts/style4.xml><?xml version="1.0" encoding="utf-8"?>
<cs:chartStyle xmlns:cs="http://schemas.microsoft.com/office/drawing/2012/chartStyle" xmlns:a="http://schemas.openxmlformats.org/drawingml/2006/main" id="235">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b="0" kern="1200" cap="none" spc="0" normalizeH="0" baseline="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75000"/>
        <a:lumOff val="25000"/>
      </a:schemeClr>
    </cs:fontRef>
    <cs:spPr>
      <a:solidFill>
        <a:schemeClr val="dk1">
          <a:lumMod val="15000"/>
          <a:lumOff val="85000"/>
        </a:schemeClr>
      </a:solidFill>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38100" cap="rnd">
        <a:solidFill>
          <a:schemeClr val="phClr"/>
        </a:solidFill>
        <a:round/>
      </a:ln>
    </cs:spPr>
  </cs:dataPointLine>
  <cs:dataPointMarker>
    <cs:lnRef idx="0"/>
    <cs:fillRef idx="0">
      <cs:styleClr val="auto"/>
    </cs:fillRef>
    <cs:effectRef idx="0"/>
    <cs:fontRef idx="minor">
      <a:schemeClr val="dk1"/>
    </cs:fontRef>
    <cs:spPr>
      <a:solidFill>
        <a:schemeClr val="phClr"/>
      </a:solidFill>
    </cs:spPr>
  </cs:dataPointMarker>
  <cs:dataPointMarkerLayout symbol="circle" size="8"/>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50000"/>
            <a:lumOff val="50000"/>
          </a:schemeClr>
        </a:solidFill>
        <a:prstDash val="dash"/>
      </a:ln>
    </cs:spPr>
  </cs:dropLine>
  <cs:errorBar>
    <cs:lnRef idx="0"/>
    <cs:fillRef idx="0"/>
    <cs:effectRef idx="0"/>
    <cs:fontRef idx="minor">
      <a:schemeClr val="dk1"/>
    </cs:fontRef>
    <cs:spPr>
      <a:ln w="9525">
        <a:solidFill>
          <a:schemeClr val="tx1">
            <a:lumMod val="50000"/>
            <a:lumOff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w="9525" cap="flat" cmpd="sng" algn="ctr">
        <a:solidFill>
          <a:schemeClr val="tx1">
            <a:lumMod val="5000"/>
            <a:lumOff val="95000"/>
          </a:schemeClr>
        </a:solidFill>
        <a:round/>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ajor">
      <a:schemeClr val="tx1">
        <a:lumMod val="65000"/>
        <a:lumOff val="35000"/>
      </a:schemeClr>
    </cs:fontRef>
    <cs:defRPr sz="2000" b="0" kern="1200" cap="none" spc="0" normalizeH="0" baseline="0"/>
  </cs:title>
  <cs:trendline>
    <cs:lnRef idx="0">
      <cs:styleClr val="auto"/>
    </cs:lnRef>
    <cs:fillRef idx="0"/>
    <cs:effectRef idx="0"/>
    <cs:fontRef idx="minor">
      <a:schemeClr val="dk1"/>
    </cs:fontRef>
    <cs:spPr>
      <a:ln w="19050" cap="rnd">
        <a:solidFill>
          <a:schemeClr val="phClr"/>
        </a:solidFill>
        <a:round/>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dk1"/>
    </cs:fontRef>
  </cs:wall>
</cs:chartStyle>
</file>

<file path=xl/charts/style5.xml><?xml version="1.0" encoding="utf-8"?>
<cs:chartStyle xmlns:cs="http://schemas.microsoft.com/office/drawing/2012/chartStyle" xmlns:a="http://schemas.openxmlformats.org/drawingml/2006/main" id="347">
  <cs:axisTitle>
    <cs:lnRef idx="0"/>
    <cs:fillRef idx="0"/>
    <cs:effectRef idx="0"/>
    <cs:fontRef idx="minor">
      <a:schemeClr val="tx1">
        <a:lumMod val="65000"/>
        <a:lumOff val="35000"/>
      </a:schemeClr>
    </cs:fontRef>
    <cs:defRPr sz="900" kern="1200"/>
  </cs:axisTitle>
  <cs:categoryAxis>
    <cs:lnRef idx="0"/>
    <cs:fillRef idx="0"/>
    <cs:effectRef idx="0"/>
    <cs:fontRef idx="minor">
      <a:schemeClr val="tx1">
        <a:lumMod val="65000"/>
        <a:lumOff val="35000"/>
      </a:schemeClr>
    </cs:fontRef>
    <cs:spPr>
      <a:ln w="12700"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lt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tx1">
        <a:lumMod val="65000"/>
        <a:lumOff val="35000"/>
      </a:schemeClr>
    </cs:fontRef>
    <cs:spPr>
      <a:ln w="12700" cap="flat" cmpd="sng" algn="ctr">
        <a:solidFill>
          <a:schemeClr val="tx1">
            <a:lumMod val="15000"/>
            <a:lumOff val="85000"/>
          </a:schemeClr>
        </a:solidFill>
        <a:round/>
      </a:ln>
    </cs:spPr>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600" b="1" kern="1200" baseline="0"/>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lt1"/>
    </cs:fontRef>
  </cs:wall>
</cs:chartStyle>
</file>

<file path=xl/charts/style6.xml><?xml version="1.0" encoding="utf-8"?>
<cs:chartStyle xmlns:cs="http://schemas.microsoft.com/office/drawing/2012/chartStyle" xmlns:a="http://schemas.openxmlformats.org/drawingml/2006/main" id="347">
  <cs:axisTitle>
    <cs:lnRef idx="0"/>
    <cs:fillRef idx="0"/>
    <cs:effectRef idx="0"/>
    <cs:fontRef idx="minor">
      <a:schemeClr val="tx1">
        <a:lumMod val="65000"/>
        <a:lumOff val="35000"/>
      </a:schemeClr>
    </cs:fontRef>
    <cs:defRPr sz="900" kern="1200"/>
  </cs:axisTitle>
  <cs:categoryAxis>
    <cs:lnRef idx="0"/>
    <cs:fillRef idx="0"/>
    <cs:effectRef idx="0"/>
    <cs:fontRef idx="minor">
      <a:schemeClr val="tx1">
        <a:lumMod val="65000"/>
        <a:lumOff val="35000"/>
      </a:schemeClr>
    </cs:fontRef>
    <cs:spPr>
      <a:ln w="12700"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lt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tx1">
        <a:lumMod val="65000"/>
        <a:lumOff val="35000"/>
      </a:schemeClr>
    </cs:fontRef>
    <cs:spPr>
      <a:ln w="12700" cap="flat" cmpd="sng" algn="ctr">
        <a:solidFill>
          <a:schemeClr val="tx1">
            <a:lumMod val="15000"/>
            <a:lumOff val="85000"/>
          </a:schemeClr>
        </a:solidFill>
        <a:round/>
      </a:ln>
    </cs:spPr>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600" b="1" kern="1200" baseline="0"/>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lt1"/>
    </cs:fontRef>
  </cs:wall>
</cs:chartStyle>
</file>

<file path=xl/charts/style7.xml><?xml version="1.0" encoding="utf-8"?>
<cs:chartStyle xmlns:cs="http://schemas.microsoft.com/office/drawing/2012/chartStyle" xmlns:a="http://schemas.openxmlformats.org/drawingml/2006/main" id="347">
  <cs:axisTitle>
    <cs:lnRef idx="0"/>
    <cs:fillRef idx="0"/>
    <cs:effectRef idx="0"/>
    <cs:fontRef idx="minor">
      <a:schemeClr val="tx1">
        <a:lumMod val="65000"/>
        <a:lumOff val="35000"/>
      </a:schemeClr>
    </cs:fontRef>
    <cs:defRPr sz="900" kern="1200"/>
  </cs:axisTitle>
  <cs:categoryAxis>
    <cs:lnRef idx="0"/>
    <cs:fillRef idx="0"/>
    <cs:effectRef idx="0"/>
    <cs:fontRef idx="minor">
      <a:schemeClr val="tx1">
        <a:lumMod val="65000"/>
        <a:lumOff val="35000"/>
      </a:schemeClr>
    </cs:fontRef>
    <cs:spPr>
      <a:ln w="12700"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lt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tx1">
        <a:lumMod val="65000"/>
        <a:lumOff val="35000"/>
      </a:schemeClr>
    </cs:fontRef>
    <cs:spPr>
      <a:ln w="12700" cap="flat" cmpd="sng" algn="ctr">
        <a:solidFill>
          <a:schemeClr val="tx1">
            <a:lumMod val="15000"/>
            <a:lumOff val="85000"/>
          </a:schemeClr>
        </a:solidFill>
        <a:round/>
      </a:ln>
    </cs:spPr>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600" b="1" kern="1200" baseline="0"/>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lt1"/>
    </cs:fontRef>
  </cs:wall>
</cs:chartStyle>
</file>

<file path=xl/charts/style8.xml><?xml version="1.0" encoding="utf-8"?>
<cs:chartStyle xmlns:cs="http://schemas.microsoft.com/office/drawing/2012/chartStyle" xmlns:a="http://schemas.openxmlformats.org/drawingml/2006/main" id="347">
  <cs:axisTitle>
    <cs:lnRef idx="0"/>
    <cs:fillRef idx="0"/>
    <cs:effectRef idx="0"/>
    <cs:fontRef idx="minor">
      <a:schemeClr val="tx1">
        <a:lumMod val="65000"/>
        <a:lumOff val="35000"/>
      </a:schemeClr>
    </cs:fontRef>
    <cs:defRPr sz="900" kern="1200"/>
  </cs:axisTitle>
  <cs:categoryAxis>
    <cs:lnRef idx="0"/>
    <cs:fillRef idx="0"/>
    <cs:effectRef idx="0"/>
    <cs:fontRef idx="minor">
      <a:schemeClr val="tx1">
        <a:lumMod val="65000"/>
        <a:lumOff val="35000"/>
      </a:schemeClr>
    </cs:fontRef>
    <cs:spPr>
      <a:ln w="12700"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lt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tx1">
        <a:lumMod val="65000"/>
        <a:lumOff val="35000"/>
      </a:schemeClr>
    </cs:fontRef>
    <cs:spPr>
      <a:ln w="12700" cap="flat" cmpd="sng" algn="ctr">
        <a:solidFill>
          <a:schemeClr val="tx1">
            <a:lumMod val="15000"/>
            <a:lumOff val="85000"/>
          </a:schemeClr>
        </a:solidFill>
        <a:round/>
      </a:ln>
    </cs:spPr>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600" b="1" kern="1200" baseline="0"/>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lt1"/>
    </cs:fontRef>
  </cs:wall>
</cs:chartStyle>
</file>

<file path=xl/charts/style9.xml><?xml version="1.0" encoding="utf-8"?>
<cs:chartStyle xmlns:cs="http://schemas.microsoft.com/office/drawing/2012/chartStyle" xmlns:a="http://schemas.openxmlformats.org/drawingml/2006/main" id="347">
  <cs:axisTitle>
    <cs:lnRef idx="0"/>
    <cs:fillRef idx="0"/>
    <cs:effectRef idx="0"/>
    <cs:fontRef idx="minor">
      <a:schemeClr val="tx1">
        <a:lumMod val="65000"/>
        <a:lumOff val="35000"/>
      </a:schemeClr>
    </cs:fontRef>
    <cs:defRPr sz="900" kern="1200"/>
  </cs:axisTitle>
  <cs:categoryAxis>
    <cs:lnRef idx="0"/>
    <cs:fillRef idx="0"/>
    <cs:effectRef idx="0"/>
    <cs:fontRef idx="minor">
      <a:schemeClr val="tx1">
        <a:lumMod val="65000"/>
        <a:lumOff val="35000"/>
      </a:schemeClr>
    </cs:fontRef>
    <cs:spPr>
      <a:ln w="12700"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lt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tx1">
        <a:lumMod val="65000"/>
        <a:lumOff val="35000"/>
      </a:schemeClr>
    </cs:fontRef>
    <cs:spPr>
      <a:ln w="12700" cap="flat" cmpd="sng" algn="ctr">
        <a:solidFill>
          <a:schemeClr val="tx1">
            <a:lumMod val="15000"/>
            <a:lumOff val="85000"/>
          </a:schemeClr>
        </a:solidFill>
        <a:round/>
      </a:ln>
    </cs:spPr>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600" b="1" kern="1200" baseline="0"/>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lt1"/>
    </cs:fontRef>
  </cs:wall>
</cs:chartStyle>
</file>

<file path=xl/charts/style10.xml><?xml version="1.0" encoding="utf-8"?>
<cs:chartStyle xmlns:cs="http://schemas.microsoft.com/office/drawing/2012/chartStyle" xmlns:a="http://schemas.openxmlformats.org/drawingml/2006/main" id="30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1.xml><?xml version="1.0" encoding="utf-8"?>
<cs:chartStyle xmlns:cs="http://schemas.microsoft.com/office/drawing/2012/chartStyle" xmlns:a="http://schemas.openxmlformats.org/drawingml/2006/main" id="30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2.xml><?xml version="1.0" encoding="utf-8"?>
<cs:chartStyle xmlns:cs="http://schemas.microsoft.com/office/drawing/2012/chartStyle" xmlns:a="http://schemas.openxmlformats.org/drawingml/2006/main" id="30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3.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4.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5.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6.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7.xml><?xml version="1.0" encoding="utf-8"?>
<cs:chartStyle xmlns:cs="http://schemas.microsoft.com/office/drawing/2012/chartStyle" xmlns:a="http://schemas.openxmlformats.org/drawingml/2006/main" id="296">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defRPr sz="900" b="0" kern="1200" cap="none" spc="0" normalizeH="0" baseline="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75000"/>
        <a:lumOff val="25000"/>
      </a:schemeClr>
    </cs:fontRef>
    <cs:spPr>
      <a:solidFill>
        <a:schemeClr val="dk1">
          <a:lumMod val="15000"/>
          <a:lumOff val="85000"/>
        </a:schemeClr>
      </a:solidFill>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38100" cap="rnd">
        <a:solidFill>
          <a:schemeClr val="phClr"/>
        </a:solidFill>
        <a:round/>
      </a:ln>
    </cs:spPr>
  </cs:dataPointLine>
  <cs:dataPointMarker>
    <cs:lnRef idx="0"/>
    <cs:fillRef idx="0">
      <cs:styleClr val="auto"/>
    </cs:fillRef>
    <cs:effectRef idx="0"/>
    <cs:fontRef idx="minor">
      <a:schemeClr val="dk1"/>
    </cs:fontRef>
    <cs:spPr>
      <a:solidFill>
        <a:schemeClr val="phClr"/>
      </a:solidFill>
    </cs:spPr>
  </cs:dataPointMarker>
  <cs:dataPointMarkerLayout symbol="circle" size="8"/>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50000"/>
            <a:lumOff val="50000"/>
          </a:schemeClr>
        </a:solidFill>
        <a:prstDash val="dash"/>
      </a:ln>
    </cs:spPr>
  </cs:dropLine>
  <cs:errorBar>
    <cs:lnRef idx="0"/>
    <cs:fillRef idx="0"/>
    <cs:effectRef idx="0"/>
    <cs:fontRef idx="minor">
      <a:schemeClr val="dk1"/>
    </cs:fontRef>
    <cs:spPr>
      <a:ln w="9525">
        <a:solidFill>
          <a:schemeClr val="tx1">
            <a:lumMod val="50000"/>
            <a:lumOff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w="9525" cap="flat" cmpd="sng" algn="ctr">
        <a:solidFill>
          <a:schemeClr val="tx1">
            <a:lumMod val="5000"/>
            <a:lumOff val="95000"/>
          </a:schemeClr>
        </a:solidFill>
        <a:round/>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ajor">
      <a:schemeClr val="tx1">
        <a:lumMod val="65000"/>
        <a:lumOff val="35000"/>
      </a:schemeClr>
    </cs:fontRef>
    <cs:defRPr sz="2000" b="0" kern="1200" cap="none" spc="0" normalizeH="0" baseline="0"/>
  </cs:title>
  <cs:trendline>
    <cs:lnRef idx="0">
      <cs:styleClr val="auto"/>
    </cs:lnRef>
    <cs:fillRef idx="0"/>
    <cs:effectRef idx="0"/>
    <cs:fontRef idx="minor">
      <a:schemeClr val="dk1"/>
    </cs:fontRef>
    <cs:spPr>
      <a:ln w="19050" cap="rnd">
        <a:solidFill>
          <a:schemeClr val="phClr"/>
        </a:solidFill>
        <a:round/>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dk1"/>
    </cs:fontRef>
  </cs:wall>
</cs:chartStyle>
</file>

<file path=xl/charts/style18.xml><?xml version="1.0" encoding="utf-8"?>
<cs:chartStyle xmlns:cs="http://schemas.microsoft.com/office/drawing/2012/chartStyle" xmlns:a="http://schemas.openxmlformats.org/drawingml/2006/main" id="296">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defRPr sz="900" b="0" kern="1200" cap="none" spc="0" normalizeH="0" baseline="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75000"/>
        <a:lumOff val="25000"/>
      </a:schemeClr>
    </cs:fontRef>
    <cs:spPr>
      <a:solidFill>
        <a:schemeClr val="dk1">
          <a:lumMod val="15000"/>
          <a:lumOff val="85000"/>
        </a:schemeClr>
      </a:solidFill>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38100" cap="rnd">
        <a:solidFill>
          <a:schemeClr val="phClr"/>
        </a:solidFill>
        <a:round/>
      </a:ln>
    </cs:spPr>
  </cs:dataPointLine>
  <cs:dataPointMarker>
    <cs:lnRef idx="0"/>
    <cs:fillRef idx="0">
      <cs:styleClr val="auto"/>
    </cs:fillRef>
    <cs:effectRef idx="0"/>
    <cs:fontRef idx="minor">
      <a:schemeClr val="dk1"/>
    </cs:fontRef>
    <cs:spPr>
      <a:solidFill>
        <a:schemeClr val="phClr"/>
      </a:solidFill>
    </cs:spPr>
  </cs:dataPointMarker>
  <cs:dataPointMarkerLayout symbol="circle" size="8"/>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50000"/>
            <a:lumOff val="50000"/>
          </a:schemeClr>
        </a:solidFill>
        <a:prstDash val="dash"/>
      </a:ln>
    </cs:spPr>
  </cs:dropLine>
  <cs:errorBar>
    <cs:lnRef idx="0"/>
    <cs:fillRef idx="0"/>
    <cs:effectRef idx="0"/>
    <cs:fontRef idx="minor">
      <a:schemeClr val="dk1"/>
    </cs:fontRef>
    <cs:spPr>
      <a:ln w="9525">
        <a:solidFill>
          <a:schemeClr val="tx1">
            <a:lumMod val="50000"/>
            <a:lumOff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w="9525" cap="flat" cmpd="sng" algn="ctr">
        <a:solidFill>
          <a:schemeClr val="tx1">
            <a:lumMod val="5000"/>
            <a:lumOff val="95000"/>
          </a:schemeClr>
        </a:solidFill>
        <a:round/>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ajor">
      <a:schemeClr val="tx1">
        <a:lumMod val="65000"/>
        <a:lumOff val="35000"/>
      </a:schemeClr>
    </cs:fontRef>
    <cs:defRPr sz="2000" b="0" kern="1200" cap="none" spc="0" normalizeH="0" baseline="0"/>
  </cs:title>
  <cs:trendline>
    <cs:lnRef idx="0">
      <cs:styleClr val="auto"/>
    </cs:lnRef>
    <cs:fillRef idx="0"/>
    <cs:effectRef idx="0"/>
    <cs:fontRef idx="minor">
      <a:schemeClr val="dk1"/>
    </cs:fontRef>
    <cs:spPr>
      <a:ln w="19050" cap="rnd">
        <a:solidFill>
          <a:schemeClr val="phClr"/>
        </a:solidFill>
        <a:round/>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dk1"/>
    </cs:fontRef>
  </cs:wall>
</cs:chartStyle>
</file>

<file path=xl/charts/style19.xml><?xml version="1.0" encoding="utf-8"?>
<cs:chartStyle xmlns:cs="http://schemas.microsoft.com/office/drawing/2012/chartStyle" xmlns:a="http://schemas.openxmlformats.org/drawingml/2006/main" id="296">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defRPr sz="900" b="0" kern="1200" cap="none" spc="0" normalizeH="0" baseline="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75000"/>
        <a:lumOff val="25000"/>
      </a:schemeClr>
    </cs:fontRef>
    <cs:spPr>
      <a:solidFill>
        <a:schemeClr val="dk1">
          <a:lumMod val="15000"/>
          <a:lumOff val="85000"/>
        </a:schemeClr>
      </a:solidFill>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38100" cap="rnd">
        <a:solidFill>
          <a:schemeClr val="phClr"/>
        </a:solidFill>
        <a:round/>
      </a:ln>
    </cs:spPr>
  </cs:dataPointLine>
  <cs:dataPointMarker>
    <cs:lnRef idx="0"/>
    <cs:fillRef idx="0">
      <cs:styleClr val="auto"/>
    </cs:fillRef>
    <cs:effectRef idx="0"/>
    <cs:fontRef idx="minor">
      <a:schemeClr val="dk1"/>
    </cs:fontRef>
    <cs:spPr>
      <a:solidFill>
        <a:schemeClr val="phClr"/>
      </a:solidFill>
    </cs:spPr>
  </cs:dataPointMarker>
  <cs:dataPointMarkerLayout symbol="circle" size="8"/>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50000"/>
            <a:lumOff val="50000"/>
          </a:schemeClr>
        </a:solidFill>
        <a:prstDash val="dash"/>
      </a:ln>
    </cs:spPr>
  </cs:dropLine>
  <cs:errorBar>
    <cs:lnRef idx="0"/>
    <cs:fillRef idx="0"/>
    <cs:effectRef idx="0"/>
    <cs:fontRef idx="minor">
      <a:schemeClr val="dk1"/>
    </cs:fontRef>
    <cs:spPr>
      <a:ln w="9525">
        <a:solidFill>
          <a:schemeClr val="tx1">
            <a:lumMod val="50000"/>
            <a:lumOff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w="9525" cap="flat" cmpd="sng" algn="ctr">
        <a:solidFill>
          <a:schemeClr val="tx1">
            <a:lumMod val="5000"/>
            <a:lumOff val="95000"/>
          </a:schemeClr>
        </a:solidFill>
        <a:round/>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ajor">
      <a:schemeClr val="tx1">
        <a:lumMod val="65000"/>
        <a:lumOff val="35000"/>
      </a:schemeClr>
    </cs:fontRef>
    <cs:defRPr sz="2000" b="0" kern="1200" cap="none" spc="0" normalizeH="0" baseline="0"/>
  </cs:title>
  <cs:trendline>
    <cs:lnRef idx="0">
      <cs:styleClr val="auto"/>
    </cs:lnRef>
    <cs:fillRef idx="0"/>
    <cs:effectRef idx="0"/>
    <cs:fontRef idx="minor">
      <a:schemeClr val="dk1"/>
    </cs:fontRef>
    <cs:spPr>
      <a:ln w="19050" cap="rnd">
        <a:solidFill>
          <a:schemeClr val="phClr"/>
        </a:solidFill>
        <a:round/>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dk1"/>
    </cs:fontRef>
  </cs:wall>
</cs:chartStyle>
</file>

<file path=xl/charts/style20.xml><?xml version="1.0" encoding="utf-8"?>
<cs:chartStyle xmlns:cs="http://schemas.microsoft.com/office/drawing/2012/chartStyle" xmlns:a="http://schemas.openxmlformats.org/drawingml/2006/main" id="296">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defRPr sz="900" b="0" kern="1200" cap="none" spc="0" normalizeH="0" baseline="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75000"/>
        <a:lumOff val="25000"/>
      </a:schemeClr>
    </cs:fontRef>
    <cs:spPr>
      <a:solidFill>
        <a:schemeClr val="dk1">
          <a:lumMod val="15000"/>
          <a:lumOff val="85000"/>
        </a:schemeClr>
      </a:solidFill>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38100" cap="rnd">
        <a:solidFill>
          <a:schemeClr val="phClr"/>
        </a:solidFill>
        <a:round/>
      </a:ln>
    </cs:spPr>
  </cs:dataPointLine>
  <cs:dataPointMarker>
    <cs:lnRef idx="0"/>
    <cs:fillRef idx="0">
      <cs:styleClr val="auto"/>
    </cs:fillRef>
    <cs:effectRef idx="0"/>
    <cs:fontRef idx="minor">
      <a:schemeClr val="dk1"/>
    </cs:fontRef>
    <cs:spPr>
      <a:solidFill>
        <a:schemeClr val="phClr"/>
      </a:solidFill>
    </cs:spPr>
  </cs:dataPointMarker>
  <cs:dataPointMarkerLayout symbol="circle" size="8"/>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50000"/>
            <a:lumOff val="50000"/>
          </a:schemeClr>
        </a:solidFill>
        <a:prstDash val="dash"/>
      </a:ln>
    </cs:spPr>
  </cs:dropLine>
  <cs:errorBar>
    <cs:lnRef idx="0"/>
    <cs:fillRef idx="0"/>
    <cs:effectRef idx="0"/>
    <cs:fontRef idx="minor">
      <a:schemeClr val="dk1"/>
    </cs:fontRef>
    <cs:spPr>
      <a:ln w="9525">
        <a:solidFill>
          <a:schemeClr val="tx1">
            <a:lumMod val="50000"/>
            <a:lumOff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w="9525" cap="flat" cmpd="sng" algn="ctr">
        <a:solidFill>
          <a:schemeClr val="tx1">
            <a:lumMod val="5000"/>
            <a:lumOff val="95000"/>
          </a:schemeClr>
        </a:solidFill>
        <a:round/>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ajor">
      <a:schemeClr val="tx1">
        <a:lumMod val="65000"/>
        <a:lumOff val="35000"/>
      </a:schemeClr>
    </cs:fontRef>
    <cs:defRPr sz="2000" b="0" kern="1200" cap="none" spc="0" normalizeH="0" baseline="0"/>
  </cs:title>
  <cs:trendline>
    <cs:lnRef idx="0">
      <cs:styleClr val="auto"/>
    </cs:lnRef>
    <cs:fillRef idx="0"/>
    <cs:effectRef idx="0"/>
    <cs:fontRef idx="minor">
      <a:schemeClr val="dk1"/>
    </cs:fontRef>
    <cs:spPr>
      <a:ln w="19050" cap="rnd">
        <a:solidFill>
          <a:schemeClr val="phClr"/>
        </a:solidFill>
        <a:round/>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dk1"/>
    </cs:fontRef>
  </cs:wall>
</cs:chartStyle>
</file>

<file path=xl/charts/style21.xml><?xml version="1.0" encoding="utf-8"?>
<cs:chartStyle xmlns:cs="http://schemas.microsoft.com/office/drawing/2012/chartStyle" xmlns:a="http://schemas.openxmlformats.org/drawingml/2006/main" id="296">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defRPr sz="900" b="0" kern="1200" cap="none" spc="0" normalizeH="0" baseline="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75000"/>
        <a:lumOff val="25000"/>
      </a:schemeClr>
    </cs:fontRef>
    <cs:spPr>
      <a:solidFill>
        <a:schemeClr val="dk1">
          <a:lumMod val="15000"/>
          <a:lumOff val="85000"/>
        </a:schemeClr>
      </a:solidFill>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38100" cap="rnd">
        <a:solidFill>
          <a:schemeClr val="phClr"/>
        </a:solidFill>
        <a:round/>
      </a:ln>
    </cs:spPr>
  </cs:dataPointLine>
  <cs:dataPointMarker>
    <cs:lnRef idx="0"/>
    <cs:fillRef idx="0">
      <cs:styleClr val="auto"/>
    </cs:fillRef>
    <cs:effectRef idx="0"/>
    <cs:fontRef idx="minor">
      <a:schemeClr val="dk1"/>
    </cs:fontRef>
    <cs:spPr>
      <a:solidFill>
        <a:schemeClr val="phClr"/>
      </a:solidFill>
    </cs:spPr>
  </cs:dataPointMarker>
  <cs:dataPointMarkerLayout symbol="circle" size="8"/>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50000"/>
            <a:lumOff val="50000"/>
          </a:schemeClr>
        </a:solidFill>
        <a:prstDash val="dash"/>
      </a:ln>
    </cs:spPr>
  </cs:dropLine>
  <cs:errorBar>
    <cs:lnRef idx="0"/>
    <cs:fillRef idx="0"/>
    <cs:effectRef idx="0"/>
    <cs:fontRef idx="minor">
      <a:schemeClr val="dk1"/>
    </cs:fontRef>
    <cs:spPr>
      <a:ln w="9525">
        <a:solidFill>
          <a:schemeClr val="tx1">
            <a:lumMod val="50000"/>
            <a:lumOff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w="9525" cap="flat" cmpd="sng" algn="ctr">
        <a:solidFill>
          <a:schemeClr val="tx1">
            <a:lumMod val="5000"/>
            <a:lumOff val="95000"/>
          </a:schemeClr>
        </a:solidFill>
        <a:round/>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ajor">
      <a:schemeClr val="tx1">
        <a:lumMod val="65000"/>
        <a:lumOff val="35000"/>
      </a:schemeClr>
    </cs:fontRef>
    <cs:defRPr sz="2000" b="0" kern="1200" cap="none" spc="0" normalizeH="0" baseline="0"/>
  </cs:title>
  <cs:trendline>
    <cs:lnRef idx="0">
      <cs:styleClr val="auto"/>
    </cs:lnRef>
    <cs:fillRef idx="0"/>
    <cs:effectRef idx="0"/>
    <cs:fontRef idx="minor">
      <a:schemeClr val="dk1"/>
    </cs:fontRef>
    <cs:spPr>
      <a:ln w="19050" cap="rnd">
        <a:solidFill>
          <a:schemeClr val="phClr"/>
        </a:solidFill>
        <a:round/>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dk1"/>
    </cs:fontRef>
  </cs:wall>
</cs:chartStyle>
</file>

<file path=xl/charts/style22.xml><?xml version="1.0" encoding="utf-8"?>
<cs:chartStyle xmlns:cs="http://schemas.microsoft.com/office/drawing/2012/chartStyle" xmlns:a="http://schemas.openxmlformats.org/drawingml/2006/main" id="232">
  <cs:axisTitle>
    <cs:lnRef idx="0"/>
    <cs:fillRef idx="0"/>
    <cs:effectRef idx="0"/>
    <cs:fontRef idx="minor">
      <a:schemeClr val="dk1">
        <a:lumMod val="65000"/>
        <a:lumOff val="35000"/>
      </a:schemeClr>
    </cs:fontRef>
    <cs:defRPr sz="900" b="1" kern="1200"/>
  </cs:axisTitle>
  <cs:category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ap="none" spc="0" normalizeH="0" baseline="0"/>
  </cs:categoryAxis>
  <cs:chartArea>
    <cs:lnRef idx="0"/>
    <cs:fillRef idx="0"/>
    <cs:effectRef idx="0"/>
    <cs:fontRef idx="minor">
      <a:schemeClr val="dk1"/>
    </cs:fontRef>
    <cs:spPr>
      <a:solidFill>
        <a:schemeClr val="lt1"/>
      </a:solidFill>
      <a:ln w="9525" cap="flat" cmpd="sng" algn="ctr">
        <a:solidFill>
          <a:schemeClr val="dk1">
            <a:lumMod val="15000"/>
            <a:lumOff val="85000"/>
          </a:schemeClr>
        </a:solidFill>
        <a:round/>
      </a:ln>
    </cs:spPr>
    <cs:defRPr sz="900" kern="1200"/>
  </cs:chartArea>
  <cs:dataLabel>
    <cs:lnRef idx="0"/>
    <cs:fillRef idx="0"/>
    <cs:effectRef idx="0"/>
    <cs:fontRef idx="minor">
      <a:schemeClr val="dk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22225" cap="rnd">
        <a:solidFill>
          <a:schemeClr val="phClr"/>
        </a:solidFill>
        <a:round/>
      </a:ln>
    </cs:spPr>
  </cs:dataPointLine>
  <cs:dataPointMarker>
    <cs:lnRef idx="0">
      <cs:styleClr val="auto"/>
    </cs:lnRef>
    <cs:fillRef idx="0">
      <cs:styleClr val="auto"/>
    </cs:fillRef>
    <cs:effectRef idx="0"/>
    <cs:fontRef idx="minor">
      <a:schemeClr val="dk1"/>
    </cs:fontRef>
    <cs:spPr>
      <a:solidFill>
        <a:schemeClr val="lt1"/>
      </a:solidFill>
      <a:ln w="15875">
        <a:solidFill>
          <a:schemeClr val="phClr"/>
        </a:solidFill>
        <a:round/>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800" kern="1200"/>
  </cs:dataTable>
  <cs:downBar>
    <cs:lnRef idx="0"/>
    <cs:fillRef idx="0"/>
    <cs:effectRef idx="0"/>
    <cs:fontRef idx="minor">
      <a:schemeClr val="dk1"/>
    </cs:fontRef>
    <cs:spPr>
      <a:solidFill>
        <a:schemeClr val="dk1">
          <a:lumMod val="75000"/>
          <a:lumOff val="25000"/>
        </a:schemeClr>
      </a:solidFill>
      <a:ln w="9525" cap="flat" cmpd="sng" algn="ctr">
        <a:solidFill>
          <a:schemeClr val="dk1">
            <a:lumMod val="50000"/>
            <a:lumOff val="50000"/>
          </a:schemeClr>
        </a:solidFill>
        <a:round/>
      </a:ln>
    </cs:spPr>
  </cs:downBar>
  <cs:dropLine>
    <cs:lnRef idx="0"/>
    <cs:fillRef idx="0"/>
    <cs:effectRef idx="0"/>
    <cs:fontRef idx="minor">
      <a:schemeClr val="dk1"/>
    </cs:fontRef>
    <cs:spPr>
      <a:ln w="9525" cap="flat" cmpd="sng" algn="ctr">
        <a:solidFill>
          <a:schemeClr val="dk1">
            <a:lumMod val="35000"/>
            <a:lumOff val="65000"/>
          </a:schemeClr>
        </a:solidFill>
        <a:round/>
      </a:ln>
    </cs:spPr>
  </cs:dropLine>
  <cs:errorBar>
    <cs:lnRef idx="0"/>
    <cs:fillRef idx="0"/>
    <cs:effectRef idx="0"/>
    <cs:fontRef idx="minor">
      <a:schemeClr val="dk1"/>
    </cs:fontRef>
    <cs:spPr>
      <a:ln w="9525" cap="flat" cmpd="sng" algn="ctr">
        <a:solidFill>
          <a:schemeClr val="dk1">
            <a:lumMod val="50000"/>
            <a:lumOff val="50000"/>
          </a:schemeClr>
        </a:solidFill>
        <a:round/>
      </a:ln>
    </cs:spPr>
  </cs:errorBar>
  <cs:floor>
    <cs:lnRef idx="0"/>
    <cs:fillRef idx="0"/>
    <cs:effectRef idx="0"/>
    <cs:fontRef idx="minor">
      <a:schemeClr val="dk1"/>
    </cs:fontRef>
    <cs:spPr>
      <a:pattFill prst="ltDnDiag">
        <a:fgClr>
          <a:schemeClr val="dk1">
            <a:lumMod val="15000"/>
            <a:lumOff val="85000"/>
          </a:schemeClr>
        </a:fgClr>
        <a:bgClr>
          <a:schemeClr val="lt1"/>
        </a:bgClr>
      </a:pattFill>
    </cs:spPr>
  </cs:floor>
  <cs:gridlineMajor>
    <cs:lnRef idx="0"/>
    <cs:fillRef idx="0"/>
    <cs:effectRef idx="0"/>
    <cs:fontRef idx="minor">
      <a:schemeClr val="dk1"/>
    </cs:fontRef>
    <cs:spPr>
      <a:ln w="9525" cap="flat" cmpd="sng" algn="ctr">
        <a:solidFill>
          <a:schemeClr val="dk1">
            <a:lumMod val="15000"/>
            <a:lumOff val="85000"/>
            <a:alpha val="54000"/>
          </a:schemeClr>
        </a:solidFill>
        <a:round/>
      </a:ln>
    </cs:spPr>
  </cs:gridlineMajor>
  <cs:gridlineMinor>
    <cs:lnRef idx="0"/>
    <cs:fillRef idx="0"/>
    <cs:effectRef idx="0"/>
    <cs:fontRef idx="minor">
      <a:schemeClr val="dk1"/>
    </cs:fontRef>
    <cs:spPr>
      <a:ln w="9525" cap="flat" cmpd="sng" algn="ctr">
        <a:solidFill>
          <a:schemeClr val="dk1">
            <a:lumMod val="15000"/>
            <a:lumOff val="85000"/>
            <a:alpha val="51000"/>
          </a:schemeClr>
        </a:solidFill>
        <a:round/>
      </a:ln>
    </cs:spPr>
  </cs:gridlineMinor>
  <cs:hiLoLine>
    <cs:lnRef idx="0"/>
    <cs:fillRef idx="0"/>
    <cs:effectRef idx="0"/>
    <cs:fontRef idx="minor">
      <a:schemeClr val="dk1"/>
    </cs:fontRef>
    <cs:spPr>
      <a:ln w="9525" cap="flat" cmpd="sng" algn="ctr">
        <a:solidFill>
          <a:schemeClr val="dk1">
            <a:lumMod val="35000"/>
            <a:lumOff val="65000"/>
          </a:schemeClr>
        </a:solidFill>
        <a:round/>
      </a:ln>
    </cs:spPr>
  </cs:hiLoLine>
  <cs:leaderLine>
    <cs:lnRef idx="0"/>
    <cs:fillRef idx="0"/>
    <cs:effectRef idx="0"/>
    <cs:fontRef idx="minor">
      <a:schemeClr val="dk1"/>
    </cs:fontRef>
    <cs:spPr>
      <a:ln w="9525" cap="flat" cmpd="sng" algn="ctr">
        <a:solidFill>
          <a:schemeClr val="dk1">
            <a:lumMod val="35000"/>
            <a:lumOff val="65000"/>
          </a:schemeClr>
        </a:solidFill>
        <a:round/>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spPr>
      <a:pattFill prst="ltDnDiag">
        <a:fgClr>
          <a:schemeClr val="dk1">
            <a:lumMod val="15000"/>
            <a:lumOff val="85000"/>
          </a:schemeClr>
        </a:fgClr>
        <a:bgClr>
          <a:schemeClr val="lt1"/>
        </a:bgClr>
      </a:pattFill>
    </cs:spPr>
  </cs:plotArea>
  <cs:plotArea3D>
    <cs:lnRef idx="0"/>
    <cs:fillRef idx="0"/>
    <cs:effectRef idx="0"/>
    <cs:fontRef idx="minor">
      <a:schemeClr val="dk1"/>
    </cs:fontRef>
    <cs:spPr>
      <a:solidFill>
        <a:schemeClr val="lt1"/>
      </a:solidFill>
    </cs:spPr>
  </cs:plotArea3D>
  <cs:seriesAxis>
    <cs:lnRef idx="0"/>
    <cs:fillRef idx="0"/>
    <cs:effectRef idx="0"/>
    <cs:fontRef idx="minor">
      <a:schemeClr val="dk1">
        <a:lumMod val="65000"/>
        <a:lumOff val="35000"/>
      </a:schemeClr>
    </cs:fontRef>
    <cs:defRPr sz="900" kern="1200"/>
  </cs:seriesAxis>
  <cs:seriesLine>
    <cs:lnRef idx="0"/>
    <cs:fillRef idx="0"/>
    <cs:effectRef idx="0"/>
    <cs:fontRef idx="minor">
      <a:schemeClr val="dk1"/>
    </cs:fontRef>
    <cs:spPr>
      <a:ln w="9525" cap="flat" cmpd="sng" algn="ctr">
        <a:solidFill>
          <a:schemeClr val="dk1">
            <a:lumMod val="35000"/>
            <a:lumOff val="65000"/>
          </a:schemeClr>
        </a:solidFill>
        <a:round/>
      </a:ln>
    </cs:spPr>
  </cs:seriesLine>
  <cs:title>
    <cs:lnRef idx="0"/>
    <cs:fillRef idx="0"/>
    <cs:effectRef idx="0"/>
    <cs:fontRef idx="major">
      <a:schemeClr val="dk1">
        <a:lumMod val="50000"/>
        <a:lumOff val="50000"/>
      </a:schemeClr>
    </cs:fontRef>
    <cs:defRPr sz="1600" b="1" kern="1200" cap="none" spc="0" normalizeH="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solidFill>
      <a:ln w="9525" cap="flat" cmpd="sng" algn="ctr">
        <a:solidFill>
          <a:schemeClr val="dk1">
            <a:lumMod val="50000"/>
            <a:lumOff val="50000"/>
          </a:schemeClr>
        </a:solidFill>
        <a:round/>
      </a:ln>
    </cs:spPr>
  </cs:upBar>
  <cs:valueAxis>
    <cs:lnRef idx="0"/>
    <cs:fillRef idx="0"/>
    <cs:effectRef idx="0"/>
    <cs:fontRef idx="minor">
      <a:schemeClr val="dk1">
        <a:lumMod val="65000"/>
        <a:lumOff val="35000"/>
      </a:schemeClr>
    </cs:fontRef>
    <cs:defRPr sz="900" kern="1200"/>
  </cs:valueAxis>
  <cs:wall>
    <cs:lnRef idx="0"/>
    <cs:fillRef idx="0"/>
    <cs:effectRef idx="0"/>
    <cs:fontRef idx="minor">
      <a:schemeClr val="dk1"/>
    </cs:fontRef>
    <cs:spPr>
      <a:pattFill prst="ltDnDiag">
        <a:fgClr>
          <a:schemeClr val="dk1">
            <a:lumMod val="15000"/>
            <a:lumOff val="85000"/>
          </a:schemeClr>
        </a:fgClr>
        <a:bgClr>
          <a:schemeClr val="lt1"/>
        </a:bgClr>
      </a:pattFill>
    </cs:spPr>
  </cs:wall>
</cs:chartStyle>
</file>

<file path=xl/charts/style23.xml><?xml version="1.0" encoding="utf-8"?>
<cs:chartStyle xmlns:cs="http://schemas.microsoft.com/office/drawing/2012/chartStyle" xmlns:a="http://schemas.openxmlformats.org/drawingml/2006/main" id="232">
  <cs:axisTitle>
    <cs:lnRef idx="0"/>
    <cs:fillRef idx="0"/>
    <cs:effectRef idx="0"/>
    <cs:fontRef idx="minor">
      <a:schemeClr val="dk1">
        <a:lumMod val="65000"/>
        <a:lumOff val="35000"/>
      </a:schemeClr>
    </cs:fontRef>
    <cs:defRPr sz="900" b="1" kern="1200"/>
  </cs:axisTitle>
  <cs:category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ap="none" spc="0" normalizeH="0" baseline="0"/>
  </cs:categoryAxis>
  <cs:chartArea>
    <cs:lnRef idx="0"/>
    <cs:fillRef idx="0"/>
    <cs:effectRef idx="0"/>
    <cs:fontRef idx="minor">
      <a:schemeClr val="dk1"/>
    </cs:fontRef>
    <cs:spPr>
      <a:solidFill>
        <a:schemeClr val="lt1"/>
      </a:solidFill>
      <a:ln w="9525" cap="flat" cmpd="sng" algn="ctr">
        <a:solidFill>
          <a:schemeClr val="dk1">
            <a:lumMod val="15000"/>
            <a:lumOff val="85000"/>
          </a:schemeClr>
        </a:solidFill>
        <a:round/>
      </a:ln>
    </cs:spPr>
    <cs:defRPr sz="900" kern="1200"/>
  </cs:chartArea>
  <cs:dataLabel>
    <cs:lnRef idx="0"/>
    <cs:fillRef idx="0"/>
    <cs:effectRef idx="0"/>
    <cs:fontRef idx="minor">
      <a:schemeClr val="dk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22225" cap="rnd">
        <a:solidFill>
          <a:schemeClr val="phClr"/>
        </a:solidFill>
        <a:round/>
      </a:ln>
    </cs:spPr>
  </cs:dataPointLine>
  <cs:dataPointMarker>
    <cs:lnRef idx="0">
      <cs:styleClr val="auto"/>
    </cs:lnRef>
    <cs:fillRef idx="0">
      <cs:styleClr val="auto"/>
    </cs:fillRef>
    <cs:effectRef idx="0"/>
    <cs:fontRef idx="minor">
      <a:schemeClr val="dk1"/>
    </cs:fontRef>
    <cs:spPr>
      <a:solidFill>
        <a:schemeClr val="lt1"/>
      </a:solidFill>
      <a:ln w="15875">
        <a:solidFill>
          <a:schemeClr val="phClr"/>
        </a:solidFill>
        <a:round/>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800" kern="1200"/>
  </cs:dataTable>
  <cs:downBar>
    <cs:lnRef idx="0"/>
    <cs:fillRef idx="0"/>
    <cs:effectRef idx="0"/>
    <cs:fontRef idx="minor">
      <a:schemeClr val="dk1"/>
    </cs:fontRef>
    <cs:spPr>
      <a:solidFill>
        <a:schemeClr val="dk1">
          <a:lumMod val="75000"/>
          <a:lumOff val="25000"/>
        </a:schemeClr>
      </a:solidFill>
      <a:ln w="9525" cap="flat" cmpd="sng" algn="ctr">
        <a:solidFill>
          <a:schemeClr val="dk1">
            <a:lumMod val="50000"/>
            <a:lumOff val="50000"/>
          </a:schemeClr>
        </a:solidFill>
        <a:round/>
      </a:ln>
    </cs:spPr>
  </cs:downBar>
  <cs:dropLine>
    <cs:lnRef idx="0"/>
    <cs:fillRef idx="0"/>
    <cs:effectRef idx="0"/>
    <cs:fontRef idx="minor">
      <a:schemeClr val="dk1"/>
    </cs:fontRef>
    <cs:spPr>
      <a:ln w="9525" cap="flat" cmpd="sng" algn="ctr">
        <a:solidFill>
          <a:schemeClr val="dk1">
            <a:lumMod val="35000"/>
            <a:lumOff val="65000"/>
          </a:schemeClr>
        </a:solidFill>
        <a:round/>
      </a:ln>
    </cs:spPr>
  </cs:dropLine>
  <cs:errorBar>
    <cs:lnRef idx="0"/>
    <cs:fillRef idx="0"/>
    <cs:effectRef idx="0"/>
    <cs:fontRef idx="minor">
      <a:schemeClr val="dk1"/>
    </cs:fontRef>
    <cs:spPr>
      <a:ln w="9525" cap="flat" cmpd="sng" algn="ctr">
        <a:solidFill>
          <a:schemeClr val="dk1">
            <a:lumMod val="50000"/>
            <a:lumOff val="50000"/>
          </a:schemeClr>
        </a:solidFill>
        <a:round/>
      </a:ln>
    </cs:spPr>
  </cs:errorBar>
  <cs:floor>
    <cs:lnRef idx="0"/>
    <cs:fillRef idx="0"/>
    <cs:effectRef idx="0"/>
    <cs:fontRef idx="minor">
      <a:schemeClr val="dk1"/>
    </cs:fontRef>
    <cs:spPr>
      <a:pattFill prst="ltDnDiag">
        <a:fgClr>
          <a:schemeClr val="dk1">
            <a:lumMod val="15000"/>
            <a:lumOff val="85000"/>
          </a:schemeClr>
        </a:fgClr>
        <a:bgClr>
          <a:schemeClr val="lt1"/>
        </a:bgClr>
      </a:pattFill>
    </cs:spPr>
  </cs:floor>
  <cs:gridlineMajor>
    <cs:lnRef idx="0"/>
    <cs:fillRef idx="0"/>
    <cs:effectRef idx="0"/>
    <cs:fontRef idx="minor">
      <a:schemeClr val="dk1"/>
    </cs:fontRef>
    <cs:spPr>
      <a:ln w="9525" cap="flat" cmpd="sng" algn="ctr">
        <a:solidFill>
          <a:schemeClr val="dk1">
            <a:lumMod val="15000"/>
            <a:lumOff val="85000"/>
            <a:alpha val="54000"/>
          </a:schemeClr>
        </a:solidFill>
        <a:round/>
      </a:ln>
    </cs:spPr>
  </cs:gridlineMajor>
  <cs:gridlineMinor>
    <cs:lnRef idx="0"/>
    <cs:fillRef idx="0"/>
    <cs:effectRef idx="0"/>
    <cs:fontRef idx="minor">
      <a:schemeClr val="dk1"/>
    </cs:fontRef>
    <cs:spPr>
      <a:ln w="9525" cap="flat" cmpd="sng" algn="ctr">
        <a:solidFill>
          <a:schemeClr val="dk1">
            <a:lumMod val="15000"/>
            <a:lumOff val="85000"/>
            <a:alpha val="51000"/>
          </a:schemeClr>
        </a:solidFill>
        <a:round/>
      </a:ln>
    </cs:spPr>
  </cs:gridlineMinor>
  <cs:hiLoLine>
    <cs:lnRef idx="0"/>
    <cs:fillRef idx="0"/>
    <cs:effectRef idx="0"/>
    <cs:fontRef idx="minor">
      <a:schemeClr val="dk1"/>
    </cs:fontRef>
    <cs:spPr>
      <a:ln w="9525" cap="flat" cmpd="sng" algn="ctr">
        <a:solidFill>
          <a:schemeClr val="dk1">
            <a:lumMod val="35000"/>
            <a:lumOff val="65000"/>
          </a:schemeClr>
        </a:solidFill>
        <a:round/>
      </a:ln>
    </cs:spPr>
  </cs:hiLoLine>
  <cs:leaderLine>
    <cs:lnRef idx="0"/>
    <cs:fillRef idx="0"/>
    <cs:effectRef idx="0"/>
    <cs:fontRef idx="minor">
      <a:schemeClr val="dk1"/>
    </cs:fontRef>
    <cs:spPr>
      <a:ln w="9525" cap="flat" cmpd="sng" algn="ctr">
        <a:solidFill>
          <a:schemeClr val="dk1">
            <a:lumMod val="35000"/>
            <a:lumOff val="65000"/>
          </a:schemeClr>
        </a:solidFill>
        <a:round/>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spPr>
      <a:pattFill prst="ltDnDiag">
        <a:fgClr>
          <a:schemeClr val="dk1">
            <a:lumMod val="15000"/>
            <a:lumOff val="85000"/>
          </a:schemeClr>
        </a:fgClr>
        <a:bgClr>
          <a:schemeClr val="lt1"/>
        </a:bgClr>
      </a:pattFill>
    </cs:spPr>
  </cs:plotArea>
  <cs:plotArea3D>
    <cs:lnRef idx="0"/>
    <cs:fillRef idx="0"/>
    <cs:effectRef idx="0"/>
    <cs:fontRef idx="minor">
      <a:schemeClr val="dk1"/>
    </cs:fontRef>
    <cs:spPr>
      <a:solidFill>
        <a:schemeClr val="lt1"/>
      </a:solidFill>
    </cs:spPr>
  </cs:plotArea3D>
  <cs:seriesAxis>
    <cs:lnRef idx="0"/>
    <cs:fillRef idx="0"/>
    <cs:effectRef idx="0"/>
    <cs:fontRef idx="minor">
      <a:schemeClr val="dk1">
        <a:lumMod val="65000"/>
        <a:lumOff val="35000"/>
      </a:schemeClr>
    </cs:fontRef>
    <cs:defRPr sz="900" kern="1200"/>
  </cs:seriesAxis>
  <cs:seriesLine>
    <cs:lnRef idx="0"/>
    <cs:fillRef idx="0"/>
    <cs:effectRef idx="0"/>
    <cs:fontRef idx="minor">
      <a:schemeClr val="dk1"/>
    </cs:fontRef>
    <cs:spPr>
      <a:ln w="9525" cap="flat" cmpd="sng" algn="ctr">
        <a:solidFill>
          <a:schemeClr val="dk1">
            <a:lumMod val="35000"/>
            <a:lumOff val="65000"/>
          </a:schemeClr>
        </a:solidFill>
        <a:round/>
      </a:ln>
    </cs:spPr>
  </cs:seriesLine>
  <cs:title>
    <cs:lnRef idx="0"/>
    <cs:fillRef idx="0"/>
    <cs:effectRef idx="0"/>
    <cs:fontRef idx="major">
      <a:schemeClr val="dk1">
        <a:lumMod val="50000"/>
        <a:lumOff val="50000"/>
      </a:schemeClr>
    </cs:fontRef>
    <cs:defRPr sz="1600" b="1" kern="1200" cap="none" spc="0" normalizeH="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solidFill>
      <a:ln w="9525" cap="flat" cmpd="sng" algn="ctr">
        <a:solidFill>
          <a:schemeClr val="dk1">
            <a:lumMod val="50000"/>
            <a:lumOff val="50000"/>
          </a:schemeClr>
        </a:solidFill>
        <a:round/>
      </a:ln>
    </cs:spPr>
  </cs:upBar>
  <cs:valueAxis>
    <cs:lnRef idx="0"/>
    <cs:fillRef idx="0"/>
    <cs:effectRef idx="0"/>
    <cs:fontRef idx="minor">
      <a:schemeClr val="dk1">
        <a:lumMod val="65000"/>
        <a:lumOff val="35000"/>
      </a:schemeClr>
    </cs:fontRef>
    <cs:defRPr sz="900" kern="1200"/>
  </cs:valueAxis>
  <cs:wall>
    <cs:lnRef idx="0"/>
    <cs:fillRef idx="0"/>
    <cs:effectRef idx="0"/>
    <cs:fontRef idx="minor">
      <a:schemeClr val="dk1"/>
    </cs:fontRef>
    <cs:spPr>
      <a:pattFill prst="ltDnDiag">
        <a:fgClr>
          <a:schemeClr val="dk1">
            <a:lumMod val="15000"/>
            <a:lumOff val="85000"/>
          </a:schemeClr>
        </a:fgClr>
        <a:bgClr>
          <a:schemeClr val="lt1"/>
        </a:bgClr>
      </a:pattFill>
    </cs:spPr>
  </cs:wall>
</cs:chartStyle>
</file>

<file path=xl/charts/style24.xml><?xml version="1.0" encoding="utf-8"?>
<cs:chartStyle xmlns:cs="http://schemas.microsoft.com/office/drawing/2012/chartStyle" xmlns:a="http://schemas.openxmlformats.org/drawingml/2006/main" id="232">
  <cs:axisTitle>
    <cs:lnRef idx="0"/>
    <cs:fillRef idx="0"/>
    <cs:effectRef idx="0"/>
    <cs:fontRef idx="minor">
      <a:schemeClr val="dk1">
        <a:lumMod val="65000"/>
        <a:lumOff val="35000"/>
      </a:schemeClr>
    </cs:fontRef>
    <cs:defRPr sz="900" b="1" kern="1200"/>
  </cs:axisTitle>
  <cs:category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ap="none" spc="0" normalizeH="0" baseline="0"/>
  </cs:categoryAxis>
  <cs:chartArea>
    <cs:lnRef idx="0"/>
    <cs:fillRef idx="0"/>
    <cs:effectRef idx="0"/>
    <cs:fontRef idx="minor">
      <a:schemeClr val="dk1"/>
    </cs:fontRef>
    <cs:spPr>
      <a:solidFill>
        <a:schemeClr val="lt1"/>
      </a:solidFill>
      <a:ln w="9525" cap="flat" cmpd="sng" algn="ctr">
        <a:solidFill>
          <a:schemeClr val="dk1">
            <a:lumMod val="15000"/>
            <a:lumOff val="85000"/>
          </a:schemeClr>
        </a:solidFill>
        <a:round/>
      </a:ln>
    </cs:spPr>
    <cs:defRPr sz="900" kern="1200"/>
  </cs:chartArea>
  <cs:dataLabel>
    <cs:lnRef idx="0"/>
    <cs:fillRef idx="0"/>
    <cs:effectRef idx="0"/>
    <cs:fontRef idx="minor">
      <a:schemeClr val="dk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22225" cap="rnd">
        <a:solidFill>
          <a:schemeClr val="phClr"/>
        </a:solidFill>
        <a:round/>
      </a:ln>
    </cs:spPr>
  </cs:dataPointLine>
  <cs:dataPointMarker>
    <cs:lnRef idx="0">
      <cs:styleClr val="auto"/>
    </cs:lnRef>
    <cs:fillRef idx="0">
      <cs:styleClr val="auto"/>
    </cs:fillRef>
    <cs:effectRef idx="0"/>
    <cs:fontRef idx="minor">
      <a:schemeClr val="dk1"/>
    </cs:fontRef>
    <cs:spPr>
      <a:solidFill>
        <a:schemeClr val="lt1"/>
      </a:solidFill>
      <a:ln w="15875">
        <a:solidFill>
          <a:schemeClr val="phClr"/>
        </a:solidFill>
        <a:round/>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800" kern="1200"/>
  </cs:dataTable>
  <cs:downBar>
    <cs:lnRef idx="0"/>
    <cs:fillRef idx="0"/>
    <cs:effectRef idx="0"/>
    <cs:fontRef idx="minor">
      <a:schemeClr val="dk1"/>
    </cs:fontRef>
    <cs:spPr>
      <a:solidFill>
        <a:schemeClr val="dk1">
          <a:lumMod val="75000"/>
          <a:lumOff val="25000"/>
        </a:schemeClr>
      </a:solidFill>
      <a:ln w="9525" cap="flat" cmpd="sng" algn="ctr">
        <a:solidFill>
          <a:schemeClr val="dk1">
            <a:lumMod val="50000"/>
            <a:lumOff val="50000"/>
          </a:schemeClr>
        </a:solidFill>
        <a:round/>
      </a:ln>
    </cs:spPr>
  </cs:downBar>
  <cs:dropLine>
    <cs:lnRef idx="0"/>
    <cs:fillRef idx="0"/>
    <cs:effectRef idx="0"/>
    <cs:fontRef idx="minor">
      <a:schemeClr val="dk1"/>
    </cs:fontRef>
    <cs:spPr>
      <a:ln w="9525" cap="flat" cmpd="sng" algn="ctr">
        <a:solidFill>
          <a:schemeClr val="dk1">
            <a:lumMod val="35000"/>
            <a:lumOff val="65000"/>
          </a:schemeClr>
        </a:solidFill>
        <a:round/>
      </a:ln>
    </cs:spPr>
  </cs:dropLine>
  <cs:errorBar>
    <cs:lnRef idx="0"/>
    <cs:fillRef idx="0"/>
    <cs:effectRef idx="0"/>
    <cs:fontRef idx="minor">
      <a:schemeClr val="dk1"/>
    </cs:fontRef>
    <cs:spPr>
      <a:ln w="9525" cap="flat" cmpd="sng" algn="ctr">
        <a:solidFill>
          <a:schemeClr val="dk1">
            <a:lumMod val="50000"/>
            <a:lumOff val="50000"/>
          </a:schemeClr>
        </a:solidFill>
        <a:round/>
      </a:ln>
    </cs:spPr>
  </cs:errorBar>
  <cs:floor>
    <cs:lnRef idx="0"/>
    <cs:fillRef idx="0"/>
    <cs:effectRef idx="0"/>
    <cs:fontRef idx="minor">
      <a:schemeClr val="dk1"/>
    </cs:fontRef>
    <cs:spPr>
      <a:pattFill prst="ltDnDiag">
        <a:fgClr>
          <a:schemeClr val="dk1">
            <a:lumMod val="15000"/>
            <a:lumOff val="85000"/>
          </a:schemeClr>
        </a:fgClr>
        <a:bgClr>
          <a:schemeClr val="lt1"/>
        </a:bgClr>
      </a:pattFill>
    </cs:spPr>
  </cs:floor>
  <cs:gridlineMajor>
    <cs:lnRef idx="0"/>
    <cs:fillRef idx="0"/>
    <cs:effectRef idx="0"/>
    <cs:fontRef idx="minor">
      <a:schemeClr val="dk1"/>
    </cs:fontRef>
    <cs:spPr>
      <a:ln w="9525" cap="flat" cmpd="sng" algn="ctr">
        <a:solidFill>
          <a:schemeClr val="dk1">
            <a:lumMod val="15000"/>
            <a:lumOff val="85000"/>
            <a:alpha val="54000"/>
          </a:schemeClr>
        </a:solidFill>
        <a:round/>
      </a:ln>
    </cs:spPr>
  </cs:gridlineMajor>
  <cs:gridlineMinor>
    <cs:lnRef idx="0"/>
    <cs:fillRef idx="0"/>
    <cs:effectRef idx="0"/>
    <cs:fontRef idx="minor">
      <a:schemeClr val="dk1"/>
    </cs:fontRef>
    <cs:spPr>
      <a:ln w="9525" cap="flat" cmpd="sng" algn="ctr">
        <a:solidFill>
          <a:schemeClr val="dk1">
            <a:lumMod val="15000"/>
            <a:lumOff val="85000"/>
            <a:alpha val="51000"/>
          </a:schemeClr>
        </a:solidFill>
        <a:round/>
      </a:ln>
    </cs:spPr>
  </cs:gridlineMinor>
  <cs:hiLoLine>
    <cs:lnRef idx="0"/>
    <cs:fillRef idx="0"/>
    <cs:effectRef idx="0"/>
    <cs:fontRef idx="minor">
      <a:schemeClr val="dk1"/>
    </cs:fontRef>
    <cs:spPr>
      <a:ln w="9525" cap="flat" cmpd="sng" algn="ctr">
        <a:solidFill>
          <a:schemeClr val="dk1">
            <a:lumMod val="35000"/>
            <a:lumOff val="65000"/>
          </a:schemeClr>
        </a:solidFill>
        <a:round/>
      </a:ln>
    </cs:spPr>
  </cs:hiLoLine>
  <cs:leaderLine>
    <cs:lnRef idx="0"/>
    <cs:fillRef idx="0"/>
    <cs:effectRef idx="0"/>
    <cs:fontRef idx="minor">
      <a:schemeClr val="dk1"/>
    </cs:fontRef>
    <cs:spPr>
      <a:ln w="9525" cap="flat" cmpd="sng" algn="ctr">
        <a:solidFill>
          <a:schemeClr val="dk1">
            <a:lumMod val="35000"/>
            <a:lumOff val="65000"/>
          </a:schemeClr>
        </a:solidFill>
        <a:round/>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spPr>
      <a:pattFill prst="ltDnDiag">
        <a:fgClr>
          <a:schemeClr val="dk1">
            <a:lumMod val="15000"/>
            <a:lumOff val="85000"/>
          </a:schemeClr>
        </a:fgClr>
        <a:bgClr>
          <a:schemeClr val="lt1"/>
        </a:bgClr>
      </a:pattFill>
    </cs:spPr>
  </cs:plotArea>
  <cs:plotArea3D>
    <cs:lnRef idx="0"/>
    <cs:fillRef idx="0"/>
    <cs:effectRef idx="0"/>
    <cs:fontRef idx="minor">
      <a:schemeClr val="dk1"/>
    </cs:fontRef>
    <cs:spPr>
      <a:solidFill>
        <a:schemeClr val="lt1"/>
      </a:solidFill>
    </cs:spPr>
  </cs:plotArea3D>
  <cs:seriesAxis>
    <cs:lnRef idx="0"/>
    <cs:fillRef idx="0"/>
    <cs:effectRef idx="0"/>
    <cs:fontRef idx="minor">
      <a:schemeClr val="dk1">
        <a:lumMod val="65000"/>
        <a:lumOff val="35000"/>
      </a:schemeClr>
    </cs:fontRef>
    <cs:defRPr sz="900" kern="1200"/>
  </cs:seriesAxis>
  <cs:seriesLine>
    <cs:lnRef idx="0"/>
    <cs:fillRef idx="0"/>
    <cs:effectRef idx="0"/>
    <cs:fontRef idx="minor">
      <a:schemeClr val="dk1"/>
    </cs:fontRef>
    <cs:spPr>
      <a:ln w="9525" cap="flat" cmpd="sng" algn="ctr">
        <a:solidFill>
          <a:schemeClr val="dk1">
            <a:lumMod val="35000"/>
            <a:lumOff val="65000"/>
          </a:schemeClr>
        </a:solidFill>
        <a:round/>
      </a:ln>
    </cs:spPr>
  </cs:seriesLine>
  <cs:title>
    <cs:lnRef idx="0"/>
    <cs:fillRef idx="0"/>
    <cs:effectRef idx="0"/>
    <cs:fontRef idx="major">
      <a:schemeClr val="dk1">
        <a:lumMod val="50000"/>
        <a:lumOff val="50000"/>
      </a:schemeClr>
    </cs:fontRef>
    <cs:defRPr sz="1600" b="1" kern="1200" cap="none" spc="0" normalizeH="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solidFill>
      <a:ln w="9525" cap="flat" cmpd="sng" algn="ctr">
        <a:solidFill>
          <a:schemeClr val="dk1">
            <a:lumMod val="50000"/>
            <a:lumOff val="50000"/>
          </a:schemeClr>
        </a:solidFill>
        <a:round/>
      </a:ln>
    </cs:spPr>
  </cs:upBar>
  <cs:valueAxis>
    <cs:lnRef idx="0"/>
    <cs:fillRef idx="0"/>
    <cs:effectRef idx="0"/>
    <cs:fontRef idx="minor">
      <a:schemeClr val="dk1">
        <a:lumMod val="65000"/>
        <a:lumOff val="35000"/>
      </a:schemeClr>
    </cs:fontRef>
    <cs:defRPr sz="900" kern="1200"/>
  </cs:valueAxis>
  <cs:wall>
    <cs:lnRef idx="0"/>
    <cs:fillRef idx="0"/>
    <cs:effectRef idx="0"/>
    <cs:fontRef idx="minor">
      <a:schemeClr val="dk1"/>
    </cs:fontRef>
    <cs:spPr>
      <a:pattFill prst="ltDnDiag">
        <a:fgClr>
          <a:schemeClr val="dk1">
            <a:lumMod val="15000"/>
            <a:lumOff val="85000"/>
          </a:schemeClr>
        </a:fgClr>
        <a:bgClr>
          <a:schemeClr val="lt1"/>
        </a:bgClr>
      </a:pattFill>
    </cs:spPr>
  </cs:wall>
</cs:chartStyle>
</file>

<file path=xl/charts/style25.xml><?xml version="1.0" encoding="utf-8"?>
<cs:chartStyle xmlns:cs="http://schemas.microsoft.com/office/drawing/2012/chartStyle" xmlns:a="http://schemas.openxmlformats.org/drawingml/2006/main" id="232">
  <cs:axisTitle>
    <cs:lnRef idx="0"/>
    <cs:fillRef idx="0"/>
    <cs:effectRef idx="0"/>
    <cs:fontRef idx="minor">
      <a:schemeClr val="dk1">
        <a:lumMod val="65000"/>
        <a:lumOff val="35000"/>
      </a:schemeClr>
    </cs:fontRef>
    <cs:defRPr sz="900" b="1" kern="1200"/>
  </cs:axisTitle>
  <cs:category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ap="none" spc="0" normalizeH="0" baseline="0"/>
  </cs:categoryAxis>
  <cs:chartArea>
    <cs:lnRef idx="0"/>
    <cs:fillRef idx="0"/>
    <cs:effectRef idx="0"/>
    <cs:fontRef idx="minor">
      <a:schemeClr val="dk1"/>
    </cs:fontRef>
    <cs:spPr>
      <a:solidFill>
        <a:schemeClr val="lt1"/>
      </a:solidFill>
      <a:ln w="9525" cap="flat" cmpd="sng" algn="ctr">
        <a:solidFill>
          <a:schemeClr val="dk1">
            <a:lumMod val="15000"/>
            <a:lumOff val="85000"/>
          </a:schemeClr>
        </a:solidFill>
        <a:round/>
      </a:ln>
    </cs:spPr>
    <cs:defRPr sz="900" kern="1200"/>
  </cs:chartArea>
  <cs:dataLabel>
    <cs:lnRef idx="0"/>
    <cs:fillRef idx="0"/>
    <cs:effectRef idx="0"/>
    <cs:fontRef idx="minor">
      <a:schemeClr val="dk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22225" cap="rnd">
        <a:solidFill>
          <a:schemeClr val="phClr"/>
        </a:solidFill>
        <a:round/>
      </a:ln>
    </cs:spPr>
  </cs:dataPointLine>
  <cs:dataPointMarker>
    <cs:lnRef idx="0">
      <cs:styleClr val="auto"/>
    </cs:lnRef>
    <cs:fillRef idx="0">
      <cs:styleClr val="auto"/>
    </cs:fillRef>
    <cs:effectRef idx="0"/>
    <cs:fontRef idx="minor">
      <a:schemeClr val="dk1"/>
    </cs:fontRef>
    <cs:spPr>
      <a:solidFill>
        <a:schemeClr val="lt1"/>
      </a:solidFill>
      <a:ln w="15875">
        <a:solidFill>
          <a:schemeClr val="phClr"/>
        </a:solidFill>
        <a:round/>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800" kern="1200"/>
  </cs:dataTable>
  <cs:downBar>
    <cs:lnRef idx="0"/>
    <cs:fillRef idx="0"/>
    <cs:effectRef idx="0"/>
    <cs:fontRef idx="minor">
      <a:schemeClr val="dk1"/>
    </cs:fontRef>
    <cs:spPr>
      <a:solidFill>
        <a:schemeClr val="dk1">
          <a:lumMod val="75000"/>
          <a:lumOff val="25000"/>
        </a:schemeClr>
      </a:solidFill>
      <a:ln w="9525" cap="flat" cmpd="sng" algn="ctr">
        <a:solidFill>
          <a:schemeClr val="dk1">
            <a:lumMod val="50000"/>
            <a:lumOff val="50000"/>
          </a:schemeClr>
        </a:solidFill>
        <a:round/>
      </a:ln>
    </cs:spPr>
  </cs:downBar>
  <cs:dropLine>
    <cs:lnRef idx="0"/>
    <cs:fillRef idx="0"/>
    <cs:effectRef idx="0"/>
    <cs:fontRef idx="minor">
      <a:schemeClr val="dk1"/>
    </cs:fontRef>
    <cs:spPr>
      <a:ln w="9525" cap="flat" cmpd="sng" algn="ctr">
        <a:solidFill>
          <a:schemeClr val="dk1">
            <a:lumMod val="35000"/>
            <a:lumOff val="65000"/>
          </a:schemeClr>
        </a:solidFill>
        <a:round/>
      </a:ln>
    </cs:spPr>
  </cs:dropLine>
  <cs:errorBar>
    <cs:lnRef idx="0"/>
    <cs:fillRef idx="0"/>
    <cs:effectRef idx="0"/>
    <cs:fontRef idx="minor">
      <a:schemeClr val="dk1"/>
    </cs:fontRef>
    <cs:spPr>
      <a:ln w="9525" cap="flat" cmpd="sng" algn="ctr">
        <a:solidFill>
          <a:schemeClr val="dk1">
            <a:lumMod val="50000"/>
            <a:lumOff val="50000"/>
          </a:schemeClr>
        </a:solidFill>
        <a:round/>
      </a:ln>
    </cs:spPr>
  </cs:errorBar>
  <cs:floor>
    <cs:lnRef idx="0"/>
    <cs:fillRef idx="0"/>
    <cs:effectRef idx="0"/>
    <cs:fontRef idx="minor">
      <a:schemeClr val="dk1"/>
    </cs:fontRef>
    <cs:spPr>
      <a:pattFill prst="ltDnDiag">
        <a:fgClr>
          <a:schemeClr val="dk1">
            <a:lumMod val="15000"/>
            <a:lumOff val="85000"/>
          </a:schemeClr>
        </a:fgClr>
        <a:bgClr>
          <a:schemeClr val="lt1"/>
        </a:bgClr>
      </a:pattFill>
    </cs:spPr>
  </cs:floor>
  <cs:gridlineMajor>
    <cs:lnRef idx="0"/>
    <cs:fillRef idx="0"/>
    <cs:effectRef idx="0"/>
    <cs:fontRef idx="minor">
      <a:schemeClr val="dk1"/>
    </cs:fontRef>
    <cs:spPr>
      <a:ln w="9525" cap="flat" cmpd="sng" algn="ctr">
        <a:solidFill>
          <a:schemeClr val="dk1">
            <a:lumMod val="15000"/>
            <a:lumOff val="85000"/>
            <a:alpha val="54000"/>
          </a:schemeClr>
        </a:solidFill>
        <a:round/>
      </a:ln>
    </cs:spPr>
  </cs:gridlineMajor>
  <cs:gridlineMinor>
    <cs:lnRef idx="0"/>
    <cs:fillRef idx="0"/>
    <cs:effectRef idx="0"/>
    <cs:fontRef idx="minor">
      <a:schemeClr val="dk1"/>
    </cs:fontRef>
    <cs:spPr>
      <a:ln w="9525" cap="flat" cmpd="sng" algn="ctr">
        <a:solidFill>
          <a:schemeClr val="dk1">
            <a:lumMod val="15000"/>
            <a:lumOff val="85000"/>
            <a:alpha val="51000"/>
          </a:schemeClr>
        </a:solidFill>
        <a:round/>
      </a:ln>
    </cs:spPr>
  </cs:gridlineMinor>
  <cs:hiLoLine>
    <cs:lnRef idx="0"/>
    <cs:fillRef idx="0"/>
    <cs:effectRef idx="0"/>
    <cs:fontRef idx="minor">
      <a:schemeClr val="dk1"/>
    </cs:fontRef>
    <cs:spPr>
      <a:ln w="9525" cap="flat" cmpd="sng" algn="ctr">
        <a:solidFill>
          <a:schemeClr val="dk1">
            <a:lumMod val="35000"/>
            <a:lumOff val="65000"/>
          </a:schemeClr>
        </a:solidFill>
        <a:round/>
      </a:ln>
    </cs:spPr>
  </cs:hiLoLine>
  <cs:leaderLine>
    <cs:lnRef idx="0"/>
    <cs:fillRef idx="0"/>
    <cs:effectRef idx="0"/>
    <cs:fontRef idx="minor">
      <a:schemeClr val="dk1"/>
    </cs:fontRef>
    <cs:spPr>
      <a:ln w="9525" cap="flat" cmpd="sng" algn="ctr">
        <a:solidFill>
          <a:schemeClr val="dk1">
            <a:lumMod val="35000"/>
            <a:lumOff val="65000"/>
          </a:schemeClr>
        </a:solidFill>
        <a:round/>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spPr>
      <a:pattFill prst="ltDnDiag">
        <a:fgClr>
          <a:schemeClr val="dk1">
            <a:lumMod val="15000"/>
            <a:lumOff val="85000"/>
          </a:schemeClr>
        </a:fgClr>
        <a:bgClr>
          <a:schemeClr val="lt1"/>
        </a:bgClr>
      </a:pattFill>
    </cs:spPr>
  </cs:plotArea>
  <cs:plotArea3D>
    <cs:lnRef idx="0"/>
    <cs:fillRef idx="0"/>
    <cs:effectRef idx="0"/>
    <cs:fontRef idx="minor">
      <a:schemeClr val="dk1"/>
    </cs:fontRef>
    <cs:spPr>
      <a:solidFill>
        <a:schemeClr val="lt1"/>
      </a:solidFill>
    </cs:spPr>
  </cs:plotArea3D>
  <cs:seriesAxis>
    <cs:lnRef idx="0"/>
    <cs:fillRef idx="0"/>
    <cs:effectRef idx="0"/>
    <cs:fontRef idx="minor">
      <a:schemeClr val="dk1">
        <a:lumMod val="65000"/>
        <a:lumOff val="35000"/>
      </a:schemeClr>
    </cs:fontRef>
    <cs:defRPr sz="900" kern="1200"/>
  </cs:seriesAxis>
  <cs:seriesLine>
    <cs:lnRef idx="0"/>
    <cs:fillRef idx="0"/>
    <cs:effectRef idx="0"/>
    <cs:fontRef idx="minor">
      <a:schemeClr val="dk1"/>
    </cs:fontRef>
    <cs:spPr>
      <a:ln w="9525" cap="flat" cmpd="sng" algn="ctr">
        <a:solidFill>
          <a:schemeClr val="dk1">
            <a:lumMod val="35000"/>
            <a:lumOff val="65000"/>
          </a:schemeClr>
        </a:solidFill>
        <a:round/>
      </a:ln>
    </cs:spPr>
  </cs:seriesLine>
  <cs:title>
    <cs:lnRef idx="0"/>
    <cs:fillRef idx="0"/>
    <cs:effectRef idx="0"/>
    <cs:fontRef idx="major">
      <a:schemeClr val="dk1">
        <a:lumMod val="50000"/>
        <a:lumOff val="50000"/>
      </a:schemeClr>
    </cs:fontRef>
    <cs:defRPr sz="1600" b="1" kern="1200" cap="none" spc="0" normalizeH="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solidFill>
      <a:ln w="9525" cap="flat" cmpd="sng" algn="ctr">
        <a:solidFill>
          <a:schemeClr val="dk1">
            <a:lumMod val="50000"/>
            <a:lumOff val="50000"/>
          </a:schemeClr>
        </a:solidFill>
        <a:round/>
      </a:ln>
    </cs:spPr>
  </cs:upBar>
  <cs:valueAxis>
    <cs:lnRef idx="0"/>
    <cs:fillRef idx="0"/>
    <cs:effectRef idx="0"/>
    <cs:fontRef idx="minor">
      <a:schemeClr val="dk1">
        <a:lumMod val="65000"/>
        <a:lumOff val="35000"/>
      </a:schemeClr>
    </cs:fontRef>
    <cs:defRPr sz="900" kern="1200"/>
  </cs:valueAxis>
  <cs:wall>
    <cs:lnRef idx="0"/>
    <cs:fillRef idx="0"/>
    <cs:effectRef idx="0"/>
    <cs:fontRef idx="minor">
      <a:schemeClr val="dk1"/>
    </cs:fontRef>
    <cs:spPr>
      <a:pattFill prst="ltDnDiag">
        <a:fgClr>
          <a:schemeClr val="dk1">
            <a:lumMod val="15000"/>
            <a:lumOff val="85000"/>
          </a:schemeClr>
        </a:fgClr>
        <a:bgClr>
          <a:schemeClr val="lt1"/>
        </a:bgClr>
      </a:pattFill>
    </cs:spPr>
  </cs:wall>
</cs:chartStyle>
</file>

<file path=xl/charts/style26.xml><?xml version="1.0" encoding="utf-8"?>
<cs:chartStyle xmlns:cs="http://schemas.microsoft.com/office/drawing/2012/chartStyle" xmlns:a="http://schemas.openxmlformats.org/drawingml/2006/main" id="232">
  <cs:axisTitle>
    <cs:lnRef idx="0"/>
    <cs:fillRef idx="0"/>
    <cs:effectRef idx="0"/>
    <cs:fontRef idx="minor">
      <a:schemeClr val="dk1">
        <a:lumMod val="65000"/>
        <a:lumOff val="35000"/>
      </a:schemeClr>
    </cs:fontRef>
    <cs:defRPr sz="900" b="1" kern="1200"/>
  </cs:axisTitle>
  <cs:category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ap="none" spc="0" normalizeH="0" baseline="0"/>
  </cs:categoryAxis>
  <cs:chartArea>
    <cs:lnRef idx="0"/>
    <cs:fillRef idx="0"/>
    <cs:effectRef idx="0"/>
    <cs:fontRef idx="minor">
      <a:schemeClr val="dk1"/>
    </cs:fontRef>
    <cs:spPr>
      <a:solidFill>
        <a:schemeClr val="lt1"/>
      </a:solidFill>
      <a:ln w="9525" cap="flat" cmpd="sng" algn="ctr">
        <a:solidFill>
          <a:schemeClr val="dk1">
            <a:lumMod val="15000"/>
            <a:lumOff val="85000"/>
          </a:schemeClr>
        </a:solidFill>
        <a:round/>
      </a:ln>
    </cs:spPr>
    <cs:defRPr sz="900" kern="1200"/>
  </cs:chartArea>
  <cs:dataLabel>
    <cs:lnRef idx="0"/>
    <cs:fillRef idx="0"/>
    <cs:effectRef idx="0"/>
    <cs:fontRef idx="minor">
      <a:schemeClr val="dk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22225" cap="rnd">
        <a:solidFill>
          <a:schemeClr val="phClr"/>
        </a:solidFill>
        <a:round/>
      </a:ln>
    </cs:spPr>
  </cs:dataPointLine>
  <cs:dataPointMarker>
    <cs:lnRef idx="0">
      <cs:styleClr val="auto"/>
    </cs:lnRef>
    <cs:fillRef idx="0">
      <cs:styleClr val="auto"/>
    </cs:fillRef>
    <cs:effectRef idx="0"/>
    <cs:fontRef idx="minor">
      <a:schemeClr val="dk1"/>
    </cs:fontRef>
    <cs:spPr>
      <a:solidFill>
        <a:schemeClr val="lt1"/>
      </a:solidFill>
      <a:ln w="15875">
        <a:solidFill>
          <a:schemeClr val="phClr"/>
        </a:solidFill>
        <a:round/>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800" kern="1200"/>
  </cs:dataTable>
  <cs:downBar>
    <cs:lnRef idx="0"/>
    <cs:fillRef idx="0"/>
    <cs:effectRef idx="0"/>
    <cs:fontRef idx="minor">
      <a:schemeClr val="dk1"/>
    </cs:fontRef>
    <cs:spPr>
      <a:solidFill>
        <a:schemeClr val="dk1">
          <a:lumMod val="75000"/>
          <a:lumOff val="25000"/>
        </a:schemeClr>
      </a:solidFill>
      <a:ln w="9525" cap="flat" cmpd="sng" algn="ctr">
        <a:solidFill>
          <a:schemeClr val="dk1">
            <a:lumMod val="50000"/>
            <a:lumOff val="50000"/>
          </a:schemeClr>
        </a:solidFill>
        <a:round/>
      </a:ln>
    </cs:spPr>
  </cs:downBar>
  <cs:dropLine>
    <cs:lnRef idx="0"/>
    <cs:fillRef idx="0"/>
    <cs:effectRef idx="0"/>
    <cs:fontRef idx="minor">
      <a:schemeClr val="dk1"/>
    </cs:fontRef>
    <cs:spPr>
      <a:ln w="9525" cap="flat" cmpd="sng" algn="ctr">
        <a:solidFill>
          <a:schemeClr val="dk1">
            <a:lumMod val="35000"/>
            <a:lumOff val="65000"/>
          </a:schemeClr>
        </a:solidFill>
        <a:round/>
      </a:ln>
    </cs:spPr>
  </cs:dropLine>
  <cs:errorBar>
    <cs:lnRef idx="0"/>
    <cs:fillRef idx="0"/>
    <cs:effectRef idx="0"/>
    <cs:fontRef idx="minor">
      <a:schemeClr val="dk1"/>
    </cs:fontRef>
    <cs:spPr>
      <a:ln w="9525" cap="flat" cmpd="sng" algn="ctr">
        <a:solidFill>
          <a:schemeClr val="dk1">
            <a:lumMod val="50000"/>
            <a:lumOff val="50000"/>
          </a:schemeClr>
        </a:solidFill>
        <a:round/>
      </a:ln>
    </cs:spPr>
  </cs:errorBar>
  <cs:floor>
    <cs:lnRef idx="0"/>
    <cs:fillRef idx="0"/>
    <cs:effectRef idx="0"/>
    <cs:fontRef idx="minor">
      <a:schemeClr val="dk1"/>
    </cs:fontRef>
    <cs:spPr>
      <a:pattFill prst="ltDnDiag">
        <a:fgClr>
          <a:schemeClr val="dk1">
            <a:lumMod val="15000"/>
            <a:lumOff val="85000"/>
          </a:schemeClr>
        </a:fgClr>
        <a:bgClr>
          <a:schemeClr val="lt1"/>
        </a:bgClr>
      </a:pattFill>
    </cs:spPr>
  </cs:floor>
  <cs:gridlineMajor>
    <cs:lnRef idx="0"/>
    <cs:fillRef idx="0"/>
    <cs:effectRef idx="0"/>
    <cs:fontRef idx="minor">
      <a:schemeClr val="dk1"/>
    </cs:fontRef>
    <cs:spPr>
      <a:ln w="9525" cap="flat" cmpd="sng" algn="ctr">
        <a:solidFill>
          <a:schemeClr val="dk1">
            <a:lumMod val="15000"/>
            <a:lumOff val="85000"/>
            <a:alpha val="54000"/>
          </a:schemeClr>
        </a:solidFill>
        <a:round/>
      </a:ln>
    </cs:spPr>
  </cs:gridlineMajor>
  <cs:gridlineMinor>
    <cs:lnRef idx="0"/>
    <cs:fillRef idx="0"/>
    <cs:effectRef idx="0"/>
    <cs:fontRef idx="minor">
      <a:schemeClr val="dk1"/>
    </cs:fontRef>
    <cs:spPr>
      <a:ln w="9525" cap="flat" cmpd="sng" algn="ctr">
        <a:solidFill>
          <a:schemeClr val="dk1">
            <a:lumMod val="15000"/>
            <a:lumOff val="85000"/>
            <a:alpha val="51000"/>
          </a:schemeClr>
        </a:solidFill>
        <a:round/>
      </a:ln>
    </cs:spPr>
  </cs:gridlineMinor>
  <cs:hiLoLine>
    <cs:lnRef idx="0"/>
    <cs:fillRef idx="0"/>
    <cs:effectRef idx="0"/>
    <cs:fontRef idx="minor">
      <a:schemeClr val="dk1"/>
    </cs:fontRef>
    <cs:spPr>
      <a:ln w="9525" cap="flat" cmpd="sng" algn="ctr">
        <a:solidFill>
          <a:schemeClr val="dk1">
            <a:lumMod val="35000"/>
            <a:lumOff val="65000"/>
          </a:schemeClr>
        </a:solidFill>
        <a:round/>
      </a:ln>
    </cs:spPr>
  </cs:hiLoLine>
  <cs:leaderLine>
    <cs:lnRef idx="0"/>
    <cs:fillRef idx="0"/>
    <cs:effectRef idx="0"/>
    <cs:fontRef idx="minor">
      <a:schemeClr val="dk1"/>
    </cs:fontRef>
    <cs:spPr>
      <a:ln w="9525" cap="flat" cmpd="sng" algn="ctr">
        <a:solidFill>
          <a:schemeClr val="dk1">
            <a:lumMod val="35000"/>
            <a:lumOff val="65000"/>
          </a:schemeClr>
        </a:solidFill>
        <a:round/>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spPr>
      <a:pattFill prst="ltDnDiag">
        <a:fgClr>
          <a:schemeClr val="dk1">
            <a:lumMod val="15000"/>
            <a:lumOff val="85000"/>
          </a:schemeClr>
        </a:fgClr>
        <a:bgClr>
          <a:schemeClr val="lt1"/>
        </a:bgClr>
      </a:pattFill>
    </cs:spPr>
  </cs:plotArea>
  <cs:plotArea3D>
    <cs:lnRef idx="0"/>
    <cs:fillRef idx="0"/>
    <cs:effectRef idx="0"/>
    <cs:fontRef idx="minor">
      <a:schemeClr val="dk1"/>
    </cs:fontRef>
    <cs:spPr>
      <a:solidFill>
        <a:schemeClr val="lt1"/>
      </a:solidFill>
    </cs:spPr>
  </cs:plotArea3D>
  <cs:seriesAxis>
    <cs:lnRef idx="0"/>
    <cs:fillRef idx="0"/>
    <cs:effectRef idx="0"/>
    <cs:fontRef idx="minor">
      <a:schemeClr val="dk1">
        <a:lumMod val="65000"/>
        <a:lumOff val="35000"/>
      </a:schemeClr>
    </cs:fontRef>
    <cs:defRPr sz="900" kern="1200"/>
  </cs:seriesAxis>
  <cs:seriesLine>
    <cs:lnRef idx="0"/>
    <cs:fillRef idx="0"/>
    <cs:effectRef idx="0"/>
    <cs:fontRef idx="minor">
      <a:schemeClr val="dk1"/>
    </cs:fontRef>
    <cs:spPr>
      <a:ln w="9525" cap="flat" cmpd="sng" algn="ctr">
        <a:solidFill>
          <a:schemeClr val="dk1">
            <a:lumMod val="35000"/>
            <a:lumOff val="65000"/>
          </a:schemeClr>
        </a:solidFill>
        <a:round/>
      </a:ln>
    </cs:spPr>
  </cs:seriesLine>
  <cs:title>
    <cs:lnRef idx="0"/>
    <cs:fillRef idx="0"/>
    <cs:effectRef idx="0"/>
    <cs:fontRef idx="major">
      <a:schemeClr val="dk1">
        <a:lumMod val="50000"/>
        <a:lumOff val="50000"/>
      </a:schemeClr>
    </cs:fontRef>
    <cs:defRPr sz="1600" b="1" kern="1200" cap="none" spc="0" normalizeH="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solidFill>
      <a:ln w="9525" cap="flat" cmpd="sng" algn="ctr">
        <a:solidFill>
          <a:schemeClr val="dk1">
            <a:lumMod val="50000"/>
            <a:lumOff val="50000"/>
          </a:schemeClr>
        </a:solidFill>
        <a:round/>
      </a:ln>
    </cs:spPr>
  </cs:upBar>
  <cs:valueAxis>
    <cs:lnRef idx="0"/>
    <cs:fillRef idx="0"/>
    <cs:effectRef idx="0"/>
    <cs:fontRef idx="minor">
      <a:schemeClr val="dk1">
        <a:lumMod val="65000"/>
        <a:lumOff val="35000"/>
      </a:schemeClr>
    </cs:fontRef>
    <cs:defRPr sz="900" kern="1200"/>
  </cs:valueAxis>
  <cs:wall>
    <cs:lnRef idx="0"/>
    <cs:fillRef idx="0"/>
    <cs:effectRef idx="0"/>
    <cs:fontRef idx="minor">
      <a:schemeClr val="dk1"/>
    </cs:fontRef>
    <cs:spPr>
      <a:pattFill prst="ltDnDiag">
        <a:fgClr>
          <a:schemeClr val="dk1">
            <a:lumMod val="15000"/>
            <a:lumOff val="85000"/>
          </a:schemeClr>
        </a:fgClr>
        <a:bgClr>
          <a:schemeClr val="lt1"/>
        </a:bgClr>
      </a:pattFill>
    </cs:spPr>
  </cs:wall>
</cs:chartStyle>
</file>

<file path=xl/charts/style27.xml><?xml version="1.0" encoding="utf-8"?>
<cs:chartStyle xmlns:cs="http://schemas.microsoft.com/office/drawing/2012/chartStyle" xmlns:a="http://schemas.openxmlformats.org/drawingml/2006/main" id="232">
  <cs:axisTitle>
    <cs:lnRef idx="0"/>
    <cs:fillRef idx="0"/>
    <cs:effectRef idx="0"/>
    <cs:fontRef idx="minor">
      <a:schemeClr val="dk1">
        <a:lumMod val="65000"/>
        <a:lumOff val="35000"/>
      </a:schemeClr>
    </cs:fontRef>
    <cs:defRPr sz="900" b="1" kern="1200"/>
  </cs:axisTitle>
  <cs:category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ap="none" spc="0" normalizeH="0" baseline="0"/>
  </cs:categoryAxis>
  <cs:chartArea>
    <cs:lnRef idx="0"/>
    <cs:fillRef idx="0"/>
    <cs:effectRef idx="0"/>
    <cs:fontRef idx="minor">
      <a:schemeClr val="dk1"/>
    </cs:fontRef>
    <cs:spPr>
      <a:solidFill>
        <a:schemeClr val="lt1"/>
      </a:solidFill>
      <a:ln w="9525" cap="flat" cmpd="sng" algn="ctr">
        <a:solidFill>
          <a:schemeClr val="dk1">
            <a:lumMod val="15000"/>
            <a:lumOff val="85000"/>
          </a:schemeClr>
        </a:solidFill>
        <a:round/>
      </a:ln>
    </cs:spPr>
    <cs:defRPr sz="900" kern="1200"/>
  </cs:chartArea>
  <cs:dataLabel>
    <cs:lnRef idx="0"/>
    <cs:fillRef idx="0"/>
    <cs:effectRef idx="0"/>
    <cs:fontRef idx="minor">
      <a:schemeClr val="dk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22225" cap="rnd">
        <a:solidFill>
          <a:schemeClr val="phClr"/>
        </a:solidFill>
        <a:round/>
      </a:ln>
    </cs:spPr>
  </cs:dataPointLine>
  <cs:dataPointMarker>
    <cs:lnRef idx="0">
      <cs:styleClr val="auto"/>
    </cs:lnRef>
    <cs:fillRef idx="0">
      <cs:styleClr val="auto"/>
    </cs:fillRef>
    <cs:effectRef idx="0"/>
    <cs:fontRef idx="minor">
      <a:schemeClr val="dk1"/>
    </cs:fontRef>
    <cs:spPr>
      <a:solidFill>
        <a:schemeClr val="lt1"/>
      </a:solidFill>
      <a:ln w="15875">
        <a:solidFill>
          <a:schemeClr val="phClr"/>
        </a:solidFill>
        <a:round/>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800" kern="1200"/>
  </cs:dataTable>
  <cs:downBar>
    <cs:lnRef idx="0"/>
    <cs:fillRef idx="0"/>
    <cs:effectRef idx="0"/>
    <cs:fontRef idx="minor">
      <a:schemeClr val="dk1"/>
    </cs:fontRef>
    <cs:spPr>
      <a:solidFill>
        <a:schemeClr val="dk1">
          <a:lumMod val="75000"/>
          <a:lumOff val="25000"/>
        </a:schemeClr>
      </a:solidFill>
      <a:ln w="9525" cap="flat" cmpd="sng" algn="ctr">
        <a:solidFill>
          <a:schemeClr val="dk1">
            <a:lumMod val="50000"/>
            <a:lumOff val="50000"/>
          </a:schemeClr>
        </a:solidFill>
        <a:round/>
      </a:ln>
    </cs:spPr>
  </cs:downBar>
  <cs:dropLine>
    <cs:lnRef idx="0"/>
    <cs:fillRef idx="0"/>
    <cs:effectRef idx="0"/>
    <cs:fontRef idx="minor">
      <a:schemeClr val="dk1"/>
    </cs:fontRef>
    <cs:spPr>
      <a:ln w="9525" cap="flat" cmpd="sng" algn="ctr">
        <a:solidFill>
          <a:schemeClr val="dk1">
            <a:lumMod val="35000"/>
            <a:lumOff val="65000"/>
          </a:schemeClr>
        </a:solidFill>
        <a:round/>
      </a:ln>
    </cs:spPr>
  </cs:dropLine>
  <cs:errorBar>
    <cs:lnRef idx="0"/>
    <cs:fillRef idx="0"/>
    <cs:effectRef idx="0"/>
    <cs:fontRef idx="minor">
      <a:schemeClr val="dk1"/>
    </cs:fontRef>
    <cs:spPr>
      <a:ln w="9525" cap="flat" cmpd="sng" algn="ctr">
        <a:solidFill>
          <a:schemeClr val="dk1">
            <a:lumMod val="50000"/>
            <a:lumOff val="50000"/>
          </a:schemeClr>
        </a:solidFill>
        <a:round/>
      </a:ln>
    </cs:spPr>
  </cs:errorBar>
  <cs:floor>
    <cs:lnRef idx="0"/>
    <cs:fillRef idx="0"/>
    <cs:effectRef idx="0"/>
    <cs:fontRef idx="minor">
      <a:schemeClr val="dk1"/>
    </cs:fontRef>
    <cs:spPr>
      <a:pattFill prst="ltDnDiag">
        <a:fgClr>
          <a:schemeClr val="dk1">
            <a:lumMod val="15000"/>
            <a:lumOff val="85000"/>
          </a:schemeClr>
        </a:fgClr>
        <a:bgClr>
          <a:schemeClr val="lt1"/>
        </a:bgClr>
      </a:pattFill>
    </cs:spPr>
  </cs:floor>
  <cs:gridlineMajor>
    <cs:lnRef idx="0"/>
    <cs:fillRef idx="0"/>
    <cs:effectRef idx="0"/>
    <cs:fontRef idx="minor">
      <a:schemeClr val="dk1"/>
    </cs:fontRef>
    <cs:spPr>
      <a:ln w="9525" cap="flat" cmpd="sng" algn="ctr">
        <a:solidFill>
          <a:schemeClr val="dk1">
            <a:lumMod val="15000"/>
            <a:lumOff val="85000"/>
            <a:alpha val="54000"/>
          </a:schemeClr>
        </a:solidFill>
        <a:round/>
      </a:ln>
    </cs:spPr>
  </cs:gridlineMajor>
  <cs:gridlineMinor>
    <cs:lnRef idx="0"/>
    <cs:fillRef idx="0"/>
    <cs:effectRef idx="0"/>
    <cs:fontRef idx="minor">
      <a:schemeClr val="dk1"/>
    </cs:fontRef>
    <cs:spPr>
      <a:ln w="9525" cap="flat" cmpd="sng" algn="ctr">
        <a:solidFill>
          <a:schemeClr val="dk1">
            <a:lumMod val="15000"/>
            <a:lumOff val="85000"/>
            <a:alpha val="51000"/>
          </a:schemeClr>
        </a:solidFill>
        <a:round/>
      </a:ln>
    </cs:spPr>
  </cs:gridlineMinor>
  <cs:hiLoLine>
    <cs:lnRef idx="0"/>
    <cs:fillRef idx="0"/>
    <cs:effectRef idx="0"/>
    <cs:fontRef idx="minor">
      <a:schemeClr val="dk1"/>
    </cs:fontRef>
    <cs:spPr>
      <a:ln w="9525" cap="flat" cmpd="sng" algn="ctr">
        <a:solidFill>
          <a:schemeClr val="dk1">
            <a:lumMod val="35000"/>
            <a:lumOff val="65000"/>
          </a:schemeClr>
        </a:solidFill>
        <a:round/>
      </a:ln>
    </cs:spPr>
  </cs:hiLoLine>
  <cs:leaderLine>
    <cs:lnRef idx="0"/>
    <cs:fillRef idx="0"/>
    <cs:effectRef idx="0"/>
    <cs:fontRef idx="minor">
      <a:schemeClr val="dk1"/>
    </cs:fontRef>
    <cs:spPr>
      <a:ln w="9525" cap="flat" cmpd="sng" algn="ctr">
        <a:solidFill>
          <a:schemeClr val="dk1">
            <a:lumMod val="35000"/>
            <a:lumOff val="65000"/>
          </a:schemeClr>
        </a:solidFill>
        <a:round/>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spPr>
      <a:pattFill prst="ltDnDiag">
        <a:fgClr>
          <a:schemeClr val="dk1">
            <a:lumMod val="15000"/>
            <a:lumOff val="85000"/>
          </a:schemeClr>
        </a:fgClr>
        <a:bgClr>
          <a:schemeClr val="lt1"/>
        </a:bgClr>
      </a:pattFill>
    </cs:spPr>
  </cs:plotArea>
  <cs:plotArea3D>
    <cs:lnRef idx="0"/>
    <cs:fillRef idx="0"/>
    <cs:effectRef idx="0"/>
    <cs:fontRef idx="minor">
      <a:schemeClr val="dk1"/>
    </cs:fontRef>
    <cs:spPr>
      <a:solidFill>
        <a:schemeClr val="lt1"/>
      </a:solidFill>
    </cs:spPr>
  </cs:plotArea3D>
  <cs:seriesAxis>
    <cs:lnRef idx="0"/>
    <cs:fillRef idx="0"/>
    <cs:effectRef idx="0"/>
    <cs:fontRef idx="minor">
      <a:schemeClr val="dk1">
        <a:lumMod val="65000"/>
        <a:lumOff val="35000"/>
      </a:schemeClr>
    </cs:fontRef>
    <cs:defRPr sz="900" kern="1200"/>
  </cs:seriesAxis>
  <cs:seriesLine>
    <cs:lnRef idx="0"/>
    <cs:fillRef idx="0"/>
    <cs:effectRef idx="0"/>
    <cs:fontRef idx="minor">
      <a:schemeClr val="dk1"/>
    </cs:fontRef>
    <cs:spPr>
      <a:ln w="9525" cap="flat" cmpd="sng" algn="ctr">
        <a:solidFill>
          <a:schemeClr val="dk1">
            <a:lumMod val="35000"/>
            <a:lumOff val="65000"/>
          </a:schemeClr>
        </a:solidFill>
        <a:round/>
      </a:ln>
    </cs:spPr>
  </cs:seriesLine>
  <cs:title>
    <cs:lnRef idx="0"/>
    <cs:fillRef idx="0"/>
    <cs:effectRef idx="0"/>
    <cs:fontRef idx="major">
      <a:schemeClr val="dk1">
        <a:lumMod val="50000"/>
        <a:lumOff val="50000"/>
      </a:schemeClr>
    </cs:fontRef>
    <cs:defRPr sz="1600" b="1" kern="1200" cap="none" spc="0" normalizeH="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solidFill>
      <a:ln w="9525" cap="flat" cmpd="sng" algn="ctr">
        <a:solidFill>
          <a:schemeClr val="dk1">
            <a:lumMod val="50000"/>
            <a:lumOff val="50000"/>
          </a:schemeClr>
        </a:solidFill>
        <a:round/>
      </a:ln>
    </cs:spPr>
  </cs:upBar>
  <cs:valueAxis>
    <cs:lnRef idx="0"/>
    <cs:fillRef idx="0"/>
    <cs:effectRef idx="0"/>
    <cs:fontRef idx="minor">
      <a:schemeClr val="dk1">
        <a:lumMod val="65000"/>
        <a:lumOff val="35000"/>
      </a:schemeClr>
    </cs:fontRef>
    <cs:defRPr sz="900" kern="1200"/>
  </cs:valueAxis>
  <cs:wall>
    <cs:lnRef idx="0"/>
    <cs:fillRef idx="0"/>
    <cs:effectRef idx="0"/>
    <cs:fontRef idx="minor">
      <a:schemeClr val="dk1"/>
    </cs:fontRef>
    <cs:spPr>
      <a:pattFill prst="ltDnDiag">
        <a:fgClr>
          <a:schemeClr val="dk1">
            <a:lumMod val="15000"/>
            <a:lumOff val="85000"/>
          </a:schemeClr>
        </a:fgClr>
        <a:bgClr>
          <a:schemeClr val="lt1"/>
        </a:bgClr>
      </a:pattFill>
    </cs:spPr>
  </cs:wall>
</cs:chartStyle>
</file>

<file path=xl/charts/style28.xml><?xml version="1.0" encoding="utf-8"?>
<cs:chartStyle xmlns:cs="http://schemas.microsoft.com/office/drawing/2012/chartStyle" xmlns:a="http://schemas.openxmlformats.org/drawingml/2006/main" id="232">
  <cs:axisTitle>
    <cs:lnRef idx="0"/>
    <cs:fillRef idx="0"/>
    <cs:effectRef idx="0"/>
    <cs:fontRef idx="minor">
      <a:schemeClr val="dk1">
        <a:lumMod val="65000"/>
        <a:lumOff val="35000"/>
      </a:schemeClr>
    </cs:fontRef>
    <cs:defRPr sz="900" b="1" kern="1200"/>
  </cs:axisTitle>
  <cs:category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ap="none" spc="0" normalizeH="0" baseline="0"/>
  </cs:categoryAxis>
  <cs:chartArea>
    <cs:lnRef idx="0"/>
    <cs:fillRef idx="0"/>
    <cs:effectRef idx="0"/>
    <cs:fontRef idx="minor">
      <a:schemeClr val="dk1"/>
    </cs:fontRef>
    <cs:spPr>
      <a:solidFill>
        <a:schemeClr val="lt1"/>
      </a:solidFill>
      <a:ln w="9525" cap="flat" cmpd="sng" algn="ctr">
        <a:solidFill>
          <a:schemeClr val="dk1">
            <a:lumMod val="15000"/>
            <a:lumOff val="85000"/>
          </a:schemeClr>
        </a:solidFill>
        <a:round/>
      </a:ln>
    </cs:spPr>
    <cs:defRPr sz="900" kern="1200"/>
  </cs:chartArea>
  <cs:dataLabel>
    <cs:lnRef idx="0"/>
    <cs:fillRef idx="0"/>
    <cs:effectRef idx="0"/>
    <cs:fontRef idx="minor">
      <a:schemeClr val="dk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22225" cap="rnd">
        <a:solidFill>
          <a:schemeClr val="phClr"/>
        </a:solidFill>
        <a:round/>
      </a:ln>
    </cs:spPr>
  </cs:dataPointLine>
  <cs:dataPointMarker>
    <cs:lnRef idx="0">
      <cs:styleClr val="auto"/>
    </cs:lnRef>
    <cs:fillRef idx="0">
      <cs:styleClr val="auto"/>
    </cs:fillRef>
    <cs:effectRef idx="0"/>
    <cs:fontRef idx="minor">
      <a:schemeClr val="dk1"/>
    </cs:fontRef>
    <cs:spPr>
      <a:solidFill>
        <a:schemeClr val="lt1"/>
      </a:solidFill>
      <a:ln w="15875">
        <a:solidFill>
          <a:schemeClr val="phClr"/>
        </a:solidFill>
        <a:round/>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800" kern="1200"/>
  </cs:dataTable>
  <cs:downBar>
    <cs:lnRef idx="0"/>
    <cs:fillRef idx="0"/>
    <cs:effectRef idx="0"/>
    <cs:fontRef idx="minor">
      <a:schemeClr val="dk1"/>
    </cs:fontRef>
    <cs:spPr>
      <a:solidFill>
        <a:schemeClr val="dk1">
          <a:lumMod val="75000"/>
          <a:lumOff val="25000"/>
        </a:schemeClr>
      </a:solidFill>
      <a:ln w="9525" cap="flat" cmpd="sng" algn="ctr">
        <a:solidFill>
          <a:schemeClr val="dk1">
            <a:lumMod val="50000"/>
            <a:lumOff val="50000"/>
          </a:schemeClr>
        </a:solidFill>
        <a:round/>
      </a:ln>
    </cs:spPr>
  </cs:downBar>
  <cs:dropLine>
    <cs:lnRef idx="0"/>
    <cs:fillRef idx="0"/>
    <cs:effectRef idx="0"/>
    <cs:fontRef idx="minor">
      <a:schemeClr val="dk1"/>
    </cs:fontRef>
    <cs:spPr>
      <a:ln w="9525" cap="flat" cmpd="sng" algn="ctr">
        <a:solidFill>
          <a:schemeClr val="dk1">
            <a:lumMod val="35000"/>
            <a:lumOff val="65000"/>
          </a:schemeClr>
        </a:solidFill>
        <a:round/>
      </a:ln>
    </cs:spPr>
  </cs:dropLine>
  <cs:errorBar>
    <cs:lnRef idx="0"/>
    <cs:fillRef idx="0"/>
    <cs:effectRef idx="0"/>
    <cs:fontRef idx="minor">
      <a:schemeClr val="dk1"/>
    </cs:fontRef>
    <cs:spPr>
      <a:ln w="9525" cap="flat" cmpd="sng" algn="ctr">
        <a:solidFill>
          <a:schemeClr val="dk1">
            <a:lumMod val="50000"/>
            <a:lumOff val="50000"/>
          </a:schemeClr>
        </a:solidFill>
        <a:round/>
      </a:ln>
    </cs:spPr>
  </cs:errorBar>
  <cs:floor>
    <cs:lnRef idx="0"/>
    <cs:fillRef idx="0"/>
    <cs:effectRef idx="0"/>
    <cs:fontRef idx="minor">
      <a:schemeClr val="dk1"/>
    </cs:fontRef>
    <cs:spPr>
      <a:pattFill prst="ltDnDiag">
        <a:fgClr>
          <a:schemeClr val="dk1">
            <a:lumMod val="15000"/>
            <a:lumOff val="85000"/>
          </a:schemeClr>
        </a:fgClr>
        <a:bgClr>
          <a:schemeClr val="lt1"/>
        </a:bgClr>
      </a:pattFill>
    </cs:spPr>
  </cs:floor>
  <cs:gridlineMajor>
    <cs:lnRef idx="0"/>
    <cs:fillRef idx="0"/>
    <cs:effectRef idx="0"/>
    <cs:fontRef idx="minor">
      <a:schemeClr val="dk1"/>
    </cs:fontRef>
    <cs:spPr>
      <a:ln w="9525" cap="flat" cmpd="sng" algn="ctr">
        <a:solidFill>
          <a:schemeClr val="dk1">
            <a:lumMod val="15000"/>
            <a:lumOff val="85000"/>
            <a:alpha val="54000"/>
          </a:schemeClr>
        </a:solidFill>
        <a:round/>
      </a:ln>
    </cs:spPr>
  </cs:gridlineMajor>
  <cs:gridlineMinor>
    <cs:lnRef idx="0"/>
    <cs:fillRef idx="0"/>
    <cs:effectRef idx="0"/>
    <cs:fontRef idx="minor">
      <a:schemeClr val="dk1"/>
    </cs:fontRef>
    <cs:spPr>
      <a:ln w="9525" cap="flat" cmpd="sng" algn="ctr">
        <a:solidFill>
          <a:schemeClr val="dk1">
            <a:lumMod val="15000"/>
            <a:lumOff val="85000"/>
            <a:alpha val="51000"/>
          </a:schemeClr>
        </a:solidFill>
        <a:round/>
      </a:ln>
    </cs:spPr>
  </cs:gridlineMinor>
  <cs:hiLoLine>
    <cs:lnRef idx="0"/>
    <cs:fillRef idx="0"/>
    <cs:effectRef idx="0"/>
    <cs:fontRef idx="minor">
      <a:schemeClr val="dk1"/>
    </cs:fontRef>
    <cs:spPr>
      <a:ln w="9525" cap="flat" cmpd="sng" algn="ctr">
        <a:solidFill>
          <a:schemeClr val="dk1">
            <a:lumMod val="35000"/>
            <a:lumOff val="65000"/>
          </a:schemeClr>
        </a:solidFill>
        <a:round/>
      </a:ln>
    </cs:spPr>
  </cs:hiLoLine>
  <cs:leaderLine>
    <cs:lnRef idx="0"/>
    <cs:fillRef idx="0"/>
    <cs:effectRef idx="0"/>
    <cs:fontRef idx="minor">
      <a:schemeClr val="dk1"/>
    </cs:fontRef>
    <cs:spPr>
      <a:ln w="9525" cap="flat" cmpd="sng" algn="ctr">
        <a:solidFill>
          <a:schemeClr val="dk1">
            <a:lumMod val="35000"/>
            <a:lumOff val="65000"/>
          </a:schemeClr>
        </a:solidFill>
        <a:round/>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spPr>
      <a:pattFill prst="ltDnDiag">
        <a:fgClr>
          <a:schemeClr val="dk1">
            <a:lumMod val="15000"/>
            <a:lumOff val="85000"/>
          </a:schemeClr>
        </a:fgClr>
        <a:bgClr>
          <a:schemeClr val="lt1"/>
        </a:bgClr>
      </a:pattFill>
    </cs:spPr>
  </cs:plotArea>
  <cs:plotArea3D>
    <cs:lnRef idx="0"/>
    <cs:fillRef idx="0"/>
    <cs:effectRef idx="0"/>
    <cs:fontRef idx="minor">
      <a:schemeClr val="dk1"/>
    </cs:fontRef>
    <cs:spPr>
      <a:solidFill>
        <a:schemeClr val="lt1"/>
      </a:solidFill>
    </cs:spPr>
  </cs:plotArea3D>
  <cs:seriesAxis>
    <cs:lnRef idx="0"/>
    <cs:fillRef idx="0"/>
    <cs:effectRef idx="0"/>
    <cs:fontRef idx="minor">
      <a:schemeClr val="dk1">
        <a:lumMod val="65000"/>
        <a:lumOff val="35000"/>
      </a:schemeClr>
    </cs:fontRef>
    <cs:defRPr sz="900" kern="1200"/>
  </cs:seriesAxis>
  <cs:seriesLine>
    <cs:lnRef idx="0"/>
    <cs:fillRef idx="0"/>
    <cs:effectRef idx="0"/>
    <cs:fontRef idx="minor">
      <a:schemeClr val="dk1"/>
    </cs:fontRef>
    <cs:spPr>
      <a:ln w="9525" cap="flat" cmpd="sng" algn="ctr">
        <a:solidFill>
          <a:schemeClr val="dk1">
            <a:lumMod val="35000"/>
            <a:lumOff val="65000"/>
          </a:schemeClr>
        </a:solidFill>
        <a:round/>
      </a:ln>
    </cs:spPr>
  </cs:seriesLine>
  <cs:title>
    <cs:lnRef idx="0"/>
    <cs:fillRef idx="0"/>
    <cs:effectRef idx="0"/>
    <cs:fontRef idx="major">
      <a:schemeClr val="dk1">
        <a:lumMod val="50000"/>
        <a:lumOff val="50000"/>
      </a:schemeClr>
    </cs:fontRef>
    <cs:defRPr sz="1600" b="1" kern="1200" cap="none" spc="0" normalizeH="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solidFill>
      <a:ln w="9525" cap="flat" cmpd="sng" algn="ctr">
        <a:solidFill>
          <a:schemeClr val="dk1">
            <a:lumMod val="50000"/>
            <a:lumOff val="50000"/>
          </a:schemeClr>
        </a:solidFill>
        <a:round/>
      </a:ln>
    </cs:spPr>
  </cs:upBar>
  <cs:valueAxis>
    <cs:lnRef idx="0"/>
    <cs:fillRef idx="0"/>
    <cs:effectRef idx="0"/>
    <cs:fontRef idx="minor">
      <a:schemeClr val="dk1">
        <a:lumMod val="65000"/>
        <a:lumOff val="35000"/>
      </a:schemeClr>
    </cs:fontRef>
    <cs:defRPr sz="900" kern="1200"/>
  </cs:valueAxis>
  <cs:wall>
    <cs:lnRef idx="0"/>
    <cs:fillRef idx="0"/>
    <cs:effectRef idx="0"/>
    <cs:fontRef idx="minor">
      <a:schemeClr val="dk1"/>
    </cs:fontRef>
    <cs:spPr>
      <a:pattFill prst="ltDnDiag">
        <a:fgClr>
          <a:schemeClr val="dk1">
            <a:lumMod val="15000"/>
            <a:lumOff val="85000"/>
          </a:schemeClr>
        </a:fgClr>
        <a:bgClr>
          <a:schemeClr val="lt1"/>
        </a:bgClr>
      </a:pattFill>
    </cs:spPr>
  </cs:wall>
</cs:chartStyle>
</file>

<file path=xl/charts/style29.xml><?xml version="1.0" encoding="utf-8"?>
<cs:chartStyle xmlns:cs="http://schemas.microsoft.com/office/drawing/2012/chartStyle" xmlns:a="http://schemas.openxmlformats.org/drawingml/2006/main" id="232">
  <cs:axisTitle>
    <cs:lnRef idx="0"/>
    <cs:fillRef idx="0"/>
    <cs:effectRef idx="0"/>
    <cs:fontRef idx="minor">
      <a:schemeClr val="dk1">
        <a:lumMod val="65000"/>
        <a:lumOff val="35000"/>
      </a:schemeClr>
    </cs:fontRef>
    <cs:defRPr sz="900" b="1" kern="1200"/>
  </cs:axisTitle>
  <cs:category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ap="none" spc="0" normalizeH="0" baseline="0"/>
  </cs:categoryAxis>
  <cs:chartArea>
    <cs:lnRef idx="0"/>
    <cs:fillRef idx="0"/>
    <cs:effectRef idx="0"/>
    <cs:fontRef idx="minor">
      <a:schemeClr val="dk1"/>
    </cs:fontRef>
    <cs:spPr>
      <a:solidFill>
        <a:schemeClr val="lt1"/>
      </a:solidFill>
      <a:ln w="9525" cap="flat" cmpd="sng" algn="ctr">
        <a:solidFill>
          <a:schemeClr val="dk1">
            <a:lumMod val="15000"/>
            <a:lumOff val="85000"/>
          </a:schemeClr>
        </a:solidFill>
        <a:round/>
      </a:ln>
    </cs:spPr>
    <cs:defRPr sz="900" kern="1200"/>
  </cs:chartArea>
  <cs:dataLabel>
    <cs:lnRef idx="0"/>
    <cs:fillRef idx="0"/>
    <cs:effectRef idx="0"/>
    <cs:fontRef idx="minor">
      <a:schemeClr val="dk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22225" cap="rnd">
        <a:solidFill>
          <a:schemeClr val="phClr"/>
        </a:solidFill>
        <a:round/>
      </a:ln>
    </cs:spPr>
  </cs:dataPointLine>
  <cs:dataPointMarker>
    <cs:lnRef idx="0">
      <cs:styleClr val="auto"/>
    </cs:lnRef>
    <cs:fillRef idx="0">
      <cs:styleClr val="auto"/>
    </cs:fillRef>
    <cs:effectRef idx="0"/>
    <cs:fontRef idx="minor">
      <a:schemeClr val="dk1"/>
    </cs:fontRef>
    <cs:spPr>
      <a:solidFill>
        <a:schemeClr val="lt1"/>
      </a:solidFill>
      <a:ln w="15875">
        <a:solidFill>
          <a:schemeClr val="phClr"/>
        </a:solidFill>
        <a:round/>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800" kern="1200"/>
  </cs:dataTable>
  <cs:downBar>
    <cs:lnRef idx="0"/>
    <cs:fillRef idx="0"/>
    <cs:effectRef idx="0"/>
    <cs:fontRef idx="minor">
      <a:schemeClr val="dk1"/>
    </cs:fontRef>
    <cs:spPr>
      <a:solidFill>
        <a:schemeClr val="dk1">
          <a:lumMod val="75000"/>
          <a:lumOff val="25000"/>
        </a:schemeClr>
      </a:solidFill>
      <a:ln w="9525" cap="flat" cmpd="sng" algn="ctr">
        <a:solidFill>
          <a:schemeClr val="dk1">
            <a:lumMod val="50000"/>
            <a:lumOff val="50000"/>
          </a:schemeClr>
        </a:solidFill>
        <a:round/>
      </a:ln>
    </cs:spPr>
  </cs:downBar>
  <cs:dropLine>
    <cs:lnRef idx="0"/>
    <cs:fillRef idx="0"/>
    <cs:effectRef idx="0"/>
    <cs:fontRef idx="minor">
      <a:schemeClr val="dk1"/>
    </cs:fontRef>
    <cs:spPr>
      <a:ln w="9525" cap="flat" cmpd="sng" algn="ctr">
        <a:solidFill>
          <a:schemeClr val="dk1">
            <a:lumMod val="35000"/>
            <a:lumOff val="65000"/>
          </a:schemeClr>
        </a:solidFill>
        <a:round/>
      </a:ln>
    </cs:spPr>
  </cs:dropLine>
  <cs:errorBar>
    <cs:lnRef idx="0"/>
    <cs:fillRef idx="0"/>
    <cs:effectRef idx="0"/>
    <cs:fontRef idx="minor">
      <a:schemeClr val="dk1"/>
    </cs:fontRef>
    <cs:spPr>
      <a:ln w="9525" cap="flat" cmpd="sng" algn="ctr">
        <a:solidFill>
          <a:schemeClr val="dk1">
            <a:lumMod val="50000"/>
            <a:lumOff val="50000"/>
          </a:schemeClr>
        </a:solidFill>
        <a:round/>
      </a:ln>
    </cs:spPr>
  </cs:errorBar>
  <cs:floor>
    <cs:lnRef idx="0"/>
    <cs:fillRef idx="0"/>
    <cs:effectRef idx="0"/>
    <cs:fontRef idx="minor">
      <a:schemeClr val="dk1"/>
    </cs:fontRef>
    <cs:spPr>
      <a:pattFill prst="ltDnDiag">
        <a:fgClr>
          <a:schemeClr val="dk1">
            <a:lumMod val="15000"/>
            <a:lumOff val="85000"/>
          </a:schemeClr>
        </a:fgClr>
        <a:bgClr>
          <a:schemeClr val="lt1"/>
        </a:bgClr>
      </a:pattFill>
    </cs:spPr>
  </cs:floor>
  <cs:gridlineMajor>
    <cs:lnRef idx="0"/>
    <cs:fillRef idx="0"/>
    <cs:effectRef idx="0"/>
    <cs:fontRef idx="minor">
      <a:schemeClr val="dk1"/>
    </cs:fontRef>
    <cs:spPr>
      <a:ln w="9525" cap="flat" cmpd="sng" algn="ctr">
        <a:solidFill>
          <a:schemeClr val="dk1">
            <a:lumMod val="15000"/>
            <a:lumOff val="85000"/>
            <a:alpha val="54000"/>
          </a:schemeClr>
        </a:solidFill>
        <a:round/>
      </a:ln>
    </cs:spPr>
  </cs:gridlineMajor>
  <cs:gridlineMinor>
    <cs:lnRef idx="0"/>
    <cs:fillRef idx="0"/>
    <cs:effectRef idx="0"/>
    <cs:fontRef idx="minor">
      <a:schemeClr val="dk1"/>
    </cs:fontRef>
    <cs:spPr>
      <a:ln w="9525" cap="flat" cmpd="sng" algn="ctr">
        <a:solidFill>
          <a:schemeClr val="dk1">
            <a:lumMod val="15000"/>
            <a:lumOff val="85000"/>
            <a:alpha val="51000"/>
          </a:schemeClr>
        </a:solidFill>
        <a:round/>
      </a:ln>
    </cs:spPr>
  </cs:gridlineMinor>
  <cs:hiLoLine>
    <cs:lnRef idx="0"/>
    <cs:fillRef idx="0"/>
    <cs:effectRef idx="0"/>
    <cs:fontRef idx="minor">
      <a:schemeClr val="dk1"/>
    </cs:fontRef>
    <cs:spPr>
      <a:ln w="9525" cap="flat" cmpd="sng" algn="ctr">
        <a:solidFill>
          <a:schemeClr val="dk1">
            <a:lumMod val="35000"/>
            <a:lumOff val="65000"/>
          </a:schemeClr>
        </a:solidFill>
        <a:round/>
      </a:ln>
    </cs:spPr>
  </cs:hiLoLine>
  <cs:leaderLine>
    <cs:lnRef idx="0"/>
    <cs:fillRef idx="0"/>
    <cs:effectRef idx="0"/>
    <cs:fontRef idx="minor">
      <a:schemeClr val="dk1"/>
    </cs:fontRef>
    <cs:spPr>
      <a:ln w="9525" cap="flat" cmpd="sng" algn="ctr">
        <a:solidFill>
          <a:schemeClr val="dk1">
            <a:lumMod val="35000"/>
            <a:lumOff val="65000"/>
          </a:schemeClr>
        </a:solidFill>
        <a:round/>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spPr>
      <a:pattFill prst="ltDnDiag">
        <a:fgClr>
          <a:schemeClr val="dk1">
            <a:lumMod val="15000"/>
            <a:lumOff val="85000"/>
          </a:schemeClr>
        </a:fgClr>
        <a:bgClr>
          <a:schemeClr val="lt1"/>
        </a:bgClr>
      </a:pattFill>
    </cs:spPr>
  </cs:plotArea>
  <cs:plotArea3D>
    <cs:lnRef idx="0"/>
    <cs:fillRef idx="0"/>
    <cs:effectRef idx="0"/>
    <cs:fontRef idx="minor">
      <a:schemeClr val="dk1"/>
    </cs:fontRef>
    <cs:spPr>
      <a:solidFill>
        <a:schemeClr val="lt1"/>
      </a:solidFill>
    </cs:spPr>
  </cs:plotArea3D>
  <cs:seriesAxis>
    <cs:lnRef idx="0"/>
    <cs:fillRef idx="0"/>
    <cs:effectRef idx="0"/>
    <cs:fontRef idx="minor">
      <a:schemeClr val="dk1">
        <a:lumMod val="65000"/>
        <a:lumOff val="35000"/>
      </a:schemeClr>
    </cs:fontRef>
    <cs:defRPr sz="900" kern="1200"/>
  </cs:seriesAxis>
  <cs:seriesLine>
    <cs:lnRef idx="0"/>
    <cs:fillRef idx="0"/>
    <cs:effectRef idx="0"/>
    <cs:fontRef idx="minor">
      <a:schemeClr val="dk1"/>
    </cs:fontRef>
    <cs:spPr>
      <a:ln w="9525" cap="flat" cmpd="sng" algn="ctr">
        <a:solidFill>
          <a:schemeClr val="dk1">
            <a:lumMod val="35000"/>
            <a:lumOff val="65000"/>
          </a:schemeClr>
        </a:solidFill>
        <a:round/>
      </a:ln>
    </cs:spPr>
  </cs:seriesLine>
  <cs:title>
    <cs:lnRef idx="0"/>
    <cs:fillRef idx="0"/>
    <cs:effectRef idx="0"/>
    <cs:fontRef idx="major">
      <a:schemeClr val="dk1">
        <a:lumMod val="50000"/>
        <a:lumOff val="50000"/>
      </a:schemeClr>
    </cs:fontRef>
    <cs:defRPr sz="1600" b="1" kern="1200" cap="none" spc="0" normalizeH="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solidFill>
      <a:ln w="9525" cap="flat" cmpd="sng" algn="ctr">
        <a:solidFill>
          <a:schemeClr val="dk1">
            <a:lumMod val="50000"/>
            <a:lumOff val="50000"/>
          </a:schemeClr>
        </a:solidFill>
        <a:round/>
      </a:ln>
    </cs:spPr>
  </cs:upBar>
  <cs:valueAxis>
    <cs:lnRef idx="0"/>
    <cs:fillRef idx="0"/>
    <cs:effectRef idx="0"/>
    <cs:fontRef idx="minor">
      <a:schemeClr val="dk1">
        <a:lumMod val="65000"/>
        <a:lumOff val="35000"/>
      </a:schemeClr>
    </cs:fontRef>
    <cs:defRPr sz="900" kern="1200"/>
  </cs:valueAxis>
  <cs:wall>
    <cs:lnRef idx="0"/>
    <cs:fillRef idx="0"/>
    <cs:effectRef idx="0"/>
    <cs:fontRef idx="minor">
      <a:schemeClr val="dk1"/>
    </cs:fontRef>
    <cs:spPr>
      <a:pattFill prst="ltDnDiag">
        <a:fgClr>
          <a:schemeClr val="dk1">
            <a:lumMod val="15000"/>
            <a:lumOff val="85000"/>
          </a:schemeClr>
        </a:fgClr>
        <a:bgClr>
          <a:schemeClr val="lt1"/>
        </a:bgClr>
      </a:pattFill>
    </cs:spPr>
  </cs:wall>
</cs:chartStyle>
</file>

<file path=xl/charts/style30.xml><?xml version="1.0" encoding="utf-8"?>
<cs:chartStyle xmlns:cs="http://schemas.microsoft.com/office/drawing/2012/chartStyle" xmlns:a="http://schemas.openxmlformats.org/drawingml/2006/main" id="232">
  <cs:axisTitle>
    <cs:lnRef idx="0"/>
    <cs:fillRef idx="0"/>
    <cs:effectRef idx="0"/>
    <cs:fontRef idx="minor">
      <a:schemeClr val="dk1">
        <a:lumMod val="65000"/>
        <a:lumOff val="35000"/>
      </a:schemeClr>
    </cs:fontRef>
    <cs:defRPr sz="900" b="1" kern="1200"/>
  </cs:axisTitle>
  <cs:categoryAxis>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900" kern="1200" cap="none" spc="0" normalizeH="0" baseline="0"/>
  </cs:categoryAxis>
  <cs:chartArea>
    <cs:lnRef idx="0"/>
    <cs:fillRef idx="0"/>
    <cs:effectRef idx="0"/>
    <cs:fontRef idx="minor">
      <a:schemeClr val="dk1"/>
    </cs:fontRef>
    <cs:spPr>
      <a:solidFill>
        <a:schemeClr val="lt1"/>
      </a:solidFill>
      <a:ln w="9525" cap="flat" cmpd="sng" algn="ctr">
        <a:solidFill>
          <a:schemeClr val="dk1">
            <a:lumMod val="15000"/>
            <a:lumOff val="85000"/>
          </a:schemeClr>
        </a:solidFill>
        <a:round/>
      </a:ln>
    </cs:spPr>
    <cs:defRPr sz="900" kern="1200"/>
  </cs:chartArea>
  <cs:dataLabel>
    <cs:lnRef idx="0"/>
    <cs:fillRef idx="0"/>
    <cs:effectRef idx="0"/>
    <cs:fontRef idx="minor">
      <a:schemeClr val="dk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22225" cap="rnd">
        <a:solidFill>
          <a:schemeClr val="phClr"/>
        </a:solidFill>
        <a:round/>
      </a:ln>
    </cs:spPr>
  </cs:dataPointLine>
  <cs:dataPointMarker>
    <cs:lnRef idx="0">
      <cs:styleClr val="auto"/>
    </cs:lnRef>
    <cs:fillRef idx="0">
      <cs:styleClr val="auto"/>
    </cs:fillRef>
    <cs:effectRef idx="0"/>
    <cs:fontRef idx="minor">
      <a:schemeClr val="dk1"/>
    </cs:fontRef>
    <cs:spPr>
      <a:solidFill>
        <a:schemeClr val="lt1"/>
      </a:solidFill>
      <a:ln w="15875">
        <a:solidFill>
          <a:schemeClr val="phClr"/>
        </a:solidFill>
        <a:round/>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65000"/>
        <a:lumOff val="35000"/>
      </a:schemeClr>
    </cs:fontRef>
    <cs:spPr>
      <a:ln w="9525" cap="flat" cmpd="sng" algn="ctr">
        <a:solidFill>
          <a:schemeClr val="dk1">
            <a:lumMod val="15000"/>
            <a:lumOff val="85000"/>
          </a:schemeClr>
        </a:solidFill>
        <a:round/>
      </a:ln>
    </cs:spPr>
    <cs:defRPr sz="800" kern="1200"/>
  </cs:dataTable>
  <cs:downBar>
    <cs:lnRef idx="0"/>
    <cs:fillRef idx="0"/>
    <cs:effectRef idx="0"/>
    <cs:fontRef idx="minor">
      <a:schemeClr val="dk1"/>
    </cs:fontRef>
    <cs:spPr>
      <a:solidFill>
        <a:schemeClr val="dk1">
          <a:lumMod val="75000"/>
          <a:lumOff val="25000"/>
        </a:schemeClr>
      </a:solidFill>
      <a:ln w="9525" cap="flat" cmpd="sng" algn="ctr">
        <a:solidFill>
          <a:schemeClr val="dk1">
            <a:lumMod val="50000"/>
            <a:lumOff val="50000"/>
          </a:schemeClr>
        </a:solidFill>
        <a:round/>
      </a:ln>
    </cs:spPr>
  </cs:downBar>
  <cs:dropLine>
    <cs:lnRef idx="0"/>
    <cs:fillRef idx="0"/>
    <cs:effectRef idx="0"/>
    <cs:fontRef idx="minor">
      <a:schemeClr val="dk1"/>
    </cs:fontRef>
    <cs:spPr>
      <a:ln w="9525" cap="flat" cmpd="sng" algn="ctr">
        <a:solidFill>
          <a:schemeClr val="dk1">
            <a:lumMod val="35000"/>
            <a:lumOff val="65000"/>
          </a:schemeClr>
        </a:solidFill>
        <a:round/>
      </a:ln>
    </cs:spPr>
  </cs:dropLine>
  <cs:errorBar>
    <cs:lnRef idx="0"/>
    <cs:fillRef idx="0"/>
    <cs:effectRef idx="0"/>
    <cs:fontRef idx="minor">
      <a:schemeClr val="dk1"/>
    </cs:fontRef>
    <cs:spPr>
      <a:ln w="9525" cap="flat" cmpd="sng" algn="ctr">
        <a:solidFill>
          <a:schemeClr val="dk1">
            <a:lumMod val="50000"/>
            <a:lumOff val="50000"/>
          </a:schemeClr>
        </a:solidFill>
        <a:round/>
      </a:ln>
    </cs:spPr>
  </cs:errorBar>
  <cs:floor>
    <cs:lnRef idx="0"/>
    <cs:fillRef idx="0"/>
    <cs:effectRef idx="0"/>
    <cs:fontRef idx="minor">
      <a:schemeClr val="dk1"/>
    </cs:fontRef>
    <cs:spPr>
      <a:pattFill prst="ltDnDiag">
        <a:fgClr>
          <a:schemeClr val="dk1">
            <a:lumMod val="15000"/>
            <a:lumOff val="85000"/>
          </a:schemeClr>
        </a:fgClr>
        <a:bgClr>
          <a:schemeClr val="lt1"/>
        </a:bgClr>
      </a:pattFill>
    </cs:spPr>
  </cs:floor>
  <cs:gridlineMajor>
    <cs:lnRef idx="0"/>
    <cs:fillRef idx="0"/>
    <cs:effectRef idx="0"/>
    <cs:fontRef idx="minor">
      <a:schemeClr val="dk1"/>
    </cs:fontRef>
    <cs:spPr>
      <a:ln w="9525" cap="flat" cmpd="sng" algn="ctr">
        <a:solidFill>
          <a:schemeClr val="dk1">
            <a:lumMod val="15000"/>
            <a:lumOff val="85000"/>
            <a:alpha val="54000"/>
          </a:schemeClr>
        </a:solidFill>
        <a:round/>
      </a:ln>
    </cs:spPr>
  </cs:gridlineMajor>
  <cs:gridlineMinor>
    <cs:lnRef idx="0"/>
    <cs:fillRef idx="0"/>
    <cs:effectRef idx="0"/>
    <cs:fontRef idx="minor">
      <a:schemeClr val="dk1"/>
    </cs:fontRef>
    <cs:spPr>
      <a:ln w="9525" cap="flat" cmpd="sng" algn="ctr">
        <a:solidFill>
          <a:schemeClr val="dk1">
            <a:lumMod val="15000"/>
            <a:lumOff val="85000"/>
            <a:alpha val="51000"/>
          </a:schemeClr>
        </a:solidFill>
        <a:round/>
      </a:ln>
    </cs:spPr>
  </cs:gridlineMinor>
  <cs:hiLoLine>
    <cs:lnRef idx="0"/>
    <cs:fillRef idx="0"/>
    <cs:effectRef idx="0"/>
    <cs:fontRef idx="minor">
      <a:schemeClr val="dk1"/>
    </cs:fontRef>
    <cs:spPr>
      <a:ln w="9525" cap="flat" cmpd="sng" algn="ctr">
        <a:solidFill>
          <a:schemeClr val="dk1">
            <a:lumMod val="35000"/>
            <a:lumOff val="65000"/>
          </a:schemeClr>
        </a:solidFill>
        <a:round/>
      </a:ln>
    </cs:spPr>
  </cs:hiLoLine>
  <cs:leaderLine>
    <cs:lnRef idx="0"/>
    <cs:fillRef idx="0"/>
    <cs:effectRef idx="0"/>
    <cs:fontRef idx="minor">
      <a:schemeClr val="dk1"/>
    </cs:fontRef>
    <cs:spPr>
      <a:ln w="9525" cap="flat" cmpd="sng" algn="ctr">
        <a:solidFill>
          <a:schemeClr val="dk1">
            <a:lumMod val="35000"/>
            <a:lumOff val="65000"/>
          </a:schemeClr>
        </a:solidFill>
        <a:round/>
      </a:ln>
    </cs:spPr>
  </cs:leaderLine>
  <cs:legend>
    <cs:lnRef idx="0"/>
    <cs:fillRef idx="0"/>
    <cs:effectRef idx="0"/>
    <cs:fontRef idx="minor">
      <a:schemeClr val="dk1">
        <a:lumMod val="65000"/>
        <a:lumOff val="35000"/>
      </a:schemeClr>
    </cs:fontRef>
    <cs:defRPr sz="900" kern="1200"/>
  </cs:legend>
  <cs:plotArea>
    <cs:lnRef idx="0"/>
    <cs:fillRef idx="0"/>
    <cs:effectRef idx="0"/>
    <cs:fontRef idx="minor">
      <a:schemeClr val="dk1"/>
    </cs:fontRef>
    <cs:spPr>
      <a:pattFill prst="ltDnDiag">
        <a:fgClr>
          <a:schemeClr val="dk1">
            <a:lumMod val="15000"/>
            <a:lumOff val="85000"/>
          </a:schemeClr>
        </a:fgClr>
        <a:bgClr>
          <a:schemeClr val="lt1"/>
        </a:bgClr>
      </a:pattFill>
    </cs:spPr>
  </cs:plotArea>
  <cs:plotArea3D>
    <cs:lnRef idx="0"/>
    <cs:fillRef idx="0"/>
    <cs:effectRef idx="0"/>
    <cs:fontRef idx="minor">
      <a:schemeClr val="dk1"/>
    </cs:fontRef>
    <cs:spPr>
      <a:solidFill>
        <a:schemeClr val="lt1"/>
      </a:solidFill>
    </cs:spPr>
  </cs:plotArea3D>
  <cs:seriesAxis>
    <cs:lnRef idx="0"/>
    <cs:fillRef idx="0"/>
    <cs:effectRef idx="0"/>
    <cs:fontRef idx="minor">
      <a:schemeClr val="dk1">
        <a:lumMod val="65000"/>
        <a:lumOff val="35000"/>
      </a:schemeClr>
    </cs:fontRef>
    <cs:defRPr sz="900" kern="1200"/>
  </cs:seriesAxis>
  <cs:seriesLine>
    <cs:lnRef idx="0"/>
    <cs:fillRef idx="0"/>
    <cs:effectRef idx="0"/>
    <cs:fontRef idx="minor">
      <a:schemeClr val="dk1"/>
    </cs:fontRef>
    <cs:spPr>
      <a:ln w="9525" cap="flat" cmpd="sng" algn="ctr">
        <a:solidFill>
          <a:schemeClr val="dk1">
            <a:lumMod val="35000"/>
            <a:lumOff val="65000"/>
          </a:schemeClr>
        </a:solidFill>
        <a:round/>
      </a:ln>
    </cs:spPr>
  </cs:seriesLine>
  <cs:title>
    <cs:lnRef idx="0"/>
    <cs:fillRef idx="0"/>
    <cs:effectRef idx="0"/>
    <cs:fontRef idx="major">
      <a:schemeClr val="dk1">
        <a:lumMod val="50000"/>
        <a:lumOff val="50000"/>
      </a:schemeClr>
    </cs:fontRef>
    <cs:defRPr sz="1600" b="1" kern="1200" cap="none" spc="0" normalizeH="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65000"/>
        <a:lumOff val="35000"/>
      </a:schemeClr>
    </cs:fontRef>
    <cs:defRPr sz="900" kern="1200"/>
  </cs:trendlineLabel>
  <cs:upBar>
    <cs:lnRef idx="0"/>
    <cs:fillRef idx="0"/>
    <cs:effectRef idx="0"/>
    <cs:fontRef idx="minor">
      <a:schemeClr val="dk1"/>
    </cs:fontRef>
    <cs:spPr>
      <a:solidFill>
        <a:schemeClr val="lt1"/>
      </a:solidFill>
      <a:ln w="9525" cap="flat" cmpd="sng" algn="ctr">
        <a:solidFill>
          <a:schemeClr val="dk1">
            <a:lumMod val="50000"/>
            <a:lumOff val="50000"/>
          </a:schemeClr>
        </a:solidFill>
        <a:round/>
      </a:ln>
    </cs:spPr>
  </cs:upBar>
  <cs:valueAxis>
    <cs:lnRef idx="0"/>
    <cs:fillRef idx="0"/>
    <cs:effectRef idx="0"/>
    <cs:fontRef idx="minor">
      <a:schemeClr val="dk1">
        <a:lumMod val="65000"/>
        <a:lumOff val="35000"/>
      </a:schemeClr>
    </cs:fontRef>
    <cs:defRPr sz="900" kern="1200"/>
  </cs:valueAxis>
  <cs:wall>
    <cs:lnRef idx="0"/>
    <cs:fillRef idx="0"/>
    <cs:effectRef idx="0"/>
    <cs:fontRef idx="minor">
      <a:schemeClr val="dk1"/>
    </cs:fontRef>
    <cs:spPr>
      <a:pattFill prst="ltDnDiag">
        <a:fgClr>
          <a:schemeClr val="dk1">
            <a:lumMod val="15000"/>
            <a:lumOff val="85000"/>
          </a:schemeClr>
        </a:fgClr>
        <a:bgClr>
          <a:schemeClr val="lt1"/>
        </a:bgClr>
      </a:pattFill>
    </cs:spPr>
  </cs:wall>
</cs:chartStyle>
</file>

<file path=xl/charts/style31.xml><?xml version="1.0" encoding="utf-8"?>
<cs:chartStyle xmlns:cs="http://schemas.microsoft.com/office/drawing/2012/chartStyle" xmlns:a="http://schemas.openxmlformats.org/drawingml/2006/main" id="28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2.xml><?xml version="1.0" encoding="utf-8"?>
<cs:chartStyle xmlns:cs="http://schemas.microsoft.com/office/drawing/2012/chartStyle" xmlns:a="http://schemas.openxmlformats.org/drawingml/2006/main" id="28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3.xml><?xml version="1.0" encoding="utf-8"?>
<cs:chartStyle xmlns:cs="http://schemas.microsoft.com/office/drawing/2012/chartStyle" xmlns:a="http://schemas.openxmlformats.org/drawingml/2006/main" id="28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4.xml><?xml version="1.0" encoding="utf-8"?>
<cs:chartStyle xmlns:cs="http://schemas.microsoft.com/office/drawing/2012/chartStyle" xmlns:a="http://schemas.openxmlformats.org/drawingml/2006/main" id="28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5.xml><?xml version="1.0" encoding="utf-8"?>
<cs:chartStyle xmlns:cs="http://schemas.microsoft.com/office/drawing/2012/chartStyle" xmlns:a="http://schemas.openxmlformats.org/drawingml/2006/main" id="28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6.xml><?xml version="1.0" encoding="utf-8"?>
<cs:chartStyle xmlns:cs="http://schemas.microsoft.com/office/drawing/2012/chartStyle" xmlns:a="http://schemas.openxmlformats.org/drawingml/2006/main" id="28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7.xml><?xml version="1.0" encoding="utf-8"?>
<cs:chartStyle xmlns:cs="http://schemas.microsoft.com/office/drawing/2012/chartStyle" xmlns:a="http://schemas.openxmlformats.org/drawingml/2006/main" id="28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8.xml><?xml version="1.0" encoding="utf-8"?>
<cs:chartStyle xmlns:cs="http://schemas.microsoft.com/office/drawing/2012/chartStyle" xmlns:a="http://schemas.openxmlformats.org/drawingml/2006/main" id="28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9.xml><?xml version="1.0" encoding="utf-8"?>
<cs:chartStyle xmlns:cs="http://schemas.microsoft.com/office/drawing/2012/chartStyle" xmlns:a="http://schemas.openxmlformats.org/drawingml/2006/main" id="28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0.xml><?xml version="1.0" encoding="utf-8"?>
<cs:chartStyle xmlns:cs="http://schemas.microsoft.com/office/drawing/2012/chartStyle" xmlns:a="http://schemas.openxmlformats.org/drawingml/2006/main" id="28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1.xml><?xml version="1.0" encoding="utf-8"?>
<cs:chartStyle xmlns:cs="http://schemas.microsoft.com/office/drawing/2012/chartStyle" xmlns:a="http://schemas.openxmlformats.org/drawingml/2006/main" id="28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2.xml><?xml version="1.0" encoding="utf-8"?>
<cs:chartStyle xmlns:cs="http://schemas.microsoft.com/office/drawing/2012/chartStyle" xmlns:a="http://schemas.openxmlformats.org/drawingml/2006/main" id="28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3.xml><?xml version="1.0" encoding="utf-8"?>
<cs:chartStyle xmlns:cs="http://schemas.microsoft.com/office/drawing/2012/chartStyle" xmlns:a="http://schemas.openxmlformats.org/drawingml/2006/main" id="28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4.xml><?xml version="1.0" encoding="utf-8"?>
<cs:chartStyle xmlns:cs="http://schemas.microsoft.com/office/drawing/2012/chartStyle" xmlns:a="http://schemas.openxmlformats.org/drawingml/2006/main" id="28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5.xml><?xml version="1.0" encoding="utf-8"?>
<cs:chartStyle xmlns:cs="http://schemas.microsoft.com/office/drawing/2012/chartStyle" xmlns:a="http://schemas.openxmlformats.org/drawingml/2006/main" id="28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6.xml><?xml version="1.0" encoding="utf-8"?>
<cs:chartStyle xmlns:cs="http://schemas.microsoft.com/office/drawing/2012/chartStyle" xmlns:a="http://schemas.openxmlformats.org/drawingml/2006/main" id="28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7.xml><?xml version="1.0" encoding="utf-8"?>
<cs:chartStyle xmlns:cs="http://schemas.microsoft.com/office/drawing/2012/chartStyle" xmlns:a="http://schemas.openxmlformats.org/drawingml/2006/main" id="28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8.xml><?xml version="1.0" encoding="utf-8"?>
<cs:chartStyle xmlns:cs="http://schemas.microsoft.com/office/drawing/2012/chartStyle" xmlns:a="http://schemas.openxmlformats.org/drawingml/2006/main" id="28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9.xml><?xml version="1.0" encoding="utf-8"?>
<cs:chartStyle xmlns:cs="http://schemas.microsoft.com/office/drawing/2012/chartStyle" xmlns:a="http://schemas.openxmlformats.org/drawingml/2006/main" id="28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0.xml><?xml version="1.0" encoding="utf-8"?>
<cs:chartStyle xmlns:cs="http://schemas.microsoft.com/office/drawing/2012/chartStyle" xmlns:a="http://schemas.openxmlformats.org/drawingml/2006/main" id="28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1.xml><?xml version="1.0" encoding="utf-8"?>
<cs:chartStyle xmlns:cs="http://schemas.microsoft.com/office/drawing/2012/chartStyle" xmlns:a="http://schemas.openxmlformats.org/drawingml/2006/main" id="347">
  <cs:axisTitle>
    <cs:lnRef idx="0"/>
    <cs:fillRef idx="0"/>
    <cs:effectRef idx="0"/>
    <cs:fontRef idx="minor">
      <a:schemeClr val="tx1">
        <a:lumMod val="65000"/>
        <a:lumOff val="35000"/>
      </a:schemeClr>
    </cs:fontRef>
    <cs:defRPr sz="900" kern="1200"/>
  </cs:axisTitle>
  <cs:categoryAxis>
    <cs:lnRef idx="0"/>
    <cs:fillRef idx="0"/>
    <cs:effectRef idx="0"/>
    <cs:fontRef idx="minor">
      <a:schemeClr val="tx1">
        <a:lumMod val="65000"/>
        <a:lumOff val="35000"/>
      </a:schemeClr>
    </cs:fontRef>
    <cs:spPr>
      <a:ln w="12700"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lt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tx1">
        <a:lumMod val="65000"/>
        <a:lumOff val="35000"/>
      </a:schemeClr>
    </cs:fontRef>
    <cs:spPr>
      <a:ln w="12700" cap="flat" cmpd="sng" algn="ctr">
        <a:solidFill>
          <a:schemeClr val="tx1">
            <a:lumMod val="15000"/>
            <a:lumOff val="85000"/>
          </a:schemeClr>
        </a:solidFill>
        <a:round/>
      </a:ln>
    </cs:spPr>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600" b="1" kern="1200" baseline="0"/>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lt1"/>
    </cs:fontRef>
  </cs:wall>
</cs:chartStyle>
</file>

<file path=xl/charts/style52.xml><?xml version="1.0" encoding="utf-8"?>
<cs:chartStyle xmlns:cs="http://schemas.microsoft.com/office/drawing/2012/chartStyle" xmlns:a="http://schemas.openxmlformats.org/drawingml/2006/main" id="347">
  <cs:axisTitle>
    <cs:lnRef idx="0"/>
    <cs:fillRef idx="0"/>
    <cs:effectRef idx="0"/>
    <cs:fontRef idx="minor">
      <a:schemeClr val="tx1">
        <a:lumMod val="65000"/>
        <a:lumOff val="35000"/>
      </a:schemeClr>
    </cs:fontRef>
    <cs:defRPr sz="900" kern="1200"/>
  </cs:axisTitle>
  <cs:categoryAxis>
    <cs:lnRef idx="0"/>
    <cs:fillRef idx="0"/>
    <cs:effectRef idx="0"/>
    <cs:fontRef idx="minor">
      <a:schemeClr val="tx1">
        <a:lumMod val="65000"/>
        <a:lumOff val="35000"/>
      </a:schemeClr>
    </cs:fontRef>
    <cs:spPr>
      <a:ln w="12700"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lt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tx1">
        <a:lumMod val="65000"/>
        <a:lumOff val="35000"/>
      </a:schemeClr>
    </cs:fontRef>
    <cs:spPr>
      <a:ln w="12700" cap="flat" cmpd="sng" algn="ctr">
        <a:solidFill>
          <a:schemeClr val="tx1">
            <a:lumMod val="15000"/>
            <a:lumOff val="85000"/>
          </a:schemeClr>
        </a:solidFill>
        <a:round/>
      </a:ln>
    </cs:spPr>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600" b="1" kern="1200" baseline="0"/>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lt1"/>
    </cs:fontRef>
  </cs:wall>
</cs:chartStyle>
</file>

<file path=xl/charts/style53.xml><?xml version="1.0" encoding="utf-8"?>
<cs:chartStyle xmlns:cs="http://schemas.microsoft.com/office/drawing/2012/chartStyle" xmlns:a="http://schemas.openxmlformats.org/drawingml/2006/main" id="347">
  <cs:axisTitle>
    <cs:lnRef idx="0"/>
    <cs:fillRef idx="0"/>
    <cs:effectRef idx="0"/>
    <cs:fontRef idx="minor">
      <a:schemeClr val="tx1">
        <a:lumMod val="65000"/>
        <a:lumOff val="35000"/>
      </a:schemeClr>
    </cs:fontRef>
    <cs:defRPr sz="900" kern="1200"/>
  </cs:axisTitle>
  <cs:categoryAxis>
    <cs:lnRef idx="0"/>
    <cs:fillRef idx="0"/>
    <cs:effectRef idx="0"/>
    <cs:fontRef idx="minor">
      <a:schemeClr val="tx1">
        <a:lumMod val="65000"/>
        <a:lumOff val="35000"/>
      </a:schemeClr>
    </cs:fontRef>
    <cs:spPr>
      <a:ln w="12700"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lt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tx1">
        <a:lumMod val="65000"/>
        <a:lumOff val="35000"/>
      </a:schemeClr>
    </cs:fontRef>
    <cs:spPr>
      <a:ln w="12700" cap="flat" cmpd="sng" algn="ctr">
        <a:solidFill>
          <a:schemeClr val="tx1">
            <a:lumMod val="15000"/>
            <a:lumOff val="85000"/>
          </a:schemeClr>
        </a:solidFill>
        <a:round/>
      </a:ln>
    </cs:spPr>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600" b="1" kern="1200" baseline="0"/>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lt1"/>
    </cs:fontRef>
  </cs:wall>
</cs:chartStyle>
</file>

<file path=xl/charts/style54.xml><?xml version="1.0" encoding="utf-8"?>
<cs:chartStyle xmlns:cs="http://schemas.microsoft.com/office/drawing/2012/chartStyle" xmlns:a="http://schemas.openxmlformats.org/drawingml/2006/main" id="347">
  <cs:axisTitle>
    <cs:lnRef idx="0"/>
    <cs:fillRef idx="0"/>
    <cs:effectRef idx="0"/>
    <cs:fontRef idx="minor">
      <a:schemeClr val="tx1">
        <a:lumMod val="65000"/>
        <a:lumOff val="35000"/>
      </a:schemeClr>
    </cs:fontRef>
    <cs:defRPr sz="900" kern="1200"/>
  </cs:axisTitle>
  <cs:categoryAxis>
    <cs:lnRef idx="0"/>
    <cs:fillRef idx="0"/>
    <cs:effectRef idx="0"/>
    <cs:fontRef idx="minor">
      <a:schemeClr val="tx1">
        <a:lumMod val="65000"/>
        <a:lumOff val="35000"/>
      </a:schemeClr>
    </cs:fontRef>
    <cs:spPr>
      <a:ln w="12700"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lt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tx1">
        <a:lumMod val="65000"/>
        <a:lumOff val="35000"/>
      </a:schemeClr>
    </cs:fontRef>
    <cs:spPr>
      <a:ln w="12700" cap="flat" cmpd="sng" algn="ctr">
        <a:solidFill>
          <a:schemeClr val="tx1">
            <a:lumMod val="15000"/>
            <a:lumOff val="85000"/>
          </a:schemeClr>
        </a:solidFill>
        <a:round/>
      </a:ln>
    </cs:spPr>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600" b="1" kern="1200" baseline="0"/>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lt1"/>
    </cs:fontRef>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4" Type="http://schemas.openxmlformats.org/officeDocument/2006/relationships/chart" Target="../charts/chart4.xml"/></Relationships>
</file>

<file path=xl/drawings/_rels/drawing2.xml.rels><?xml version="1.0" encoding="UTF-8" standalone="yes"?>
<Relationships xmlns="http://schemas.openxmlformats.org/package/2006/relationships"><Relationship Id="rId3" Type="http://schemas.openxmlformats.org/officeDocument/2006/relationships/chart" Target="../charts/chart7.xml"/><Relationship Id="rId2" Type="http://schemas.openxmlformats.org/officeDocument/2006/relationships/chart" Target="../charts/chart6.xml"/><Relationship Id="rId1" Type="http://schemas.openxmlformats.org/officeDocument/2006/relationships/chart" Target="../charts/chart5.xml"/><Relationship Id="rId4" Type="http://schemas.openxmlformats.org/officeDocument/2006/relationships/chart" Target="../charts/chart8.xml"/></Relationships>
</file>

<file path=xl/drawings/_rels/drawing3.xml.rels><?xml version="1.0" encoding="UTF-8" standalone="yes"?>
<Relationships xmlns="http://schemas.openxmlformats.org/package/2006/relationships"><Relationship Id="rId1" Type="http://schemas.openxmlformats.org/officeDocument/2006/relationships/chart" Target="../charts/chart9.xml"/></Relationships>
</file>

<file path=xl/drawings/_rels/drawing4.xml.rels><?xml version="1.0" encoding="UTF-8" standalone="yes"?>
<Relationships xmlns="http://schemas.openxmlformats.org/package/2006/relationships"><Relationship Id="rId3" Type="http://schemas.openxmlformats.org/officeDocument/2006/relationships/chart" Target="../charts/chart12.xml"/><Relationship Id="rId2" Type="http://schemas.openxmlformats.org/officeDocument/2006/relationships/chart" Target="../charts/chart11.xml"/><Relationship Id="rId1" Type="http://schemas.openxmlformats.org/officeDocument/2006/relationships/chart" Target="../charts/chart10.xml"/></Relationships>
</file>

<file path=xl/drawings/_rels/drawing5.xml.rels><?xml version="1.0" encoding="UTF-8" standalone="yes"?>
<Relationships xmlns="http://schemas.openxmlformats.org/package/2006/relationships"><Relationship Id="rId3" Type="http://schemas.openxmlformats.org/officeDocument/2006/relationships/chart" Target="../charts/chart15.xml"/><Relationship Id="rId2" Type="http://schemas.openxmlformats.org/officeDocument/2006/relationships/chart" Target="../charts/chart14.xml"/><Relationship Id="rId1" Type="http://schemas.openxmlformats.org/officeDocument/2006/relationships/chart" Target="../charts/chart13.xml"/><Relationship Id="rId4" Type="http://schemas.openxmlformats.org/officeDocument/2006/relationships/chart" Target="../charts/chart16.xml"/></Relationships>
</file>

<file path=xl/drawings/_rels/drawing6.xml.rels><?xml version="1.0" encoding="UTF-8" standalone="yes"?>
<Relationships xmlns="http://schemas.openxmlformats.org/package/2006/relationships"><Relationship Id="rId3" Type="http://schemas.openxmlformats.org/officeDocument/2006/relationships/chart" Target="../charts/chart19.xml"/><Relationship Id="rId2" Type="http://schemas.openxmlformats.org/officeDocument/2006/relationships/chart" Target="../charts/chart18.xml"/><Relationship Id="rId1" Type="http://schemas.openxmlformats.org/officeDocument/2006/relationships/chart" Target="../charts/chart17.xml"/><Relationship Id="rId5" Type="http://schemas.openxmlformats.org/officeDocument/2006/relationships/chart" Target="../charts/chart21.xml"/><Relationship Id="rId4" Type="http://schemas.openxmlformats.org/officeDocument/2006/relationships/chart" Target="../charts/chart20.xml"/></Relationships>
</file>

<file path=xl/drawings/_rels/drawing7.xml.rels><?xml version="1.0" encoding="UTF-8" standalone="yes"?>
<Relationships xmlns="http://schemas.openxmlformats.org/package/2006/relationships"><Relationship Id="rId8" Type="http://schemas.openxmlformats.org/officeDocument/2006/relationships/chart" Target="../charts/chart29.xml"/><Relationship Id="rId3" Type="http://schemas.openxmlformats.org/officeDocument/2006/relationships/chart" Target="../charts/chart24.xml"/><Relationship Id="rId7" Type="http://schemas.openxmlformats.org/officeDocument/2006/relationships/chart" Target="../charts/chart28.xml"/><Relationship Id="rId2" Type="http://schemas.openxmlformats.org/officeDocument/2006/relationships/chart" Target="../charts/chart23.xml"/><Relationship Id="rId1" Type="http://schemas.openxmlformats.org/officeDocument/2006/relationships/chart" Target="../charts/chart22.xml"/><Relationship Id="rId6" Type="http://schemas.openxmlformats.org/officeDocument/2006/relationships/chart" Target="../charts/chart27.xml"/><Relationship Id="rId5" Type="http://schemas.openxmlformats.org/officeDocument/2006/relationships/chart" Target="../charts/chart26.xml"/><Relationship Id="rId4" Type="http://schemas.openxmlformats.org/officeDocument/2006/relationships/chart" Target="../charts/chart25.xml"/><Relationship Id="rId9" Type="http://schemas.openxmlformats.org/officeDocument/2006/relationships/chart" Target="../charts/chart30.xml"/></Relationships>
</file>

<file path=xl/drawings/_rels/drawing8.xml.rels><?xml version="1.0" encoding="UTF-8" standalone="yes"?>
<Relationships xmlns="http://schemas.openxmlformats.org/package/2006/relationships"><Relationship Id="rId13" Type="http://schemas.openxmlformats.org/officeDocument/2006/relationships/chart" Target="../charts/chart43.xml"/><Relationship Id="rId18" Type="http://schemas.openxmlformats.org/officeDocument/2006/relationships/chart" Target="../charts/chart48.xml"/><Relationship Id="rId26" Type="http://schemas.openxmlformats.org/officeDocument/2006/relationships/chart" Target="../charts/chart56.xml"/><Relationship Id="rId39" Type="http://schemas.openxmlformats.org/officeDocument/2006/relationships/chart" Target="../charts/chart69.xml"/><Relationship Id="rId21" Type="http://schemas.openxmlformats.org/officeDocument/2006/relationships/chart" Target="../charts/chart51.xml"/><Relationship Id="rId34" Type="http://schemas.openxmlformats.org/officeDocument/2006/relationships/chart" Target="../charts/chart64.xml"/><Relationship Id="rId42" Type="http://schemas.openxmlformats.org/officeDocument/2006/relationships/chart" Target="../charts/chart72.xml"/><Relationship Id="rId47" Type="http://schemas.openxmlformats.org/officeDocument/2006/relationships/chart" Target="../charts/chart77.xml"/><Relationship Id="rId7" Type="http://schemas.openxmlformats.org/officeDocument/2006/relationships/chart" Target="../charts/chart37.xml"/><Relationship Id="rId2" Type="http://schemas.openxmlformats.org/officeDocument/2006/relationships/chart" Target="../charts/chart32.xml"/><Relationship Id="rId16" Type="http://schemas.openxmlformats.org/officeDocument/2006/relationships/chart" Target="../charts/chart46.xml"/><Relationship Id="rId29" Type="http://schemas.openxmlformats.org/officeDocument/2006/relationships/chart" Target="../charts/chart59.xml"/><Relationship Id="rId11" Type="http://schemas.openxmlformats.org/officeDocument/2006/relationships/chart" Target="../charts/chart41.xml"/><Relationship Id="rId24" Type="http://schemas.openxmlformats.org/officeDocument/2006/relationships/chart" Target="../charts/chart54.xml"/><Relationship Id="rId32" Type="http://schemas.openxmlformats.org/officeDocument/2006/relationships/chart" Target="../charts/chart62.xml"/><Relationship Id="rId37" Type="http://schemas.openxmlformats.org/officeDocument/2006/relationships/chart" Target="../charts/chart67.xml"/><Relationship Id="rId40" Type="http://schemas.openxmlformats.org/officeDocument/2006/relationships/chart" Target="../charts/chart70.xml"/><Relationship Id="rId45" Type="http://schemas.openxmlformats.org/officeDocument/2006/relationships/chart" Target="../charts/chart75.xml"/><Relationship Id="rId5" Type="http://schemas.openxmlformats.org/officeDocument/2006/relationships/chart" Target="../charts/chart35.xml"/><Relationship Id="rId15" Type="http://schemas.openxmlformats.org/officeDocument/2006/relationships/chart" Target="../charts/chart45.xml"/><Relationship Id="rId23" Type="http://schemas.openxmlformats.org/officeDocument/2006/relationships/chart" Target="../charts/chart53.xml"/><Relationship Id="rId28" Type="http://schemas.openxmlformats.org/officeDocument/2006/relationships/chart" Target="../charts/chart58.xml"/><Relationship Id="rId36" Type="http://schemas.openxmlformats.org/officeDocument/2006/relationships/chart" Target="../charts/chart66.xml"/><Relationship Id="rId49" Type="http://schemas.openxmlformats.org/officeDocument/2006/relationships/chart" Target="../charts/chart79.xml"/><Relationship Id="rId10" Type="http://schemas.openxmlformats.org/officeDocument/2006/relationships/chart" Target="../charts/chart40.xml"/><Relationship Id="rId19" Type="http://schemas.openxmlformats.org/officeDocument/2006/relationships/chart" Target="../charts/chart49.xml"/><Relationship Id="rId31" Type="http://schemas.openxmlformats.org/officeDocument/2006/relationships/chart" Target="../charts/chart61.xml"/><Relationship Id="rId44" Type="http://schemas.openxmlformats.org/officeDocument/2006/relationships/chart" Target="../charts/chart74.xml"/><Relationship Id="rId4" Type="http://schemas.openxmlformats.org/officeDocument/2006/relationships/chart" Target="../charts/chart34.xml"/><Relationship Id="rId9" Type="http://schemas.openxmlformats.org/officeDocument/2006/relationships/chart" Target="../charts/chart39.xml"/><Relationship Id="rId14" Type="http://schemas.openxmlformats.org/officeDocument/2006/relationships/chart" Target="../charts/chart44.xml"/><Relationship Id="rId22" Type="http://schemas.openxmlformats.org/officeDocument/2006/relationships/chart" Target="../charts/chart52.xml"/><Relationship Id="rId27" Type="http://schemas.openxmlformats.org/officeDocument/2006/relationships/chart" Target="../charts/chart57.xml"/><Relationship Id="rId30" Type="http://schemas.openxmlformats.org/officeDocument/2006/relationships/chart" Target="../charts/chart60.xml"/><Relationship Id="rId35" Type="http://schemas.openxmlformats.org/officeDocument/2006/relationships/chart" Target="../charts/chart65.xml"/><Relationship Id="rId43" Type="http://schemas.openxmlformats.org/officeDocument/2006/relationships/chart" Target="../charts/chart73.xml"/><Relationship Id="rId48" Type="http://schemas.openxmlformats.org/officeDocument/2006/relationships/chart" Target="../charts/chart78.xml"/><Relationship Id="rId8" Type="http://schemas.openxmlformats.org/officeDocument/2006/relationships/chart" Target="../charts/chart38.xml"/><Relationship Id="rId3" Type="http://schemas.openxmlformats.org/officeDocument/2006/relationships/chart" Target="../charts/chart33.xml"/><Relationship Id="rId12" Type="http://schemas.openxmlformats.org/officeDocument/2006/relationships/chart" Target="../charts/chart42.xml"/><Relationship Id="rId17" Type="http://schemas.openxmlformats.org/officeDocument/2006/relationships/chart" Target="../charts/chart47.xml"/><Relationship Id="rId25" Type="http://schemas.openxmlformats.org/officeDocument/2006/relationships/chart" Target="../charts/chart55.xml"/><Relationship Id="rId33" Type="http://schemas.openxmlformats.org/officeDocument/2006/relationships/chart" Target="../charts/chart63.xml"/><Relationship Id="rId38" Type="http://schemas.openxmlformats.org/officeDocument/2006/relationships/chart" Target="../charts/chart68.xml"/><Relationship Id="rId46" Type="http://schemas.openxmlformats.org/officeDocument/2006/relationships/chart" Target="../charts/chart76.xml"/><Relationship Id="rId20" Type="http://schemas.openxmlformats.org/officeDocument/2006/relationships/chart" Target="../charts/chart50.xml"/><Relationship Id="rId41" Type="http://schemas.openxmlformats.org/officeDocument/2006/relationships/chart" Target="../charts/chart71.xml"/><Relationship Id="rId1" Type="http://schemas.openxmlformats.org/officeDocument/2006/relationships/chart" Target="../charts/chart31.xml"/><Relationship Id="rId6" Type="http://schemas.openxmlformats.org/officeDocument/2006/relationships/chart" Target="../charts/chart36.xml"/></Relationships>
</file>

<file path=xl/drawings/_rels/drawing9.xml.rels><?xml version="1.0" encoding="UTF-8" standalone="yes"?>
<Relationships xmlns="http://schemas.openxmlformats.org/package/2006/relationships"><Relationship Id="rId3" Type="http://schemas.openxmlformats.org/officeDocument/2006/relationships/chart" Target="../charts/chart82.xml"/><Relationship Id="rId2" Type="http://schemas.openxmlformats.org/officeDocument/2006/relationships/chart" Target="../charts/chart81.xml"/><Relationship Id="rId1" Type="http://schemas.openxmlformats.org/officeDocument/2006/relationships/chart" Target="../charts/chart80.xml"/><Relationship Id="rId4" Type="http://schemas.openxmlformats.org/officeDocument/2006/relationships/chart" Target="../charts/chart83.xml"/></Relationships>
</file>

<file path=xl/drawings/drawing1.xml><?xml version="1.0" encoding="utf-8"?>
<xdr:wsDr xmlns:xdr="http://schemas.openxmlformats.org/drawingml/2006/spreadsheetDrawing" xmlns:a="http://schemas.openxmlformats.org/drawingml/2006/main">
  <xdr:twoCellAnchor>
    <xdr:from>
      <xdr:col>1</xdr:col>
      <xdr:colOff>11112</xdr:colOff>
      <xdr:row>15</xdr:row>
      <xdr:rowOff>171451</xdr:rowOff>
    </xdr:from>
    <xdr:to>
      <xdr:col>3</xdr:col>
      <xdr:colOff>781049</xdr:colOff>
      <xdr:row>27</xdr:row>
      <xdr:rowOff>153353</xdr:rowOff>
    </xdr:to>
    <xdr:graphicFrame macro="">
      <xdr:nvGraphicFramePr>
        <xdr:cNvPr id="4" name="Gráfico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4</xdr:col>
      <xdr:colOff>28574</xdr:colOff>
      <xdr:row>15</xdr:row>
      <xdr:rowOff>195262</xdr:rowOff>
    </xdr:from>
    <xdr:to>
      <xdr:col>8</xdr:col>
      <xdr:colOff>331787</xdr:colOff>
      <xdr:row>27</xdr:row>
      <xdr:rowOff>171450</xdr:rowOff>
    </xdr:to>
    <xdr:graphicFrame macro="">
      <xdr:nvGraphicFramePr>
        <xdr:cNvPr id="5" name="Gráfico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9525</xdr:colOff>
      <xdr:row>28</xdr:row>
      <xdr:rowOff>42862</xdr:rowOff>
    </xdr:from>
    <xdr:to>
      <xdr:col>3</xdr:col>
      <xdr:colOff>781050</xdr:colOff>
      <xdr:row>40</xdr:row>
      <xdr:rowOff>25717</xdr:rowOff>
    </xdr:to>
    <xdr:graphicFrame macro="">
      <xdr:nvGraphicFramePr>
        <xdr:cNvPr id="6" name="Gráfico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4</xdr:col>
      <xdr:colOff>28575</xdr:colOff>
      <xdr:row>28</xdr:row>
      <xdr:rowOff>52387</xdr:rowOff>
    </xdr:from>
    <xdr:to>
      <xdr:col>8</xdr:col>
      <xdr:colOff>323850</xdr:colOff>
      <xdr:row>40</xdr:row>
      <xdr:rowOff>23812</xdr:rowOff>
    </xdr:to>
    <xdr:graphicFrame macro="">
      <xdr:nvGraphicFramePr>
        <xdr:cNvPr id="7" name="Gráfico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1</xdr:col>
      <xdr:colOff>114300</xdr:colOff>
      <xdr:row>16</xdr:row>
      <xdr:rowOff>109537</xdr:rowOff>
    </xdr:from>
    <xdr:to>
      <xdr:col>2</xdr:col>
      <xdr:colOff>779463</xdr:colOff>
      <xdr:row>27</xdr:row>
      <xdr:rowOff>0</xdr:rowOff>
    </xdr:to>
    <xdr:graphicFrame macro="">
      <xdr:nvGraphicFramePr>
        <xdr:cNvPr id="3" name="Gráfico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xdr:col>
      <xdr:colOff>85725</xdr:colOff>
      <xdr:row>16</xdr:row>
      <xdr:rowOff>109537</xdr:rowOff>
    </xdr:from>
    <xdr:to>
      <xdr:col>6</xdr:col>
      <xdr:colOff>1243013</xdr:colOff>
      <xdr:row>27</xdr:row>
      <xdr:rowOff>9525</xdr:rowOff>
    </xdr:to>
    <xdr:graphicFrame macro="">
      <xdr:nvGraphicFramePr>
        <xdr:cNvPr id="4" name="Gráfico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104775</xdr:colOff>
      <xdr:row>27</xdr:row>
      <xdr:rowOff>90487</xdr:rowOff>
    </xdr:from>
    <xdr:to>
      <xdr:col>2</xdr:col>
      <xdr:colOff>785813</xdr:colOff>
      <xdr:row>37</xdr:row>
      <xdr:rowOff>190500</xdr:rowOff>
    </xdr:to>
    <xdr:graphicFrame macro="">
      <xdr:nvGraphicFramePr>
        <xdr:cNvPr id="5" name="Gráfico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3</xdr:col>
      <xdr:colOff>76200</xdr:colOff>
      <xdr:row>27</xdr:row>
      <xdr:rowOff>100012</xdr:rowOff>
    </xdr:from>
    <xdr:to>
      <xdr:col>6</xdr:col>
      <xdr:colOff>1249363</xdr:colOff>
      <xdr:row>38</xdr:row>
      <xdr:rowOff>9525</xdr:rowOff>
    </xdr:to>
    <xdr:graphicFrame macro="">
      <xdr:nvGraphicFramePr>
        <xdr:cNvPr id="7" name="Gráfico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1</xdr:col>
      <xdr:colOff>264582</xdr:colOff>
      <xdr:row>51</xdr:row>
      <xdr:rowOff>104775</xdr:rowOff>
    </xdr:from>
    <xdr:to>
      <xdr:col>4</xdr:col>
      <xdr:colOff>1098902</xdr:colOff>
      <xdr:row>69</xdr:row>
      <xdr:rowOff>116417</xdr:rowOff>
    </xdr:to>
    <xdr:graphicFrame macro="">
      <xdr:nvGraphicFramePr>
        <xdr:cNvPr id="2" name="Gráfico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2</xdr:col>
      <xdr:colOff>47625</xdr:colOff>
      <xdr:row>22</xdr:row>
      <xdr:rowOff>23812</xdr:rowOff>
    </xdr:from>
    <xdr:to>
      <xdr:col>4</xdr:col>
      <xdr:colOff>439738</xdr:colOff>
      <xdr:row>33</xdr:row>
      <xdr:rowOff>161925</xdr:rowOff>
    </xdr:to>
    <xdr:graphicFrame macro="">
      <xdr:nvGraphicFramePr>
        <xdr:cNvPr id="2" name="Gráfico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4</xdr:col>
      <xdr:colOff>571500</xdr:colOff>
      <xdr:row>22</xdr:row>
      <xdr:rowOff>14287</xdr:rowOff>
    </xdr:from>
    <xdr:to>
      <xdr:col>9</xdr:col>
      <xdr:colOff>190500</xdr:colOff>
      <xdr:row>33</xdr:row>
      <xdr:rowOff>174307</xdr:rowOff>
    </xdr:to>
    <xdr:graphicFrame macro="">
      <xdr:nvGraphicFramePr>
        <xdr:cNvPr id="3" name="Gráfico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xdr:col>
      <xdr:colOff>1657350</xdr:colOff>
      <xdr:row>34</xdr:row>
      <xdr:rowOff>147636</xdr:rowOff>
    </xdr:from>
    <xdr:to>
      <xdr:col>7</xdr:col>
      <xdr:colOff>322263</xdr:colOff>
      <xdr:row>49</xdr:row>
      <xdr:rowOff>123824</xdr:rowOff>
    </xdr:to>
    <xdr:graphicFrame macro="">
      <xdr:nvGraphicFramePr>
        <xdr:cNvPr id="4" name="Gráfico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1</xdr:col>
      <xdr:colOff>95250</xdr:colOff>
      <xdr:row>28</xdr:row>
      <xdr:rowOff>52387</xdr:rowOff>
    </xdr:from>
    <xdr:to>
      <xdr:col>3</xdr:col>
      <xdr:colOff>495300</xdr:colOff>
      <xdr:row>38</xdr:row>
      <xdr:rowOff>155257</xdr:rowOff>
    </xdr:to>
    <xdr:graphicFrame macro="">
      <xdr:nvGraphicFramePr>
        <xdr:cNvPr id="2" name="Gráfico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xdr:col>
      <xdr:colOff>666750</xdr:colOff>
      <xdr:row>28</xdr:row>
      <xdr:rowOff>42862</xdr:rowOff>
    </xdr:from>
    <xdr:to>
      <xdr:col>6</xdr:col>
      <xdr:colOff>628650</xdr:colOff>
      <xdr:row>38</xdr:row>
      <xdr:rowOff>174307</xdr:rowOff>
    </xdr:to>
    <xdr:graphicFrame macro="">
      <xdr:nvGraphicFramePr>
        <xdr:cNvPr id="3" name="Gráfico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95250</xdr:colOff>
      <xdr:row>39</xdr:row>
      <xdr:rowOff>42862</xdr:rowOff>
    </xdr:from>
    <xdr:to>
      <xdr:col>3</xdr:col>
      <xdr:colOff>495300</xdr:colOff>
      <xdr:row>49</xdr:row>
      <xdr:rowOff>145732</xdr:rowOff>
    </xdr:to>
    <xdr:graphicFrame macro="">
      <xdr:nvGraphicFramePr>
        <xdr:cNvPr id="4" name="Gráfico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3</xdr:col>
      <xdr:colOff>657225</xdr:colOff>
      <xdr:row>39</xdr:row>
      <xdr:rowOff>52388</xdr:rowOff>
    </xdr:from>
    <xdr:to>
      <xdr:col>6</xdr:col>
      <xdr:colOff>614363</xdr:colOff>
      <xdr:row>49</xdr:row>
      <xdr:rowOff>180976</xdr:rowOff>
    </xdr:to>
    <xdr:graphicFrame macro="">
      <xdr:nvGraphicFramePr>
        <xdr:cNvPr id="5" name="Gráfico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xdr:from>
      <xdr:col>3</xdr:col>
      <xdr:colOff>31749</xdr:colOff>
      <xdr:row>89</xdr:row>
      <xdr:rowOff>189441</xdr:rowOff>
    </xdr:from>
    <xdr:to>
      <xdr:col>10</xdr:col>
      <xdr:colOff>202848</xdr:colOff>
      <xdr:row>101</xdr:row>
      <xdr:rowOff>190500</xdr:rowOff>
    </xdr:to>
    <xdr:graphicFrame macro="">
      <xdr:nvGraphicFramePr>
        <xdr:cNvPr id="3" name="Gráfico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328083</xdr:colOff>
      <xdr:row>89</xdr:row>
      <xdr:rowOff>189442</xdr:rowOff>
    </xdr:from>
    <xdr:to>
      <xdr:col>15</xdr:col>
      <xdr:colOff>1259417</xdr:colOff>
      <xdr:row>102</xdr:row>
      <xdr:rowOff>1058</xdr:rowOff>
    </xdr:to>
    <xdr:graphicFrame macro="">
      <xdr:nvGraphicFramePr>
        <xdr:cNvPr id="5" name="Gráfico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3</xdr:col>
      <xdr:colOff>31750</xdr:colOff>
      <xdr:row>102</xdr:row>
      <xdr:rowOff>94191</xdr:rowOff>
    </xdr:from>
    <xdr:to>
      <xdr:col>10</xdr:col>
      <xdr:colOff>202849</xdr:colOff>
      <xdr:row>115</xdr:row>
      <xdr:rowOff>127000</xdr:rowOff>
    </xdr:to>
    <xdr:graphicFrame macro="">
      <xdr:nvGraphicFramePr>
        <xdr:cNvPr id="6" name="Gráfico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10</xdr:col>
      <xdr:colOff>328082</xdr:colOff>
      <xdr:row>102</xdr:row>
      <xdr:rowOff>104773</xdr:rowOff>
    </xdr:from>
    <xdr:to>
      <xdr:col>15</xdr:col>
      <xdr:colOff>1275292</xdr:colOff>
      <xdr:row>115</xdr:row>
      <xdr:rowOff>126999</xdr:rowOff>
    </xdr:to>
    <xdr:graphicFrame macro="">
      <xdr:nvGraphicFramePr>
        <xdr:cNvPr id="7" name="Gráfico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6</xdr:col>
      <xdr:colOff>52916</xdr:colOff>
      <xdr:row>116</xdr:row>
      <xdr:rowOff>94192</xdr:rowOff>
    </xdr:from>
    <xdr:to>
      <xdr:col>14</xdr:col>
      <xdr:colOff>465666</xdr:colOff>
      <xdr:row>130</xdr:row>
      <xdr:rowOff>22225</xdr:rowOff>
    </xdr:to>
    <xdr:graphicFrame macro="">
      <xdr:nvGraphicFramePr>
        <xdr:cNvPr id="8" name="Gráfico 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xdr:from>
      <xdr:col>1</xdr:col>
      <xdr:colOff>21981</xdr:colOff>
      <xdr:row>15</xdr:row>
      <xdr:rowOff>90120</xdr:rowOff>
    </xdr:from>
    <xdr:to>
      <xdr:col>3</xdr:col>
      <xdr:colOff>435955</xdr:colOff>
      <xdr:row>24</xdr:row>
      <xdr:rowOff>43962</xdr:rowOff>
    </xdr:to>
    <xdr:graphicFrame macro="">
      <xdr:nvGraphicFramePr>
        <xdr:cNvPr id="3" name="Gráfico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xdr:col>
      <xdr:colOff>534866</xdr:colOff>
      <xdr:row>15</xdr:row>
      <xdr:rowOff>82794</xdr:rowOff>
    </xdr:from>
    <xdr:to>
      <xdr:col>6</xdr:col>
      <xdr:colOff>467702</xdr:colOff>
      <xdr:row>24</xdr:row>
      <xdr:rowOff>51288</xdr:rowOff>
    </xdr:to>
    <xdr:graphicFrame macro="">
      <xdr:nvGraphicFramePr>
        <xdr:cNvPr id="4" name="Gráfico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21981</xdr:colOff>
      <xdr:row>24</xdr:row>
      <xdr:rowOff>148735</xdr:rowOff>
    </xdr:from>
    <xdr:to>
      <xdr:col>3</xdr:col>
      <xdr:colOff>454270</xdr:colOff>
      <xdr:row>33</xdr:row>
      <xdr:rowOff>113566</xdr:rowOff>
    </xdr:to>
    <xdr:graphicFrame macro="">
      <xdr:nvGraphicFramePr>
        <xdr:cNvPr id="5" name="Gráfico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3</xdr:col>
      <xdr:colOff>534867</xdr:colOff>
      <xdr:row>24</xdr:row>
      <xdr:rowOff>148736</xdr:rowOff>
    </xdr:from>
    <xdr:to>
      <xdr:col>6</xdr:col>
      <xdr:colOff>476251</xdr:colOff>
      <xdr:row>33</xdr:row>
      <xdr:rowOff>122359</xdr:rowOff>
    </xdr:to>
    <xdr:graphicFrame macro="">
      <xdr:nvGraphicFramePr>
        <xdr:cNvPr id="6" name="Gráfico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xdr:col>
      <xdr:colOff>21980</xdr:colOff>
      <xdr:row>34</xdr:row>
      <xdr:rowOff>16851</xdr:rowOff>
    </xdr:from>
    <xdr:to>
      <xdr:col>3</xdr:col>
      <xdr:colOff>448164</xdr:colOff>
      <xdr:row>42</xdr:row>
      <xdr:rowOff>168519</xdr:rowOff>
    </xdr:to>
    <xdr:graphicFrame macro="">
      <xdr:nvGraphicFramePr>
        <xdr:cNvPr id="7" name="Gráfico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3</xdr:col>
      <xdr:colOff>527538</xdr:colOff>
      <xdr:row>34</xdr:row>
      <xdr:rowOff>16851</xdr:rowOff>
    </xdr:from>
    <xdr:to>
      <xdr:col>6</xdr:col>
      <xdr:colOff>483577</xdr:colOff>
      <xdr:row>42</xdr:row>
      <xdr:rowOff>189767</xdr:rowOff>
    </xdr:to>
    <xdr:graphicFrame macro="">
      <xdr:nvGraphicFramePr>
        <xdr:cNvPr id="8" name="Gráfico 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3</xdr:col>
      <xdr:colOff>527538</xdr:colOff>
      <xdr:row>43</xdr:row>
      <xdr:rowOff>104773</xdr:rowOff>
    </xdr:from>
    <xdr:to>
      <xdr:col>6</xdr:col>
      <xdr:colOff>505557</xdr:colOff>
      <xdr:row>52</xdr:row>
      <xdr:rowOff>87923</xdr:rowOff>
    </xdr:to>
    <xdr:graphicFrame macro="">
      <xdr:nvGraphicFramePr>
        <xdr:cNvPr id="10" name="Gráfico 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0</xdr:col>
      <xdr:colOff>371475</xdr:colOff>
      <xdr:row>43</xdr:row>
      <xdr:rowOff>157162</xdr:rowOff>
    </xdr:from>
    <xdr:to>
      <xdr:col>3</xdr:col>
      <xdr:colOff>352425</xdr:colOff>
      <xdr:row>52</xdr:row>
      <xdr:rowOff>152400</xdr:rowOff>
    </xdr:to>
    <xdr:graphicFrame macro="">
      <xdr:nvGraphicFramePr>
        <xdr:cNvPr id="11" name="Gráfico 10"/>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3</xdr:col>
      <xdr:colOff>495300</xdr:colOff>
      <xdr:row>52</xdr:row>
      <xdr:rowOff>147637</xdr:rowOff>
    </xdr:from>
    <xdr:to>
      <xdr:col>6</xdr:col>
      <xdr:colOff>504825</xdr:colOff>
      <xdr:row>63</xdr:row>
      <xdr:rowOff>90487</xdr:rowOff>
    </xdr:to>
    <xdr:graphicFrame macro="">
      <xdr:nvGraphicFramePr>
        <xdr:cNvPr id="9" name="Gráfico 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wsDr>
</file>

<file path=xl/drawings/drawing8.xml><?xml version="1.0" encoding="utf-8"?>
<xdr:wsDr xmlns:xdr="http://schemas.openxmlformats.org/drawingml/2006/spreadsheetDrawing" xmlns:a="http://schemas.openxmlformats.org/drawingml/2006/main">
  <xdr:twoCellAnchor>
    <xdr:from>
      <xdr:col>4</xdr:col>
      <xdr:colOff>409233</xdr:colOff>
      <xdr:row>170</xdr:row>
      <xdr:rowOff>102732</xdr:rowOff>
    </xdr:from>
    <xdr:to>
      <xdr:col>9</xdr:col>
      <xdr:colOff>654843</xdr:colOff>
      <xdr:row>180</xdr:row>
      <xdr:rowOff>35934</xdr:rowOff>
    </xdr:to>
    <xdr:graphicFrame macro="">
      <xdr:nvGraphicFramePr>
        <xdr:cNvPr id="5" name="4 Gráfico">
          <a:extLst>
            <a:ext uri="{FF2B5EF4-FFF2-40B4-BE49-F238E27FC236}">
              <a16:creationId xmlns:a16="http://schemas.microsoft.com/office/drawing/2014/main" id="{00000000-0008-0000-06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4</xdr:col>
      <xdr:colOff>404473</xdr:colOff>
      <xdr:row>180</xdr:row>
      <xdr:rowOff>129947</xdr:rowOff>
    </xdr:from>
    <xdr:to>
      <xdr:col>9</xdr:col>
      <xdr:colOff>678655</xdr:colOff>
      <xdr:row>190</xdr:row>
      <xdr:rowOff>54944</xdr:rowOff>
    </xdr:to>
    <xdr:graphicFrame macro="">
      <xdr:nvGraphicFramePr>
        <xdr:cNvPr id="10" name="9 Gráfico">
          <a:extLst>
            <a:ext uri="{FF2B5EF4-FFF2-40B4-BE49-F238E27FC236}">
              <a16:creationId xmlns:a16="http://schemas.microsoft.com/office/drawing/2014/main" id="{00000000-0008-0000-0600-00000A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4</xdr:col>
      <xdr:colOff>28574</xdr:colOff>
      <xdr:row>518</xdr:row>
      <xdr:rowOff>161925</xdr:rowOff>
    </xdr:from>
    <xdr:to>
      <xdr:col>9</xdr:col>
      <xdr:colOff>200025</xdr:colOff>
      <xdr:row>531</xdr:row>
      <xdr:rowOff>72538</xdr:rowOff>
    </xdr:to>
    <xdr:graphicFrame macro="">
      <xdr:nvGraphicFramePr>
        <xdr:cNvPr id="14" name="13 Gráfico">
          <a:extLst>
            <a:ext uri="{FF2B5EF4-FFF2-40B4-BE49-F238E27FC236}">
              <a16:creationId xmlns:a16="http://schemas.microsoft.com/office/drawing/2014/main" id="{00000000-0008-0000-0600-00000E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4</xdr:col>
      <xdr:colOff>66676</xdr:colOff>
      <xdr:row>554</xdr:row>
      <xdr:rowOff>9525</xdr:rowOff>
    </xdr:from>
    <xdr:to>
      <xdr:col>9</xdr:col>
      <xdr:colOff>238126</xdr:colOff>
      <xdr:row>564</xdr:row>
      <xdr:rowOff>140162</xdr:rowOff>
    </xdr:to>
    <xdr:graphicFrame macro="">
      <xdr:nvGraphicFramePr>
        <xdr:cNvPr id="16" name="15 Gráfico">
          <a:extLst>
            <a:ext uri="{FF2B5EF4-FFF2-40B4-BE49-F238E27FC236}">
              <a16:creationId xmlns:a16="http://schemas.microsoft.com/office/drawing/2014/main" id="{00000000-0008-0000-0600-000010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4</xdr:col>
      <xdr:colOff>361949</xdr:colOff>
      <xdr:row>642</xdr:row>
      <xdr:rowOff>9524</xdr:rowOff>
    </xdr:from>
    <xdr:to>
      <xdr:col>10</xdr:col>
      <xdr:colOff>38100</xdr:colOff>
      <xdr:row>655</xdr:row>
      <xdr:rowOff>120565</xdr:rowOff>
    </xdr:to>
    <xdr:graphicFrame macro="">
      <xdr:nvGraphicFramePr>
        <xdr:cNvPr id="19" name="18 Gráfico">
          <a:extLst>
            <a:ext uri="{FF2B5EF4-FFF2-40B4-BE49-F238E27FC236}">
              <a16:creationId xmlns:a16="http://schemas.microsoft.com/office/drawing/2014/main" id="{00000000-0008-0000-0600-00001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4</xdr:col>
      <xdr:colOff>495299</xdr:colOff>
      <xdr:row>260</xdr:row>
      <xdr:rowOff>171450</xdr:rowOff>
    </xdr:from>
    <xdr:to>
      <xdr:col>9</xdr:col>
      <xdr:colOff>654844</xdr:colOff>
      <xdr:row>270</xdr:row>
      <xdr:rowOff>83343</xdr:rowOff>
    </xdr:to>
    <xdr:graphicFrame macro="">
      <xdr:nvGraphicFramePr>
        <xdr:cNvPr id="4" name="Gráfico 3">
          <a:extLst>
            <a:ext uri="{FF2B5EF4-FFF2-40B4-BE49-F238E27FC236}">
              <a16:creationId xmlns:a16="http://schemas.microsoft.com/office/drawing/2014/main" id="{00000000-0008-0000-06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4</xdr:col>
      <xdr:colOff>502785</xdr:colOff>
      <xdr:row>270</xdr:row>
      <xdr:rowOff>151037</xdr:rowOff>
    </xdr:from>
    <xdr:to>
      <xdr:col>9</xdr:col>
      <xdr:colOff>678656</xdr:colOff>
      <xdr:row>280</xdr:row>
      <xdr:rowOff>47624</xdr:rowOff>
    </xdr:to>
    <xdr:graphicFrame macro="">
      <xdr:nvGraphicFramePr>
        <xdr:cNvPr id="6" name="Gráfico 5">
          <a:extLst>
            <a:ext uri="{FF2B5EF4-FFF2-40B4-BE49-F238E27FC236}">
              <a16:creationId xmlns:a16="http://schemas.microsoft.com/office/drawing/2014/main" id="{00000000-0008-0000-0600-000006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4</xdr:col>
      <xdr:colOff>450056</xdr:colOff>
      <xdr:row>345</xdr:row>
      <xdr:rowOff>0</xdr:rowOff>
    </xdr:from>
    <xdr:to>
      <xdr:col>9</xdr:col>
      <xdr:colOff>642938</xdr:colOff>
      <xdr:row>353</xdr:row>
      <xdr:rowOff>166687</xdr:rowOff>
    </xdr:to>
    <xdr:graphicFrame macro="">
      <xdr:nvGraphicFramePr>
        <xdr:cNvPr id="7" name="Gráfico 6">
          <a:extLst>
            <a:ext uri="{FF2B5EF4-FFF2-40B4-BE49-F238E27FC236}">
              <a16:creationId xmlns:a16="http://schemas.microsoft.com/office/drawing/2014/main" id="{00000000-0008-0000-0600-000007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4</xdr:col>
      <xdr:colOff>457541</xdr:colOff>
      <xdr:row>354</xdr:row>
      <xdr:rowOff>88786</xdr:rowOff>
    </xdr:from>
    <xdr:to>
      <xdr:col>9</xdr:col>
      <xdr:colOff>654843</xdr:colOff>
      <xdr:row>364</xdr:row>
      <xdr:rowOff>11905</xdr:rowOff>
    </xdr:to>
    <xdr:graphicFrame macro="">
      <xdr:nvGraphicFramePr>
        <xdr:cNvPr id="2" name="Gráfico 1">
          <a:extLst>
            <a:ext uri="{FF2B5EF4-FFF2-40B4-BE49-F238E27FC236}">
              <a16:creationId xmlns:a16="http://schemas.microsoft.com/office/drawing/2014/main" id="{00000000-0008-0000-06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4</xdr:col>
      <xdr:colOff>433387</xdr:colOff>
      <xdr:row>426</xdr:row>
      <xdr:rowOff>104775</xdr:rowOff>
    </xdr:from>
    <xdr:to>
      <xdr:col>9</xdr:col>
      <xdr:colOff>695324</xdr:colOff>
      <xdr:row>437</xdr:row>
      <xdr:rowOff>38100</xdr:rowOff>
    </xdr:to>
    <xdr:graphicFrame macro="">
      <xdr:nvGraphicFramePr>
        <xdr:cNvPr id="3" name="Gráfico 2">
          <a:extLst>
            <a:ext uri="{FF2B5EF4-FFF2-40B4-BE49-F238E27FC236}">
              <a16:creationId xmlns:a16="http://schemas.microsoft.com/office/drawing/2014/main" id="{00000000-0008-0000-06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4</xdr:col>
      <xdr:colOff>434746</xdr:colOff>
      <xdr:row>437</xdr:row>
      <xdr:rowOff>133350</xdr:rowOff>
    </xdr:from>
    <xdr:to>
      <xdr:col>9</xdr:col>
      <xdr:colOff>685799</xdr:colOff>
      <xdr:row>446</xdr:row>
      <xdr:rowOff>195261</xdr:rowOff>
    </xdr:to>
    <xdr:graphicFrame macro="">
      <xdr:nvGraphicFramePr>
        <xdr:cNvPr id="8" name="Gráfico 7">
          <a:extLst>
            <a:ext uri="{FF2B5EF4-FFF2-40B4-BE49-F238E27FC236}">
              <a16:creationId xmlns:a16="http://schemas.microsoft.com/office/drawing/2014/main" id="{00000000-0008-0000-0600-000008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1</xdr:col>
      <xdr:colOff>123825</xdr:colOff>
      <xdr:row>582</xdr:row>
      <xdr:rowOff>23812</xdr:rowOff>
    </xdr:from>
    <xdr:to>
      <xdr:col>3</xdr:col>
      <xdr:colOff>748382</xdr:colOff>
      <xdr:row>593</xdr:row>
      <xdr:rowOff>151447</xdr:rowOff>
    </xdr:to>
    <xdr:graphicFrame macro="">
      <xdr:nvGraphicFramePr>
        <xdr:cNvPr id="12" name="Gráfico 11">
          <a:extLst>
            <a:ext uri="{FF2B5EF4-FFF2-40B4-BE49-F238E27FC236}">
              <a16:creationId xmlns:a16="http://schemas.microsoft.com/office/drawing/2014/main" id="{00000000-0008-0000-0600-00000C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xdr:from>
      <xdr:col>1</xdr:col>
      <xdr:colOff>219075</xdr:colOff>
      <xdr:row>611</xdr:row>
      <xdr:rowOff>76200</xdr:rowOff>
    </xdr:from>
    <xdr:to>
      <xdr:col>4</xdr:col>
      <xdr:colOff>126895</xdr:colOff>
      <xdr:row>622</xdr:row>
      <xdr:rowOff>43815</xdr:rowOff>
    </xdr:to>
    <xdr:graphicFrame macro="">
      <xdr:nvGraphicFramePr>
        <xdr:cNvPr id="20" name="Gráfico 19">
          <a:extLst>
            <a:ext uri="{FF2B5EF4-FFF2-40B4-BE49-F238E27FC236}">
              <a16:creationId xmlns:a16="http://schemas.microsoft.com/office/drawing/2014/main" id="{00000000-0008-0000-0600-00001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twoCellAnchor>
    <xdr:from>
      <xdr:col>1</xdr:col>
      <xdr:colOff>152400</xdr:colOff>
      <xdr:row>518</xdr:row>
      <xdr:rowOff>161925</xdr:rowOff>
    </xdr:from>
    <xdr:to>
      <xdr:col>3</xdr:col>
      <xdr:colOff>733425</xdr:colOff>
      <xdr:row>531</xdr:row>
      <xdr:rowOff>62335</xdr:rowOff>
    </xdr:to>
    <xdr:graphicFrame macro="">
      <xdr:nvGraphicFramePr>
        <xdr:cNvPr id="21" name="13 Gráfico">
          <a:extLst>
            <a:ext uri="{FF2B5EF4-FFF2-40B4-BE49-F238E27FC236}">
              <a16:creationId xmlns:a16="http://schemas.microsoft.com/office/drawing/2014/main" id="{00000000-0008-0000-0600-00001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twoCellAnchor>
    <xdr:from>
      <xdr:col>4</xdr:col>
      <xdr:colOff>28575</xdr:colOff>
      <xdr:row>532</xdr:row>
      <xdr:rowOff>142875</xdr:rowOff>
    </xdr:from>
    <xdr:to>
      <xdr:col>9</xdr:col>
      <xdr:colOff>200026</xdr:colOff>
      <xdr:row>545</xdr:row>
      <xdr:rowOff>53488</xdr:rowOff>
    </xdr:to>
    <xdr:graphicFrame macro="">
      <xdr:nvGraphicFramePr>
        <xdr:cNvPr id="22" name="13 Gráfico">
          <a:extLst>
            <a:ext uri="{FF2B5EF4-FFF2-40B4-BE49-F238E27FC236}">
              <a16:creationId xmlns:a16="http://schemas.microsoft.com/office/drawing/2014/main" id="{00000000-0008-0000-0600-00001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
        </a:graphicData>
      </a:graphic>
    </xdr:graphicFrame>
    <xdr:clientData/>
  </xdr:twoCellAnchor>
  <xdr:twoCellAnchor>
    <xdr:from>
      <xdr:col>1</xdr:col>
      <xdr:colOff>142875</xdr:colOff>
      <xdr:row>532</xdr:row>
      <xdr:rowOff>133350</xdr:rowOff>
    </xdr:from>
    <xdr:to>
      <xdr:col>3</xdr:col>
      <xdr:colOff>742951</xdr:colOff>
      <xdr:row>545</xdr:row>
      <xdr:rowOff>43963</xdr:rowOff>
    </xdr:to>
    <xdr:graphicFrame macro="">
      <xdr:nvGraphicFramePr>
        <xdr:cNvPr id="23" name="13 Gráfico">
          <a:extLst>
            <a:ext uri="{FF2B5EF4-FFF2-40B4-BE49-F238E27FC236}">
              <a16:creationId xmlns:a16="http://schemas.microsoft.com/office/drawing/2014/main" id="{00000000-0008-0000-0600-00001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6"/>
        </a:graphicData>
      </a:graphic>
    </xdr:graphicFrame>
    <xdr:clientData/>
  </xdr:twoCellAnchor>
  <xdr:twoCellAnchor>
    <xdr:from>
      <xdr:col>1</xdr:col>
      <xdr:colOff>114300</xdr:colOff>
      <xdr:row>554</xdr:row>
      <xdr:rowOff>9525</xdr:rowOff>
    </xdr:from>
    <xdr:to>
      <xdr:col>3</xdr:col>
      <xdr:colOff>714375</xdr:colOff>
      <xdr:row>564</xdr:row>
      <xdr:rowOff>140162</xdr:rowOff>
    </xdr:to>
    <xdr:graphicFrame macro="">
      <xdr:nvGraphicFramePr>
        <xdr:cNvPr id="24" name="15 Gráfico">
          <a:extLst>
            <a:ext uri="{FF2B5EF4-FFF2-40B4-BE49-F238E27FC236}">
              <a16:creationId xmlns:a16="http://schemas.microsoft.com/office/drawing/2014/main" id="{00000000-0008-0000-0600-00001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7"/>
        </a:graphicData>
      </a:graphic>
    </xdr:graphicFrame>
    <xdr:clientData/>
  </xdr:twoCellAnchor>
  <xdr:twoCellAnchor>
    <xdr:from>
      <xdr:col>1</xdr:col>
      <xdr:colOff>2771775</xdr:colOff>
      <xdr:row>566</xdr:row>
      <xdr:rowOff>0</xdr:rowOff>
    </xdr:from>
    <xdr:to>
      <xdr:col>7</xdr:col>
      <xdr:colOff>38100</xdr:colOff>
      <xdr:row>576</xdr:row>
      <xdr:rowOff>130637</xdr:rowOff>
    </xdr:to>
    <xdr:graphicFrame macro="">
      <xdr:nvGraphicFramePr>
        <xdr:cNvPr id="25" name="15 Gráfico">
          <a:extLst>
            <a:ext uri="{FF2B5EF4-FFF2-40B4-BE49-F238E27FC236}">
              <a16:creationId xmlns:a16="http://schemas.microsoft.com/office/drawing/2014/main" id="{00000000-0008-0000-0600-00001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8"/>
        </a:graphicData>
      </a:graphic>
    </xdr:graphicFrame>
    <xdr:clientData/>
  </xdr:twoCellAnchor>
  <xdr:twoCellAnchor>
    <xdr:from>
      <xdr:col>4</xdr:col>
      <xdr:colOff>152399</xdr:colOff>
      <xdr:row>582</xdr:row>
      <xdr:rowOff>28575</xdr:rowOff>
    </xdr:from>
    <xdr:to>
      <xdr:col>9</xdr:col>
      <xdr:colOff>377613</xdr:colOff>
      <xdr:row>593</xdr:row>
      <xdr:rowOff>156210</xdr:rowOff>
    </xdr:to>
    <xdr:graphicFrame macro="">
      <xdr:nvGraphicFramePr>
        <xdr:cNvPr id="26" name="Gráfico 25">
          <a:extLst>
            <a:ext uri="{FF2B5EF4-FFF2-40B4-BE49-F238E27FC236}">
              <a16:creationId xmlns:a16="http://schemas.microsoft.com/office/drawing/2014/main" id="{00000000-0008-0000-0600-00001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9"/>
        </a:graphicData>
      </a:graphic>
    </xdr:graphicFrame>
    <xdr:clientData/>
  </xdr:twoCellAnchor>
  <xdr:twoCellAnchor>
    <xdr:from>
      <xdr:col>1</xdr:col>
      <xdr:colOff>2381250</xdr:colOff>
      <xdr:row>595</xdr:row>
      <xdr:rowOff>123825</xdr:rowOff>
    </xdr:from>
    <xdr:to>
      <xdr:col>6</xdr:col>
      <xdr:colOff>457200</xdr:colOff>
      <xdr:row>607</xdr:row>
      <xdr:rowOff>60960</xdr:rowOff>
    </xdr:to>
    <xdr:graphicFrame macro="">
      <xdr:nvGraphicFramePr>
        <xdr:cNvPr id="27" name="Gráfico 26">
          <a:extLst>
            <a:ext uri="{FF2B5EF4-FFF2-40B4-BE49-F238E27FC236}">
              <a16:creationId xmlns:a16="http://schemas.microsoft.com/office/drawing/2014/main" id="{00000000-0008-0000-0600-00001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0"/>
        </a:graphicData>
      </a:graphic>
    </xdr:graphicFrame>
    <xdr:clientData/>
  </xdr:twoCellAnchor>
  <xdr:twoCellAnchor>
    <xdr:from>
      <xdr:col>4</xdr:col>
      <xdr:colOff>371474</xdr:colOff>
      <xdr:row>611</xdr:row>
      <xdr:rowOff>76200</xdr:rowOff>
    </xdr:from>
    <xdr:to>
      <xdr:col>9</xdr:col>
      <xdr:colOff>705006</xdr:colOff>
      <xdr:row>622</xdr:row>
      <xdr:rowOff>43815</xdr:rowOff>
    </xdr:to>
    <xdr:graphicFrame macro="">
      <xdr:nvGraphicFramePr>
        <xdr:cNvPr id="28" name="Gráfico 27">
          <a:extLst>
            <a:ext uri="{FF2B5EF4-FFF2-40B4-BE49-F238E27FC236}">
              <a16:creationId xmlns:a16="http://schemas.microsoft.com/office/drawing/2014/main" id="{00000000-0008-0000-0600-00001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1"/>
        </a:graphicData>
      </a:graphic>
    </xdr:graphicFrame>
    <xdr:clientData/>
  </xdr:twoCellAnchor>
  <xdr:twoCellAnchor>
    <xdr:from>
      <xdr:col>1</xdr:col>
      <xdr:colOff>2352675</xdr:colOff>
      <xdr:row>623</xdr:row>
      <xdr:rowOff>0</xdr:rowOff>
    </xdr:from>
    <xdr:to>
      <xdr:col>6</xdr:col>
      <xdr:colOff>533400</xdr:colOff>
      <xdr:row>633</xdr:row>
      <xdr:rowOff>158115</xdr:rowOff>
    </xdr:to>
    <xdr:graphicFrame macro="">
      <xdr:nvGraphicFramePr>
        <xdr:cNvPr id="29" name="Gráfico 28">
          <a:extLst>
            <a:ext uri="{FF2B5EF4-FFF2-40B4-BE49-F238E27FC236}">
              <a16:creationId xmlns:a16="http://schemas.microsoft.com/office/drawing/2014/main" id="{00000000-0008-0000-0600-00001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2"/>
        </a:graphicData>
      </a:graphic>
    </xdr:graphicFrame>
    <xdr:clientData/>
  </xdr:twoCellAnchor>
  <xdr:twoCellAnchor>
    <xdr:from>
      <xdr:col>1</xdr:col>
      <xdr:colOff>85725</xdr:colOff>
      <xdr:row>642</xdr:row>
      <xdr:rowOff>0</xdr:rowOff>
    </xdr:from>
    <xdr:to>
      <xdr:col>4</xdr:col>
      <xdr:colOff>133351</xdr:colOff>
      <xdr:row>655</xdr:row>
      <xdr:rowOff>101516</xdr:rowOff>
    </xdr:to>
    <xdr:graphicFrame macro="">
      <xdr:nvGraphicFramePr>
        <xdr:cNvPr id="30" name="18 Gráfico">
          <a:extLst>
            <a:ext uri="{FF2B5EF4-FFF2-40B4-BE49-F238E27FC236}">
              <a16:creationId xmlns:a16="http://schemas.microsoft.com/office/drawing/2014/main" id="{00000000-0008-0000-0600-00001E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3"/>
        </a:graphicData>
      </a:graphic>
    </xdr:graphicFrame>
    <xdr:clientData/>
  </xdr:twoCellAnchor>
  <xdr:twoCellAnchor>
    <xdr:from>
      <xdr:col>1</xdr:col>
      <xdr:colOff>85725</xdr:colOff>
      <xdr:row>657</xdr:row>
      <xdr:rowOff>47625</xdr:rowOff>
    </xdr:from>
    <xdr:to>
      <xdr:col>4</xdr:col>
      <xdr:colOff>133351</xdr:colOff>
      <xdr:row>670</xdr:row>
      <xdr:rowOff>158666</xdr:rowOff>
    </xdr:to>
    <xdr:graphicFrame macro="">
      <xdr:nvGraphicFramePr>
        <xdr:cNvPr id="31" name="18 Gráfico">
          <a:extLst>
            <a:ext uri="{FF2B5EF4-FFF2-40B4-BE49-F238E27FC236}">
              <a16:creationId xmlns:a16="http://schemas.microsoft.com/office/drawing/2014/main" id="{00000000-0008-0000-0600-00001F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4"/>
        </a:graphicData>
      </a:graphic>
    </xdr:graphicFrame>
    <xdr:clientData/>
  </xdr:twoCellAnchor>
  <xdr:twoCellAnchor>
    <xdr:from>
      <xdr:col>4</xdr:col>
      <xdr:colOff>371475</xdr:colOff>
      <xdr:row>657</xdr:row>
      <xdr:rowOff>28575</xdr:rowOff>
    </xdr:from>
    <xdr:to>
      <xdr:col>10</xdr:col>
      <xdr:colOff>47626</xdr:colOff>
      <xdr:row>670</xdr:row>
      <xdr:rowOff>139616</xdr:rowOff>
    </xdr:to>
    <xdr:graphicFrame macro="">
      <xdr:nvGraphicFramePr>
        <xdr:cNvPr id="32" name="18 Gráfico">
          <a:extLst>
            <a:ext uri="{FF2B5EF4-FFF2-40B4-BE49-F238E27FC236}">
              <a16:creationId xmlns:a16="http://schemas.microsoft.com/office/drawing/2014/main" id="{00000000-0008-0000-0600-000020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5"/>
        </a:graphicData>
      </a:graphic>
    </xdr:graphicFrame>
    <xdr:clientData/>
  </xdr:twoCellAnchor>
  <xdr:twoCellAnchor>
    <xdr:from>
      <xdr:col>1</xdr:col>
      <xdr:colOff>209550</xdr:colOff>
      <xdr:row>674</xdr:row>
      <xdr:rowOff>171450</xdr:rowOff>
    </xdr:from>
    <xdr:to>
      <xdr:col>4</xdr:col>
      <xdr:colOff>104775</xdr:colOff>
      <xdr:row>689</xdr:row>
      <xdr:rowOff>57150</xdr:rowOff>
    </xdr:to>
    <xdr:graphicFrame macro="">
      <xdr:nvGraphicFramePr>
        <xdr:cNvPr id="33" name="Gráfico 32">
          <a:extLst>
            <a:ext uri="{FF2B5EF4-FFF2-40B4-BE49-F238E27FC236}">
              <a16:creationId xmlns:a16="http://schemas.microsoft.com/office/drawing/2014/main" id="{00000000-0008-0000-0600-000021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6"/>
        </a:graphicData>
      </a:graphic>
    </xdr:graphicFrame>
    <xdr:clientData/>
  </xdr:twoCellAnchor>
  <xdr:twoCellAnchor>
    <xdr:from>
      <xdr:col>4</xdr:col>
      <xdr:colOff>352425</xdr:colOff>
      <xdr:row>674</xdr:row>
      <xdr:rowOff>171450</xdr:rowOff>
    </xdr:from>
    <xdr:to>
      <xdr:col>9</xdr:col>
      <xdr:colOff>581025</xdr:colOff>
      <xdr:row>689</xdr:row>
      <xdr:rowOff>76200</xdr:rowOff>
    </xdr:to>
    <xdr:graphicFrame macro="">
      <xdr:nvGraphicFramePr>
        <xdr:cNvPr id="34" name="Gráfico 33">
          <a:extLst>
            <a:ext uri="{FF2B5EF4-FFF2-40B4-BE49-F238E27FC236}">
              <a16:creationId xmlns:a16="http://schemas.microsoft.com/office/drawing/2014/main" id="{00000000-0008-0000-0600-00002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7"/>
        </a:graphicData>
      </a:graphic>
    </xdr:graphicFrame>
    <xdr:clientData/>
  </xdr:twoCellAnchor>
  <xdr:twoCellAnchor>
    <xdr:from>
      <xdr:col>1</xdr:col>
      <xdr:colOff>2800350</xdr:colOff>
      <xdr:row>690</xdr:row>
      <xdr:rowOff>28575</xdr:rowOff>
    </xdr:from>
    <xdr:to>
      <xdr:col>7</xdr:col>
      <xdr:colOff>123825</xdr:colOff>
      <xdr:row>704</xdr:row>
      <xdr:rowOff>70485</xdr:rowOff>
    </xdr:to>
    <xdr:graphicFrame macro="">
      <xdr:nvGraphicFramePr>
        <xdr:cNvPr id="35" name="Gráfico 34">
          <a:extLst>
            <a:ext uri="{FF2B5EF4-FFF2-40B4-BE49-F238E27FC236}">
              <a16:creationId xmlns:a16="http://schemas.microsoft.com/office/drawing/2014/main" id="{00000000-0008-0000-0600-00002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8"/>
        </a:graphicData>
      </a:graphic>
    </xdr:graphicFrame>
    <xdr:clientData/>
  </xdr:twoCellAnchor>
  <xdr:twoCellAnchor>
    <xdr:from>
      <xdr:col>0</xdr:col>
      <xdr:colOff>440530</xdr:colOff>
      <xdr:row>207</xdr:row>
      <xdr:rowOff>130970</xdr:rowOff>
    </xdr:from>
    <xdr:to>
      <xdr:col>3</xdr:col>
      <xdr:colOff>762000</xdr:colOff>
      <xdr:row>221</xdr:row>
      <xdr:rowOff>35719</xdr:rowOff>
    </xdr:to>
    <xdr:graphicFrame macro="">
      <xdr:nvGraphicFramePr>
        <xdr:cNvPr id="55" name="Gráfico 54">
          <a:extLst>
            <a:ext uri="{FF2B5EF4-FFF2-40B4-BE49-F238E27FC236}">
              <a16:creationId xmlns:a16="http://schemas.microsoft.com/office/drawing/2014/main" id="{00000000-0008-0000-0600-00003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9"/>
        </a:graphicData>
      </a:graphic>
    </xdr:graphicFrame>
    <xdr:clientData/>
  </xdr:twoCellAnchor>
  <xdr:twoCellAnchor>
    <xdr:from>
      <xdr:col>4</xdr:col>
      <xdr:colOff>392907</xdr:colOff>
      <xdr:row>207</xdr:row>
      <xdr:rowOff>130969</xdr:rowOff>
    </xdr:from>
    <xdr:to>
      <xdr:col>9</xdr:col>
      <xdr:colOff>678656</xdr:colOff>
      <xdr:row>221</xdr:row>
      <xdr:rowOff>23812</xdr:rowOff>
    </xdr:to>
    <xdr:graphicFrame macro="">
      <xdr:nvGraphicFramePr>
        <xdr:cNvPr id="56" name="Gráfico 55">
          <a:extLst>
            <a:ext uri="{FF2B5EF4-FFF2-40B4-BE49-F238E27FC236}">
              <a16:creationId xmlns:a16="http://schemas.microsoft.com/office/drawing/2014/main" id="{00000000-0008-0000-0600-00003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0"/>
        </a:graphicData>
      </a:graphic>
    </xdr:graphicFrame>
    <xdr:clientData/>
  </xdr:twoCellAnchor>
  <xdr:twoCellAnchor>
    <xdr:from>
      <xdr:col>4</xdr:col>
      <xdr:colOff>404814</xdr:colOff>
      <xdr:row>192</xdr:row>
      <xdr:rowOff>130966</xdr:rowOff>
    </xdr:from>
    <xdr:to>
      <xdr:col>9</xdr:col>
      <xdr:colOff>690562</xdr:colOff>
      <xdr:row>206</xdr:row>
      <xdr:rowOff>11906</xdr:rowOff>
    </xdr:to>
    <xdr:graphicFrame macro="">
      <xdr:nvGraphicFramePr>
        <xdr:cNvPr id="57" name="Gráfico 56">
          <a:extLst>
            <a:ext uri="{FF2B5EF4-FFF2-40B4-BE49-F238E27FC236}">
              <a16:creationId xmlns:a16="http://schemas.microsoft.com/office/drawing/2014/main" id="{00000000-0008-0000-0600-00003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1"/>
        </a:graphicData>
      </a:graphic>
    </xdr:graphicFrame>
    <xdr:clientData/>
  </xdr:twoCellAnchor>
  <xdr:twoCellAnchor>
    <xdr:from>
      <xdr:col>0</xdr:col>
      <xdr:colOff>452437</xdr:colOff>
      <xdr:row>192</xdr:row>
      <xdr:rowOff>130969</xdr:rowOff>
    </xdr:from>
    <xdr:to>
      <xdr:col>3</xdr:col>
      <xdr:colOff>750094</xdr:colOff>
      <xdr:row>206</xdr:row>
      <xdr:rowOff>23812</xdr:rowOff>
    </xdr:to>
    <xdr:graphicFrame macro="">
      <xdr:nvGraphicFramePr>
        <xdr:cNvPr id="58" name="Gráfico 57">
          <a:extLst>
            <a:ext uri="{FF2B5EF4-FFF2-40B4-BE49-F238E27FC236}">
              <a16:creationId xmlns:a16="http://schemas.microsoft.com/office/drawing/2014/main" id="{00000000-0008-0000-0600-00003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2"/>
        </a:graphicData>
      </a:graphic>
    </xdr:graphicFrame>
    <xdr:clientData/>
  </xdr:twoCellAnchor>
  <xdr:twoCellAnchor>
    <xdr:from>
      <xdr:col>1</xdr:col>
      <xdr:colOff>1</xdr:colOff>
      <xdr:row>297</xdr:row>
      <xdr:rowOff>71437</xdr:rowOff>
    </xdr:from>
    <xdr:to>
      <xdr:col>3</xdr:col>
      <xdr:colOff>750094</xdr:colOff>
      <xdr:row>310</xdr:row>
      <xdr:rowOff>166686</xdr:rowOff>
    </xdr:to>
    <xdr:graphicFrame macro="">
      <xdr:nvGraphicFramePr>
        <xdr:cNvPr id="59" name="Gráfico 58">
          <a:extLst>
            <a:ext uri="{FF2B5EF4-FFF2-40B4-BE49-F238E27FC236}">
              <a16:creationId xmlns:a16="http://schemas.microsoft.com/office/drawing/2014/main" id="{00000000-0008-0000-0600-00003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3"/>
        </a:graphicData>
      </a:graphic>
    </xdr:graphicFrame>
    <xdr:clientData/>
  </xdr:twoCellAnchor>
  <xdr:twoCellAnchor>
    <xdr:from>
      <xdr:col>4</xdr:col>
      <xdr:colOff>500063</xdr:colOff>
      <xdr:row>297</xdr:row>
      <xdr:rowOff>71438</xdr:rowOff>
    </xdr:from>
    <xdr:to>
      <xdr:col>9</xdr:col>
      <xdr:colOff>666749</xdr:colOff>
      <xdr:row>310</xdr:row>
      <xdr:rowOff>178594</xdr:rowOff>
    </xdr:to>
    <xdr:graphicFrame macro="">
      <xdr:nvGraphicFramePr>
        <xdr:cNvPr id="60" name="Gráfico 59">
          <a:extLst>
            <a:ext uri="{FF2B5EF4-FFF2-40B4-BE49-F238E27FC236}">
              <a16:creationId xmlns:a16="http://schemas.microsoft.com/office/drawing/2014/main" id="{00000000-0008-0000-0600-00003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4"/>
        </a:graphicData>
      </a:graphic>
    </xdr:graphicFrame>
    <xdr:clientData/>
  </xdr:twoCellAnchor>
  <xdr:twoCellAnchor>
    <xdr:from>
      <xdr:col>4</xdr:col>
      <xdr:colOff>500063</xdr:colOff>
      <xdr:row>283</xdr:row>
      <xdr:rowOff>-1</xdr:rowOff>
    </xdr:from>
    <xdr:to>
      <xdr:col>9</xdr:col>
      <xdr:colOff>666750</xdr:colOff>
      <xdr:row>296</xdr:row>
      <xdr:rowOff>95248</xdr:rowOff>
    </xdr:to>
    <xdr:graphicFrame macro="">
      <xdr:nvGraphicFramePr>
        <xdr:cNvPr id="62" name="Gráfico 61">
          <a:extLst>
            <a:ext uri="{FF2B5EF4-FFF2-40B4-BE49-F238E27FC236}">
              <a16:creationId xmlns:a16="http://schemas.microsoft.com/office/drawing/2014/main" id="{00000000-0008-0000-0600-00003E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5"/>
        </a:graphicData>
      </a:graphic>
    </xdr:graphicFrame>
    <xdr:clientData/>
  </xdr:twoCellAnchor>
  <xdr:twoCellAnchor>
    <xdr:from>
      <xdr:col>1</xdr:col>
      <xdr:colOff>0</xdr:colOff>
      <xdr:row>283</xdr:row>
      <xdr:rowOff>0</xdr:rowOff>
    </xdr:from>
    <xdr:to>
      <xdr:col>3</xdr:col>
      <xdr:colOff>750094</xdr:colOff>
      <xdr:row>296</xdr:row>
      <xdr:rowOff>95250</xdr:rowOff>
    </xdr:to>
    <xdr:graphicFrame macro="">
      <xdr:nvGraphicFramePr>
        <xdr:cNvPr id="66" name="Gráfico 65">
          <a:extLst>
            <a:ext uri="{FF2B5EF4-FFF2-40B4-BE49-F238E27FC236}">
              <a16:creationId xmlns:a16="http://schemas.microsoft.com/office/drawing/2014/main" id="{00000000-0008-0000-0600-00004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6"/>
        </a:graphicData>
      </a:graphic>
    </xdr:graphicFrame>
    <xdr:clientData/>
  </xdr:twoCellAnchor>
  <xdr:twoCellAnchor>
    <xdr:from>
      <xdr:col>0</xdr:col>
      <xdr:colOff>452437</xdr:colOff>
      <xdr:row>380</xdr:row>
      <xdr:rowOff>35718</xdr:rowOff>
    </xdr:from>
    <xdr:to>
      <xdr:col>3</xdr:col>
      <xdr:colOff>619125</xdr:colOff>
      <xdr:row>394</xdr:row>
      <xdr:rowOff>11906</xdr:rowOff>
    </xdr:to>
    <xdr:graphicFrame macro="">
      <xdr:nvGraphicFramePr>
        <xdr:cNvPr id="67" name="Gráfico 66">
          <a:extLst>
            <a:ext uri="{FF2B5EF4-FFF2-40B4-BE49-F238E27FC236}">
              <a16:creationId xmlns:a16="http://schemas.microsoft.com/office/drawing/2014/main" id="{00000000-0008-0000-0600-00004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7"/>
        </a:graphicData>
      </a:graphic>
    </xdr:graphicFrame>
    <xdr:clientData/>
  </xdr:twoCellAnchor>
  <xdr:twoCellAnchor>
    <xdr:from>
      <xdr:col>4</xdr:col>
      <xdr:colOff>440533</xdr:colOff>
      <xdr:row>380</xdr:row>
      <xdr:rowOff>71438</xdr:rowOff>
    </xdr:from>
    <xdr:to>
      <xdr:col>9</xdr:col>
      <xdr:colOff>654845</xdr:colOff>
      <xdr:row>394</xdr:row>
      <xdr:rowOff>35718</xdr:rowOff>
    </xdr:to>
    <xdr:graphicFrame macro="">
      <xdr:nvGraphicFramePr>
        <xdr:cNvPr id="68" name="Gráfico 67">
          <a:extLst>
            <a:ext uri="{FF2B5EF4-FFF2-40B4-BE49-F238E27FC236}">
              <a16:creationId xmlns:a16="http://schemas.microsoft.com/office/drawing/2014/main" id="{00000000-0008-0000-0600-00004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8"/>
        </a:graphicData>
      </a:graphic>
    </xdr:graphicFrame>
    <xdr:clientData/>
  </xdr:twoCellAnchor>
  <xdr:twoCellAnchor>
    <xdr:from>
      <xdr:col>4</xdr:col>
      <xdr:colOff>428624</xdr:colOff>
      <xdr:row>365</xdr:row>
      <xdr:rowOff>154779</xdr:rowOff>
    </xdr:from>
    <xdr:to>
      <xdr:col>9</xdr:col>
      <xdr:colOff>654844</xdr:colOff>
      <xdr:row>379</xdr:row>
      <xdr:rowOff>119062</xdr:rowOff>
    </xdr:to>
    <xdr:graphicFrame macro="">
      <xdr:nvGraphicFramePr>
        <xdr:cNvPr id="69" name="Gráfico 68">
          <a:extLst>
            <a:ext uri="{FF2B5EF4-FFF2-40B4-BE49-F238E27FC236}">
              <a16:creationId xmlns:a16="http://schemas.microsoft.com/office/drawing/2014/main" id="{00000000-0008-0000-0600-00004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9"/>
        </a:graphicData>
      </a:graphic>
    </xdr:graphicFrame>
    <xdr:clientData/>
  </xdr:twoCellAnchor>
  <xdr:twoCellAnchor>
    <xdr:from>
      <xdr:col>1</xdr:col>
      <xdr:colOff>0</xdr:colOff>
      <xdr:row>366</xdr:row>
      <xdr:rowOff>0</xdr:rowOff>
    </xdr:from>
    <xdr:to>
      <xdr:col>3</xdr:col>
      <xdr:colOff>619126</xdr:colOff>
      <xdr:row>379</xdr:row>
      <xdr:rowOff>107156</xdr:rowOff>
    </xdr:to>
    <xdr:graphicFrame macro="">
      <xdr:nvGraphicFramePr>
        <xdr:cNvPr id="75" name="Gráfico 74">
          <a:extLst>
            <a:ext uri="{FF2B5EF4-FFF2-40B4-BE49-F238E27FC236}">
              <a16:creationId xmlns:a16="http://schemas.microsoft.com/office/drawing/2014/main" id="{00000000-0008-0000-0600-00004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0"/>
        </a:graphicData>
      </a:graphic>
    </xdr:graphicFrame>
    <xdr:clientData/>
  </xdr:twoCellAnchor>
  <xdr:twoCellAnchor>
    <xdr:from>
      <xdr:col>1</xdr:col>
      <xdr:colOff>35719</xdr:colOff>
      <xdr:row>462</xdr:row>
      <xdr:rowOff>154781</xdr:rowOff>
    </xdr:from>
    <xdr:to>
      <xdr:col>3</xdr:col>
      <xdr:colOff>726281</xdr:colOff>
      <xdr:row>476</xdr:row>
      <xdr:rowOff>190499</xdr:rowOff>
    </xdr:to>
    <xdr:graphicFrame macro="">
      <xdr:nvGraphicFramePr>
        <xdr:cNvPr id="76" name="Gráfico 75">
          <a:extLst>
            <a:ext uri="{FF2B5EF4-FFF2-40B4-BE49-F238E27FC236}">
              <a16:creationId xmlns:a16="http://schemas.microsoft.com/office/drawing/2014/main" id="{00000000-0008-0000-0600-00004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1"/>
        </a:graphicData>
      </a:graphic>
    </xdr:graphicFrame>
    <xdr:clientData/>
  </xdr:twoCellAnchor>
  <xdr:twoCellAnchor>
    <xdr:from>
      <xdr:col>4</xdr:col>
      <xdr:colOff>428627</xdr:colOff>
      <xdr:row>462</xdr:row>
      <xdr:rowOff>142873</xdr:rowOff>
    </xdr:from>
    <xdr:to>
      <xdr:col>9</xdr:col>
      <xdr:colOff>631032</xdr:colOff>
      <xdr:row>476</xdr:row>
      <xdr:rowOff>154780</xdr:rowOff>
    </xdr:to>
    <xdr:graphicFrame macro="">
      <xdr:nvGraphicFramePr>
        <xdr:cNvPr id="77" name="Gráfico 76">
          <a:extLst>
            <a:ext uri="{FF2B5EF4-FFF2-40B4-BE49-F238E27FC236}">
              <a16:creationId xmlns:a16="http://schemas.microsoft.com/office/drawing/2014/main" id="{00000000-0008-0000-0600-00004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2"/>
        </a:graphicData>
      </a:graphic>
    </xdr:graphicFrame>
    <xdr:clientData/>
  </xdr:twoCellAnchor>
  <xdr:twoCellAnchor>
    <xdr:from>
      <xdr:col>4</xdr:col>
      <xdr:colOff>416717</xdr:colOff>
      <xdr:row>447</xdr:row>
      <xdr:rowOff>71437</xdr:rowOff>
    </xdr:from>
    <xdr:to>
      <xdr:col>9</xdr:col>
      <xdr:colOff>642937</xdr:colOff>
      <xdr:row>461</xdr:row>
      <xdr:rowOff>71437</xdr:rowOff>
    </xdr:to>
    <xdr:graphicFrame macro="">
      <xdr:nvGraphicFramePr>
        <xdr:cNvPr id="78" name="Gráfico 77">
          <a:extLst>
            <a:ext uri="{FF2B5EF4-FFF2-40B4-BE49-F238E27FC236}">
              <a16:creationId xmlns:a16="http://schemas.microsoft.com/office/drawing/2014/main" id="{00000000-0008-0000-0600-00004E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3"/>
        </a:graphicData>
      </a:graphic>
    </xdr:graphicFrame>
    <xdr:clientData/>
  </xdr:twoCellAnchor>
  <xdr:twoCellAnchor>
    <xdr:from>
      <xdr:col>1</xdr:col>
      <xdr:colOff>35719</xdr:colOff>
      <xdr:row>447</xdr:row>
      <xdr:rowOff>83343</xdr:rowOff>
    </xdr:from>
    <xdr:to>
      <xdr:col>3</xdr:col>
      <xdr:colOff>714376</xdr:colOff>
      <xdr:row>461</xdr:row>
      <xdr:rowOff>59530</xdr:rowOff>
    </xdr:to>
    <xdr:graphicFrame macro="">
      <xdr:nvGraphicFramePr>
        <xdr:cNvPr id="81" name="Gráfico 80">
          <a:extLst>
            <a:ext uri="{FF2B5EF4-FFF2-40B4-BE49-F238E27FC236}">
              <a16:creationId xmlns:a16="http://schemas.microsoft.com/office/drawing/2014/main" id="{00000000-0008-0000-0600-000051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4"/>
        </a:graphicData>
      </a:graphic>
    </xdr:graphicFrame>
    <xdr:clientData/>
  </xdr:twoCellAnchor>
  <xdr:twoCellAnchor>
    <xdr:from>
      <xdr:col>1</xdr:col>
      <xdr:colOff>357187</xdr:colOff>
      <xdr:row>738</xdr:row>
      <xdr:rowOff>166687</xdr:rowOff>
    </xdr:from>
    <xdr:to>
      <xdr:col>4</xdr:col>
      <xdr:colOff>305591</xdr:colOff>
      <xdr:row>755</xdr:row>
      <xdr:rowOff>59530</xdr:rowOff>
    </xdr:to>
    <xdr:graphicFrame macro="">
      <xdr:nvGraphicFramePr>
        <xdr:cNvPr id="48" name="Gráfico 4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5"/>
        </a:graphicData>
      </a:graphic>
    </xdr:graphicFrame>
    <xdr:clientData/>
  </xdr:twoCellAnchor>
  <xdr:twoCellAnchor>
    <xdr:from>
      <xdr:col>4</xdr:col>
      <xdr:colOff>392906</xdr:colOff>
      <xdr:row>738</xdr:row>
      <xdr:rowOff>166687</xdr:rowOff>
    </xdr:from>
    <xdr:to>
      <xdr:col>9</xdr:col>
      <xdr:colOff>722311</xdr:colOff>
      <xdr:row>755</xdr:row>
      <xdr:rowOff>59530</xdr:rowOff>
    </xdr:to>
    <xdr:graphicFrame macro="">
      <xdr:nvGraphicFramePr>
        <xdr:cNvPr id="50" name="Gráfico 4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6"/>
        </a:graphicData>
      </a:graphic>
    </xdr:graphicFrame>
    <xdr:clientData/>
  </xdr:twoCellAnchor>
  <xdr:twoCellAnchor>
    <xdr:from>
      <xdr:col>1</xdr:col>
      <xdr:colOff>345280</xdr:colOff>
      <xdr:row>756</xdr:row>
      <xdr:rowOff>107156</xdr:rowOff>
    </xdr:from>
    <xdr:to>
      <xdr:col>4</xdr:col>
      <xdr:colOff>309561</xdr:colOff>
      <xdr:row>773</xdr:row>
      <xdr:rowOff>9524</xdr:rowOff>
    </xdr:to>
    <xdr:graphicFrame macro="">
      <xdr:nvGraphicFramePr>
        <xdr:cNvPr id="52" name="Gráfico 5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7"/>
        </a:graphicData>
      </a:graphic>
    </xdr:graphicFrame>
    <xdr:clientData/>
  </xdr:twoCellAnchor>
  <xdr:twoCellAnchor>
    <xdr:from>
      <xdr:col>4</xdr:col>
      <xdr:colOff>392906</xdr:colOff>
      <xdr:row>756</xdr:row>
      <xdr:rowOff>107155</xdr:rowOff>
    </xdr:from>
    <xdr:to>
      <xdr:col>9</xdr:col>
      <xdr:colOff>726281</xdr:colOff>
      <xdr:row>773</xdr:row>
      <xdr:rowOff>2379</xdr:rowOff>
    </xdr:to>
    <xdr:graphicFrame macro="">
      <xdr:nvGraphicFramePr>
        <xdr:cNvPr id="54" name="Gráfico 5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8"/>
        </a:graphicData>
      </a:graphic>
    </xdr:graphicFrame>
    <xdr:clientData/>
  </xdr:twoCellAnchor>
  <xdr:twoCellAnchor>
    <xdr:from>
      <xdr:col>1</xdr:col>
      <xdr:colOff>380999</xdr:colOff>
      <xdr:row>774</xdr:row>
      <xdr:rowOff>42333</xdr:rowOff>
    </xdr:from>
    <xdr:to>
      <xdr:col>4</xdr:col>
      <xdr:colOff>285749</xdr:colOff>
      <xdr:row>790</xdr:row>
      <xdr:rowOff>126999</xdr:rowOff>
    </xdr:to>
    <xdr:graphicFrame macro="">
      <xdr:nvGraphicFramePr>
        <xdr:cNvPr id="51" name="Gráfico 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9"/>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xdr:from>
      <xdr:col>1</xdr:col>
      <xdr:colOff>0</xdr:colOff>
      <xdr:row>20</xdr:row>
      <xdr:rowOff>100012</xdr:rowOff>
    </xdr:from>
    <xdr:to>
      <xdr:col>2</xdr:col>
      <xdr:colOff>33338</xdr:colOff>
      <xdr:row>31</xdr:row>
      <xdr:rowOff>161925</xdr:rowOff>
    </xdr:to>
    <xdr:graphicFrame macro="">
      <xdr:nvGraphicFramePr>
        <xdr:cNvPr id="2" name="Gráfico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9525</xdr:colOff>
      <xdr:row>32</xdr:row>
      <xdr:rowOff>61912</xdr:rowOff>
    </xdr:from>
    <xdr:to>
      <xdr:col>2</xdr:col>
      <xdr:colOff>19050</xdr:colOff>
      <xdr:row>44</xdr:row>
      <xdr:rowOff>24324</xdr:rowOff>
    </xdr:to>
    <xdr:graphicFrame macro="">
      <xdr:nvGraphicFramePr>
        <xdr:cNvPr id="3" name="Gráfico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xdr:col>
      <xdr:colOff>142875</xdr:colOff>
      <xdr:row>20</xdr:row>
      <xdr:rowOff>90487</xdr:rowOff>
    </xdr:from>
    <xdr:to>
      <xdr:col>5</xdr:col>
      <xdr:colOff>827088</xdr:colOff>
      <xdr:row>31</xdr:row>
      <xdr:rowOff>171450</xdr:rowOff>
    </xdr:to>
    <xdr:graphicFrame macro="">
      <xdr:nvGraphicFramePr>
        <xdr:cNvPr id="4" name="Gráfico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xdr:col>
      <xdr:colOff>142875</xdr:colOff>
      <xdr:row>32</xdr:row>
      <xdr:rowOff>71437</xdr:rowOff>
    </xdr:from>
    <xdr:to>
      <xdr:col>5</xdr:col>
      <xdr:colOff>847725</xdr:colOff>
      <xdr:row>44</xdr:row>
      <xdr:rowOff>42862</xdr:rowOff>
    </xdr:to>
    <xdr:graphicFrame macro="">
      <xdr:nvGraphicFramePr>
        <xdr:cNvPr id="5" name="Gráfico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documentos\Fernando%20Rincon%202018\Objetivo%201\ESTADOS%20FINANCIEROS%20LABS%202014%20-%20201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F CONSOLI 17-16"/>
      <sheetName val="ESF CONSOLI 16-15"/>
      <sheetName val="ESF CONSOLI 15-14"/>
      <sheetName val="ER 2017"/>
      <sheetName val="ESF 2017"/>
      <sheetName val="EFE"/>
      <sheetName val=" ER 2016"/>
      <sheetName val="ESF 2016"/>
      <sheetName val="ER 2015"/>
      <sheetName val="ESF 2015"/>
      <sheetName val="ER 2014"/>
      <sheetName val="BALANCE 2014"/>
    </sheetNames>
    <sheetDataSet>
      <sheetData sheetId="0"/>
      <sheetData sheetId="1"/>
      <sheetData sheetId="2"/>
      <sheetData sheetId="3">
        <row r="76">
          <cell r="B76">
            <v>9709000</v>
          </cell>
        </row>
        <row r="78">
          <cell r="C78">
            <v>13083000</v>
          </cell>
        </row>
      </sheetData>
      <sheetData sheetId="4"/>
      <sheetData sheetId="5"/>
      <sheetData sheetId="6">
        <row r="63">
          <cell r="C63">
            <v>2394000</v>
          </cell>
        </row>
      </sheetData>
      <sheetData sheetId="7"/>
      <sheetData sheetId="8"/>
      <sheetData sheetId="9"/>
      <sheetData sheetId="10"/>
      <sheetData sheetId="11">
        <row r="41">
          <cell r="C41">
            <v>2780000</v>
          </cell>
        </row>
        <row r="43">
          <cell r="C43">
            <v>32509000</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J47"/>
  <sheetViews>
    <sheetView workbookViewId="0">
      <selection activeCell="H1" sqref="H1"/>
    </sheetView>
  </sheetViews>
  <sheetFormatPr baseColWidth="10" defaultColWidth="10.7109375" defaultRowHeight="15.75"/>
  <cols>
    <col min="1" max="1" width="4" style="14" customWidth="1"/>
    <col min="2" max="2" width="34" style="14" customWidth="1"/>
    <col min="3" max="3" width="14" style="7" customWidth="1"/>
    <col min="4" max="4" width="12.85546875" style="7" customWidth="1"/>
    <col min="5" max="5" width="12" style="7" customWidth="1"/>
    <col min="6" max="6" width="11" style="21" customWidth="1"/>
    <col min="7" max="7" width="19" style="14" customWidth="1"/>
    <col min="8" max="9" width="12.85546875" style="14" bestFit="1" customWidth="1"/>
    <col min="10" max="256" width="11.42578125" style="14"/>
    <col min="257" max="257" width="45.28515625" style="14" customWidth="1"/>
    <col min="258" max="258" width="16.85546875" style="14" customWidth="1"/>
    <col min="259" max="260" width="16.5703125" style="14" customWidth="1"/>
    <col min="261" max="261" width="15.28515625" style="14" bestFit="1" customWidth="1"/>
    <col min="262" max="262" width="16.5703125" style="14" bestFit="1" customWidth="1"/>
    <col min="263" max="263" width="19" style="14" customWidth="1"/>
    <col min="264" max="265" width="12.85546875" style="14" bestFit="1" customWidth="1"/>
    <col min="266" max="512" width="11.42578125" style="14"/>
    <col min="513" max="513" width="45.28515625" style="14" customWidth="1"/>
    <col min="514" max="514" width="16.85546875" style="14" customWidth="1"/>
    <col min="515" max="516" width="16.5703125" style="14" customWidth="1"/>
    <col min="517" max="517" width="15.28515625" style="14" bestFit="1" customWidth="1"/>
    <col min="518" max="518" width="16.5703125" style="14" bestFit="1" customWidth="1"/>
    <col min="519" max="519" width="19" style="14" customWidth="1"/>
    <col min="520" max="521" width="12.85546875" style="14" bestFit="1" customWidth="1"/>
    <col min="522" max="768" width="11.42578125" style="14"/>
    <col min="769" max="769" width="45.28515625" style="14" customWidth="1"/>
    <col min="770" max="770" width="16.85546875" style="14" customWidth="1"/>
    <col min="771" max="772" width="16.5703125" style="14" customWidth="1"/>
    <col min="773" max="773" width="15.28515625" style="14" bestFit="1" customWidth="1"/>
    <col min="774" max="774" width="16.5703125" style="14" bestFit="1" customWidth="1"/>
    <col min="775" max="775" width="19" style="14" customWidth="1"/>
    <col min="776" max="777" width="12.85546875" style="14" bestFit="1" customWidth="1"/>
    <col min="778" max="1024" width="11.42578125" style="14"/>
    <col min="1025" max="1025" width="45.28515625" style="14" customWidth="1"/>
    <col min="1026" max="1026" width="16.85546875" style="14" customWidth="1"/>
    <col min="1027" max="1028" width="16.5703125" style="14" customWidth="1"/>
    <col min="1029" max="1029" width="15.28515625" style="14" bestFit="1" customWidth="1"/>
    <col min="1030" max="1030" width="16.5703125" style="14" bestFit="1" customWidth="1"/>
    <col min="1031" max="1031" width="19" style="14" customWidth="1"/>
    <col min="1032" max="1033" width="12.85546875" style="14" bestFit="1" customWidth="1"/>
    <col min="1034" max="1280" width="11.42578125" style="14"/>
    <col min="1281" max="1281" width="45.28515625" style="14" customWidth="1"/>
    <col min="1282" max="1282" width="16.85546875" style="14" customWidth="1"/>
    <col min="1283" max="1284" width="16.5703125" style="14" customWidth="1"/>
    <col min="1285" max="1285" width="15.28515625" style="14" bestFit="1" customWidth="1"/>
    <col min="1286" max="1286" width="16.5703125" style="14" bestFit="1" customWidth="1"/>
    <col min="1287" max="1287" width="19" style="14" customWidth="1"/>
    <col min="1288" max="1289" width="12.85546875" style="14" bestFit="1" customWidth="1"/>
    <col min="1290" max="1536" width="11.42578125" style="14"/>
    <col min="1537" max="1537" width="45.28515625" style="14" customWidth="1"/>
    <col min="1538" max="1538" width="16.85546875" style="14" customWidth="1"/>
    <col min="1539" max="1540" width="16.5703125" style="14" customWidth="1"/>
    <col min="1541" max="1541" width="15.28515625" style="14" bestFit="1" customWidth="1"/>
    <col min="1542" max="1542" width="16.5703125" style="14" bestFit="1" customWidth="1"/>
    <col min="1543" max="1543" width="19" style="14" customWidth="1"/>
    <col min="1544" max="1545" width="12.85546875" style="14" bestFit="1" customWidth="1"/>
    <col min="1546" max="1792" width="11.42578125" style="14"/>
    <col min="1793" max="1793" width="45.28515625" style="14" customWidth="1"/>
    <col min="1794" max="1794" width="16.85546875" style="14" customWidth="1"/>
    <col min="1795" max="1796" width="16.5703125" style="14" customWidth="1"/>
    <col min="1797" max="1797" width="15.28515625" style="14" bestFit="1" customWidth="1"/>
    <col min="1798" max="1798" width="16.5703125" style="14" bestFit="1" customWidth="1"/>
    <col min="1799" max="1799" width="19" style="14" customWidth="1"/>
    <col min="1800" max="1801" width="12.85546875" style="14" bestFit="1" customWidth="1"/>
    <col min="1802" max="2048" width="11.42578125" style="14"/>
    <col min="2049" max="2049" width="45.28515625" style="14" customWidth="1"/>
    <col min="2050" max="2050" width="16.85546875" style="14" customWidth="1"/>
    <col min="2051" max="2052" width="16.5703125" style="14" customWidth="1"/>
    <col min="2053" max="2053" width="15.28515625" style="14" bestFit="1" customWidth="1"/>
    <col min="2054" max="2054" width="16.5703125" style="14" bestFit="1" customWidth="1"/>
    <col min="2055" max="2055" width="19" style="14" customWidth="1"/>
    <col min="2056" max="2057" width="12.85546875" style="14" bestFit="1" customWidth="1"/>
    <col min="2058" max="2304" width="11.42578125" style="14"/>
    <col min="2305" max="2305" width="45.28515625" style="14" customWidth="1"/>
    <col min="2306" max="2306" width="16.85546875" style="14" customWidth="1"/>
    <col min="2307" max="2308" width="16.5703125" style="14" customWidth="1"/>
    <col min="2309" max="2309" width="15.28515625" style="14" bestFit="1" customWidth="1"/>
    <col min="2310" max="2310" width="16.5703125" style="14" bestFit="1" customWidth="1"/>
    <col min="2311" max="2311" width="19" style="14" customWidth="1"/>
    <col min="2312" max="2313" width="12.85546875" style="14" bestFit="1" customWidth="1"/>
    <col min="2314" max="2560" width="11.42578125" style="14"/>
    <col min="2561" max="2561" width="45.28515625" style="14" customWidth="1"/>
    <col min="2562" max="2562" width="16.85546875" style="14" customWidth="1"/>
    <col min="2563" max="2564" width="16.5703125" style="14" customWidth="1"/>
    <col min="2565" max="2565" width="15.28515625" style="14" bestFit="1" customWidth="1"/>
    <col min="2566" max="2566" width="16.5703125" style="14" bestFit="1" customWidth="1"/>
    <col min="2567" max="2567" width="19" style="14" customWidth="1"/>
    <col min="2568" max="2569" width="12.85546875" style="14" bestFit="1" customWidth="1"/>
    <col min="2570" max="2816" width="11.42578125" style="14"/>
    <col min="2817" max="2817" width="45.28515625" style="14" customWidth="1"/>
    <col min="2818" max="2818" width="16.85546875" style="14" customWidth="1"/>
    <col min="2819" max="2820" width="16.5703125" style="14" customWidth="1"/>
    <col min="2821" max="2821" width="15.28515625" style="14" bestFit="1" customWidth="1"/>
    <col min="2822" max="2822" width="16.5703125" style="14" bestFit="1" customWidth="1"/>
    <col min="2823" max="2823" width="19" style="14" customWidth="1"/>
    <col min="2824" max="2825" width="12.85546875" style="14" bestFit="1" customWidth="1"/>
    <col min="2826" max="3072" width="11.42578125" style="14"/>
    <col min="3073" max="3073" width="45.28515625" style="14" customWidth="1"/>
    <col min="3074" max="3074" width="16.85546875" style="14" customWidth="1"/>
    <col min="3075" max="3076" width="16.5703125" style="14" customWidth="1"/>
    <col min="3077" max="3077" width="15.28515625" style="14" bestFit="1" customWidth="1"/>
    <col min="3078" max="3078" width="16.5703125" style="14" bestFit="1" customWidth="1"/>
    <col min="3079" max="3079" width="19" style="14" customWidth="1"/>
    <col min="3080" max="3081" width="12.85546875" style="14" bestFit="1" customWidth="1"/>
    <col min="3082" max="3328" width="11.42578125" style="14"/>
    <col min="3329" max="3329" width="45.28515625" style="14" customWidth="1"/>
    <col min="3330" max="3330" width="16.85546875" style="14" customWidth="1"/>
    <col min="3331" max="3332" width="16.5703125" style="14" customWidth="1"/>
    <col min="3333" max="3333" width="15.28515625" style="14" bestFit="1" customWidth="1"/>
    <col min="3334" max="3334" width="16.5703125" style="14" bestFit="1" customWidth="1"/>
    <col min="3335" max="3335" width="19" style="14" customWidth="1"/>
    <col min="3336" max="3337" width="12.85546875" style="14" bestFit="1" customWidth="1"/>
    <col min="3338" max="3584" width="11.42578125" style="14"/>
    <col min="3585" max="3585" width="45.28515625" style="14" customWidth="1"/>
    <col min="3586" max="3586" width="16.85546875" style="14" customWidth="1"/>
    <col min="3587" max="3588" width="16.5703125" style="14" customWidth="1"/>
    <col min="3589" max="3589" width="15.28515625" style="14" bestFit="1" customWidth="1"/>
    <col min="3590" max="3590" width="16.5703125" style="14" bestFit="1" customWidth="1"/>
    <col min="3591" max="3591" width="19" style="14" customWidth="1"/>
    <col min="3592" max="3593" width="12.85546875" style="14" bestFit="1" customWidth="1"/>
    <col min="3594" max="3840" width="11.42578125" style="14"/>
    <col min="3841" max="3841" width="45.28515625" style="14" customWidth="1"/>
    <col min="3842" max="3842" width="16.85546875" style="14" customWidth="1"/>
    <col min="3843" max="3844" width="16.5703125" style="14" customWidth="1"/>
    <col min="3845" max="3845" width="15.28515625" style="14" bestFit="1" customWidth="1"/>
    <col min="3846" max="3846" width="16.5703125" style="14" bestFit="1" customWidth="1"/>
    <col min="3847" max="3847" width="19" style="14" customWidth="1"/>
    <col min="3848" max="3849" width="12.85546875" style="14" bestFit="1" customWidth="1"/>
    <col min="3850" max="4096" width="11.42578125" style="14"/>
    <col min="4097" max="4097" width="45.28515625" style="14" customWidth="1"/>
    <col min="4098" max="4098" width="16.85546875" style="14" customWidth="1"/>
    <col min="4099" max="4100" width="16.5703125" style="14" customWidth="1"/>
    <col min="4101" max="4101" width="15.28515625" style="14" bestFit="1" customWidth="1"/>
    <col min="4102" max="4102" width="16.5703125" style="14" bestFit="1" customWidth="1"/>
    <col min="4103" max="4103" width="19" style="14" customWidth="1"/>
    <col min="4104" max="4105" width="12.85546875" style="14" bestFit="1" customWidth="1"/>
    <col min="4106" max="4352" width="11.42578125" style="14"/>
    <col min="4353" max="4353" width="45.28515625" style="14" customWidth="1"/>
    <col min="4354" max="4354" width="16.85546875" style="14" customWidth="1"/>
    <col min="4355" max="4356" width="16.5703125" style="14" customWidth="1"/>
    <col min="4357" max="4357" width="15.28515625" style="14" bestFit="1" customWidth="1"/>
    <col min="4358" max="4358" width="16.5703125" style="14" bestFit="1" customWidth="1"/>
    <col min="4359" max="4359" width="19" style="14" customWidth="1"/>
    <col min="4360" max="4361" width="12.85546875" style="14" bestFit="1" customWidth="1"/>
    <col min="4362" max="4608" width="11.42578125" style="14"/>
    <col min="4609" max="4609" width="45.28515625" style="14" customWidth="1"/>
    <col min="4610" max="4610" width="16.85546875" style="14" customWidth="1"/>
    <col min="4611" max="4612" width="16.5703125" style="14" customWidth="1"/>
    <col min="4613" max="4613" width="15.28515625" style="14" bestFit="1" customWidth="1"/>
    <col min="4614" max="4614" width="16.5703125" style="14" bestFit="1" customWidth="1"/>
    <col min="4615" max="4615" width="19" style="14" customWidth="1"/>
    <col min="4616" max="4617" width="12.85546875" style="14" bestFit="1" customWidth="1"/>
    <col min="4618" max="4864" width="11.42578125" style="14"/>
    <col min="4865" max="4865" width="45.28515625" style="14" customWidth="1"/>
    <col min="4866" max="4866" width="16.85546875" style="14" customWidth="1"/>
    <col min="4867" max="4868" width="16.5703125" style="14" customWidth="1"/>
    <col min="4869" max="4869" width="15.28515625" style="14" bestFit="1" customWidth="1"/>
    <col min="4870" max="4870" width="16.5703125" style="14" bestFit="1" customWidth="1"/>
    <col min="4871" max="4871" width="19" style="14" customWidth="1"/>
    <col min="4872" max="4873" width="12.85546875" style="14" bestFit="1" customWidth="1"/>
    <col min="4874" max="5120" width="11.42578125" style="14"/>
    <col min="5121" max="5121" width="45.28515625" style="14" customWidth="1"/>
    <col min="5122" max="5122" width="16.85546875" style="14" customWidth="1"/>
    <col min="5123" max="5124" width="16.5703125" style="14" customWidth="1"/>
    <col min="5125" max="5125" width="15.28515625" style="14" bestFit="1" customWidth="1"/>
    <col min="5126" max="5126" width="16.5703125" style="14" bestFit="1" customWidth="1"/>
    <col min="5127" max="5127" width="19" style="14" customWidth="1"/>
    <col min="5128" max="5129" width="12.85546875" style="14" bestFit="1" customWidth="1"/>
    <col min="5130" max="5376" width="11.42578125" style="14"/>
    <col min="5377" max="5377" width="45.28515625" style="14" customWidth="1"/>
    <col min="5378" max="5378" width="16.85546875" style="14" customWidth="1"/>
    <col min="5379" max="5380" width="16.5703125" style="14" customWidth="1"/>
    <col min="5381" max="5381" width="15.28515625" style="14" bestFit="1" customWidth="1"/>
    <col min="5382" max="5382" width="16.5703125" style="14" bestFit="1" customWidth="1"/>
    <col min="5383" max="5383" width="19" style="14" customWidth="1"/>
    <col min="5384" max="5385" width="12.85546875" style="14" bestFit="1" customWidth="1"/>
    <col min="5386" max="5632" width="11.42578125" style="14"/>
    <col min="5633" max="5633" width="45.28515625" style="14" customWidth="1"/>
    <col min="5634" max="5634" width="16.85546875" style="14" customWidth="1"/>
    <col min="5635" max="5636" width="16.5703125" style="14" customWidth="1"/>
    <col min="5637" max="5637" width="15.28515625" style="14" bestFit="1" customWidth="1"/>
    <col min="5638" max="5638" width="16.5703125" style="14" bestFit="1" customWidth="1"/>
    <col min="5639" max="5639" width="19" style="14" customWidth="1"/>
    <col min="5640" max="5641" width="12.85546875" style="14" bestFit="1" customWidth="1"/>
    <col min="5642" max="5888" width="11.42578125" style="14"/>
    <col min="5889" max="5889" width="45.28515625" style="14" customWidth="1"/>
    <col min="5890" max="5890" width="16.85546875" style="14" customWidth="1"/>
    <col min="5891" max="5892" width="16.5703125" style="14" customWidth="1"/>
    <col min="5893" max="5893" width="15.28515625" style="14" bestFit="1" customWidth="1"/>
    <col min="5894" max="5894" width="16.5703125" style="14" bestFit="1" customWidth="1"/>
    <col min="5895" max="5895" width="19" style="14" customWidth="1"/>
    <col min="5896" max="5897" width="12.85546875" style="14" bestFit="1" customWidth="1"/>
    <col min="5898" max="6144" width="11.42578125" style="14"/>
    <col min="6145" max="6145" width="45.28515625" style="14" customWidth="1"/>
    <col min="6146" max="6146" width="16.85546875" style="14" customWidth="1"/>
    <col min="6147" max="6148" width="16.5703125" style="14" customWidth="1"/>
    <col min="6149" max="6149" width="15.28515625" style="14" bestFit="1" customWidth="1"/>
    <col min="6150" max="6150" width="16.5703125" style="14" bestFit="1" customWidth="1"/>
    <col min="6151" max="6151" width="19" style="14" customWidth="1"/>
    <col min="6152" max="6153" width="12.85546875" style="14" bestFit="1" customWidth="1"/>
    <col min="6154" max="6400" width="11.42578125" style="14"/>
    <col min="6401" max="6401" width="45.28515625" style="14" customWidth="1"/>
    <col min="6402" max="6402" width="16.85546875" style="14" customWidth="1"/>
    <col min="6403" max="6404" width="16.5703125" style="14" customWidth="1"/>
    <col min="6405" max="6405" width="15.28515625" style="14" bestFit="1" customWidth="1"/>
    <col min="6406" max="6406" width="16.5703125" style="14" bestFit="1" customWidth="1"/>
    <col min="6407" max="6407" width="19" style="14" customWidth="1"/>
    <col min="6408" max="6409" width="12.85546875" style="14" bestFit="1" customWidth="1"/>
    <col min="6410" max="6656" width="11.42578125" style="14"/>
    <col min="6657" max="6657" width="45.28515625" style="14" customWidth="1"/>
    <col min="6658" max="6658" width="16.85546875" style="14" customWidth="1"/>
    <col min="6659" max="6660" width="16.5703125" style="14" customWidth="1"/>
    <col min="6661" max="6661" width="15.28515625" style="14" bestFit="1" customWidth="1"/>
    <col min="6662" max="6662" width="16.5703125" style="14" bestFit="1" customWidth="1"/>
    <col min="6663" max="6663" width="19" style="14" customWidth="1"/>
    <col min="6664" max="6665" width="12.85546875" style="14" bestFit="1" customWidth="1"/>
    <col min="6666" max="6912" width="11.42578125" style="14"/>
    <col min="6913" max="6913" width="45.28515625" style="14" customWidth="1"/>
    <col min="6914" max="6914" width="16.85546875" style="14" customWidth="1"/>
    <col min="6915" max="6916" width="16.5703125" style="14" customWidth="1"/>
    <col min="6917" max="6917" width="15.28515625" style="14" bestFit="1" customWidth="1"/>
    <col min="6918" max="6918" width="16.5703125" style="14" bestFit="1" customWidth="1"/>
    <col min="6919" max="6919" width="19" style="14" customWidth="1"/>
    <col min="6920" max="6921" width="12.85546875" style="14" bestFit="1" customWidth="1"/>
    <col min="6922" max="7168" width="11.42578125" style="14"/>
    <col min="7169" max="7169" width="45.28515625" style="14" customWidth="1"/>
    <col min="7170" max="7170" width="16.85546875" style="14" customWidth="1"/>
    <col min="7171" max="7172" width="16.5703125" style="14" customWidth="1"/>
    <col min="7173" max="7173" width="15.28515625" style="14" bestFit="1" customWidth="1"/>
    <col min="7174" max="7174" width="16.5703125" style="14" bestFit="1" customWidth="1"/>
    <col min="7175" max="7175" width="19" style="14" customWidth="1"/>
    <col min="7176" max="7177" width="12.85546875" style="14" bestFit="1" customWidth="1"/>
    <col min="7178" max="7424" width="11.42578125" style="14"/>
    <col min="7425" max="7425" width="45.28515625" style="14" customWidth="1"/>
    <col min="7426" max="7426" width="16.85546875" style="14" customWidth="1"/>
    <col min="7427" max="7428" width="16.5703125" style="14" customWidth="1"/>
    <col min="7429" max="7429" width="15.28515625" style="14" bestFit="1" customWidth="1"/>
    <col min="7430" max="7430" width="16.5703125" style="14" bestFit="1" customWidth="1"/>
    <col min="7431" max="7431" width="19" style="14" customWidth="1"/>
    <col min="7432" max="7433" width="12.85546875" style="14" bestFit="1" customWidth="1"/>
    <col min="7434" max="7680" width="11.42578125" style="14"/>
    <col min="7681" max="7681" width="45.28515625" style="14" customWidth="1"/>
    <col min="7682" max="7682" width="16.85546875" style="14" customWidth="1"/>
    <col min="7683" max="7684" width="16.5703125" style="14" customWidth="1"/>
    <col min="7685" max="7685" width="15.28515625" style="14" bestFit="1" customWidth="1"/>
    <col min="7686" max="7686" width="16.5703125" style="14" bestFit="1" customWidth="1"/>
    <col min="7687" max="7687" width="19" style="14" customWidth="1"/>
    <col min="7688" max="7689" width="12.85546875" style="14" bestFit="1" customWidth="1"/>
    <col min="7690" max="7936" width="11.42578125" style="14"/>
    <col min="7937" max="7937" width="45.28515625" style="14" customWidth="1"/>
    <col min="7938" max="7938" width="16.85546875" style="14" customWidth="1"/>
    <col min="7939" max="7940" width="16.5703125" style="14" customWidth="1"/>
    <col min="7941" max="7941" width="15.28515625" style="14" bestFit="1" customWidth="1"/>
    <col min="7942" max="7942" width="16.5703125" style="14" bestFit="1" customWidth="1"/>
    <col min="7943" max="7943" width="19" style="14" customWidth="1"/>
    <col min="7944" max="7945" width="12.85546875" style="14" bestFit="1" customWidth="1"/>
    <col min="7946" max="8192" width="11.42578125" style="14"/>
    <col min="8193" max="8193" width="45.28515625" style="14" customWidth="1"/>
    <col min="8194" max="8194" width="16.85546875" style="14" customWidth="1"/>
    <col min="8195" max="8196" width="16.5703125" style="14" customWidth="1"/>
    <col min="8197" max="8197" width="15.28515625" style="14" bestFit="1" customWidth="1"/>
    <col min="8198" max="8198" width="16.5703125" style="14" bestFit="1" customWidth="1"/>
    <col min="8199" max="8199" width="19" style="14" customWidth="1"/>
    <col min="8200" max="8201" width="12.85546875" style="14" bestFit="1" customWidth="1"/>
    <col min="8202" max="8448" width="11.42578125" style="14"/>
    <col min="8449" max="8449" width="45.28515625" style="14" customWidth="1"/>
    <col min="8450" max="8450" width="16.85546875" style="14" customWidth="1"/>
    <col min="8451" max="8452" width="16.5703125" style="14" customWidth="1"/>
    <col min="8453" max="8453" width="15.28515625" style="14" bestFit="1" customWidth="1"/>
    <col min="8454" max="8454" width="16.5703125" style="14" bestFit="1" customWidth="1"/>
    <col min="8455" max="8455" width="19" style="14" customWidth="1"/>
    <col min="8456" max="8457" width="12.85546875" style="14" bestFit="1" customWidth="1"/>
    <col min="8458" max="8704" width="11.42578125" style="14"/>
    <col min="8705" max="8705" width="45.28515625" style="14" customWidth="1"/>
    <col min="8706" max="8706" width="16.85546875" style="14" customWidth="1"/>
    <col min="8707" max="8708" width="16.5703125" style="14" customWidth="1"/>
    <col min="8709" max="8709" width="15.28515625" style="14" bestFit="1" customWidth="1"/>
    <col min="8710" max="8710" width="16.5703125" style="14" bestFit="1" customWidth="1"/>
    <col min="8711" max="8711" width="19" style="14" customWidth="1"/>
    <col min="8712" max="8713" width="12.85546875" style="14" bestFit="1" customWidth="1"/>
    <col min="8714" max="8960" width="11.42578125" style="14"/>
    <col min="8961" max="8961" width="45.28515625" style="14" customWidth="1"/>
    <col min="8962" max="8962" width="16.85546875" style="14" customWidth="1"/>
    <col min="8963" max="8964" width="16.5703125" style="14" customWidth="1"/>
    <col min="8965" max="8965" width="15.28515625" style="14" bestFit="1" customWidth="1"/>
    <col min="8966" max="8966" width="16.5703125" style="14" bestFit="1" customWidth="1"/>
    <col min="8967" max="8967" width="19" style="14" customWidth="1"/>
    <col min="8968" max="8969" width="12.85546875" style="14" bestFit="1" customWidth="1"/>
    <col min="8970" max="9216" width="11.42578125" style="14"/>
    <col min="9217" max="9217" width="45.28515625" style="14" customWidth="1"/>
    <col min="9218" max="9218" width="16.85546875" style="14" customWidth="1"/>
    <col min="9219" max="9220" width="16.5703125" style="14" customWidth="1"/>
    <col min="9221" max="9221" width="15.28515625" style="14" bestFit="1" customWidth="1"/>
    <col min="9222" max="9222" width="16.5703125" style="14" bestFit="1" customWidth="1"/>
    <col min="9223" max="9223" width="19" style="14" customWidth="1"/>
    <col min="9224" max="9225" width="12.85546875" style="14" bestFit="1" customWidth="1"/>
    <col min="9226" max="9472" width="11.42578125" style="14"/>
    <col min="9473" max="9473" width="45.28515625" style="14" customWidth="1"/>
    <col min="9474" max="9474" width="16.85546875" style="14" customWidth="1"/>
    <col min="9475" max="9476" width="16.5703125" style="14" customWidth="1"/>
    <col min="9477" max="9477" width="15.28515625" style="14" bestFit="1" customWidth="1"/>
    <col min="9478" max="9478" width="16.5703125" style="14" bestFit="1" customWidth="1"/>
    <col min="9479" max="9479" width="19" style="14" customWidth="1"/>
    <col min="9480" max="9481" width="12.85546875" style="14" bestFit="1" customWidth="1"/>
    <col min="9482" max="9728" width="11.42578125" style="14"/>
    <col min="9729" max="9729" width="45.28515625" style="14" customWidth="1"/>
    <col min="9730" max="9730" width="16.85546875" style="14" customWidth="1"/>
    <col min="9731" max="9732" width="16.5703125" style="14" customWidth="1"/>
    <col min="9733" max="9733" width="15.28515625" style="14" bestFit="1" customWidth="1"/>
    <col min="9734" max="9734" width="16.5703125" style="14" bestFit="1" customWidth="1"/>
    <col min="9735" max="9735" width="19" style="14" customWidth="1"/>
    <col min="9736" max="9737" width="12.85546875" style="14" bestFit="1" customWidth="1"/>
    <col min="9738" max="9984" width="11.42578125" style="14"/>
    <col min="9985" max="9985" width="45.28515625" style="14" customWidth="1"/>
    <col min="9986" max="9986" width="16.85546875" style="14" customWidth="1"/>
    <col min="9987" max="9988" width="16.5703125" style="14" customWidth="1"/>
    <col min="9989" max="9989" width="15.28515625" style="14" bestFit="1" customWidth="1"/>
    <col min="9990" max="9990" width="16.5703125" style="14" bestFit="1" customWidth="1"/>
    <col min="9991" max="9991" width="19" style="14" customWidth="1"/>
    <col min="9992" max="9993" width="12.85546875" style="14" bestFit="1" customWidth="1"/>
    <col min="9994" max="10240" width="11.42578125" style="14"/>
    <col min="10241" max="10241" width="45.28515625" style="14" customWidth="1"/>
    <col min="10242" max="10242" width="16.85546875" style="14" customWidth="1"/>
    <col min="10243" max="10244" width="16.5703125" style="14" customWidth="1"/>
    <col min="10245" max="10245" width="15.28515625" style="14" bestFit="1" customWidth="1"/>
    <col min="10246" max="10246" width="16.5703125" style="14" bestFit="1" customWidth="1"/>
    <col min="10247" max="10247" width="19" style="14" customWidth="1"/>
    <col min="10248" max="10249" width="12.85546875" style="14" bestFit="1" customWidth="1"/>
    <col min="10250" max="10496" width="11.42578125" style="14"/>
    <col min="10497" max="10497" width="45.28515625" style="14" customWidth="1"/>
    <col min="10498" max="10498" width="16.85546875" style="14" customWidth="1"/>
    <col min="10499" max="10500" width="16.5703125" style="14" customWidth="1"/>
    <col min="10501" max="10501" width="15.28515625" style="14" bestFit="1" customWidth="1"/>
    <col min="10502" max="10502" width="16.5703125" style="14" bestFit="1" customWidth="1"/>
    <col min="10503" max="10503" width="19" style="14" customWidth="1"/>
    <col min="10504" max="10505" width="12.85546875" style="14" bestFit="1" customWidth="1"/>
    <col min="10506" max="10752" width="11.42578125" style="14"/>
    <col min="10753" max="10753" width="45.28515625" style="14" customWidth="1"/>
    <col min="10754" max="10754" width="16.85546875" style="14" customWidth="1"/>
    <col min="10755" max="10756" width="16.5703125" style="14" customWidth="1"/>
    <col min="10757" max="10757" width="15.28515625" style="14" bestFit="1" customWidth="1"/>
    <col min="10758" max="10758" width="16.5703125" style="14" bestFit="1" customWidth="1"/>
    <col min="10759" max="10759" width="19" style="14" customWidth="1"/>
    <col min="10760" max="10761" width="12.85546875" style="14" bestFit="1" customWidth="1"/>
    <col min="10762" max="11008" width="11.42578125" style="14"/>
    <col min="11009" max="11009" width="45.28515625" style="14" customWidth="1"/>
    <col min="11010" max="11010" width="16.85546875" style="14" customWidth="1"/>
    <col min="11011" max="11012" width="16.5703125" style="14" customWidth="1"/>
    <col min="11013" max="11013" width="15.28515625" style="14" bestFit="1" customWidth="1"/>
    <col min="11014" max="11014" width="16.5703125" style="14" bestFit="1" customWidth="1"/>
    <col min="11015" max="11015" width="19" style="14" customWidth="1"/>
    <col min="11016" max="11017" width="12.85546875" style="14" bestFit="1" customWidth="1"/>
    <col min="11018" max="11264" width="11.42578125" style="14"/>
    <col min="11265" max="11265" width="45.28515625" style="14" customWidth="1"/>
    <col min="11266" max="11266" width="16.85546875" style="14" customWidth="1"/>
    <col min="11267" max="11268" width="16.5703125" style="14" customWidth="1"/>
    <col min="11269" max="11269" width="15.28515625" style="14" bestFit="1" customWidth="1"/>
    <col min="11270" max="11270" width="16.5703125" style="14" bestFit="1" customWidth="1"/>
    <col min="11271" max="11271" width="19" style="14" customWidth="1"/>
    <col min="11272" max="11273" width="12.85546875" style="14" bestFit="1" customWidth="1"/>
    <col min="11274" max="11520" width="11.42578125" style="14"/>
    <col min="11521" max="11521" width="45.28515625" style="14" customWidth="1"/>
    <col min="11522" max="11522" width="16.85546875" style="14" customWidth="1"/>
    <col min="11523" max="11524" width="16.5703125" style="14" customWidth="1"/>
    <col min="11525" max="11525" width="15.28515625" style="14" bestFit="1" customWidth="1"/>
    <col min="11526" max="11526" width="16.5703125" style="14" bestFit="1" customWidth="1"/>
    <col min="11527" max="11527" width="19" style="14" customWidth="1"/>
    <col min="11528" max="11529" width="12.85546875" style="14" bestFit="1" customWidth="1"/>
    <col min="11530" max="11776" width="11.42578125" style="14"/>
    <col min="11777" max="11777" width="45.28515625" style="14" customWidth="1"/>
    <col min="11778" max="11778" width="16.85546875" style="14" customWidth="1"/>
    <col min="11779" max="11780" width="16.5703125" style="14" customWidth="1"/>
    <col min="11781" max="11781" width="15.28515625" style="14" bestFit="1" customWidth="1"/>
    <col min="11782" max="11782" width="16.5703125" style="14" bestFit="1" customWidth="1"/>
    <col min="11783" max="11783" width="19" style="14" customWidth="1"/>
    <col min="11784" max="11785" width="12.85546875" style="14" bestFit="1" customWidth="1"/>
    <col min="11786" max="12032" width="11.42578125" style="14"/>
    <col min="12033" max="12033" width="45.28515625" style="14" customWidth="1"/>
    <col min="12034" max="12034" width="16.85546875" style="14" customWidth="1"/>
    <col min="12035" max="12036" width="16.5703125" style="14" customWidth="1"/>
    <col min="12037" max="12037" width="15.28515625" style="14" bestFit="1" customWidth="1"/>
    <col min="12038" max="12038" width="16.5703125" style="14" bestFit="1" customWidth="1"/>
    <col min="12039" max="12039" width="19" style="14" customWidth="1"/>
    <col min="12040" max="12041" width="12.85546875" style="14" bestFit="1" customWidth="1"/>
    <col min="12042" max="12288" width="11.42578125" style="14"/>
    <col min="12289" max="12289" width="45.28515625" style="14" customWidth="1"/>
    <col min="12290" max="12290" width="16.85546875" style="14" customWidth="1"/>
    <col min="12291" max="12292" width="16.5703125" style="14" customWidth="1"/>
    <col min="12293" max="12293" width="15.28515625" style="14" bestFit="1" customWidth="1"/>
    <col min="12294" max="12294" width="16.5703125" style="14" bestFit="1" customWidth="1"/>
    <col min="12295" max="12295" width="19" style="14" customWidth="1"/>
    <col min="12296" max="12297" width="12.85546875" style="14" bestFit="1" customWidth="1"/>
    <col min="12298" max="12544" width="11.42578125" style="14"/>
    <col min="12545" max="12545" width="45.28515625" style="14" customWidth="1"/>
    <col min="12546" max="12546" width="16.85546875" style="14" customWidth="1"/>
    <col min="12547" max="12548" width="16.5703125" style="14" customWidth="1"/>
    <col min="12549" max="12549" width="15.28515625" style="14" bestFit="1" customWidth="1"/>
    <col min="12550" max="12550" width="16.5703125" style="14" bestFit="1" customWidth="1"/>
    <col min="12551" max="12551" width="19" style="14" customWidth="1"/>
    <col min="12552" max="12553" width="12.85546875" style="14" bestFit="1" customWidth="1"/>
    <col min="12554" max="12800" width="11.42578125" style="14"/>
    <col min="12801" max="12801" width="45.28515625" style="14" customWidth="1"/>
    <col min="12802" max="12802" width="16.85546875" style="14" customWidth="1"/>
    <col min="12803" max="12804" width="16.5703125" style="14" customWidth="1"/>
    <col min="12805" max="12805" width="15.28515625" style="14" bestFit="1" customWidth="1"/>
    <col min="12806" max="12806" width="16.5703125" style="14" bestFit="1" customWidth="1"/>
    <col min="12807" max="12807" width="19" style="14" customWidth="1"/>
    <col min="12808" max="12809" width="12.85546875" style="14" bestFit="1" customWidth="1"/>
    <col min="12810" max="13056" width="11.42578125" style="14"/>
    <col min="13057" max="13057" width="45.28515625" style="14" customWidth="1"/>
    <col min="13058" max="13058" width="16.85546875" style="14" customWidth="1"/>
    <col min="13059" max="13060" width="16.5703125" style="14" customWidth="1"/>
    <col min="13061" max="13061" width="15.28515625" style="14" bestFit="1" customWidth="1"/>
    <col min="13062" max="13062" width="16.5703125" style="14" bestFit="1" customWidth="1"/>
    <col min="13063" max="13063" width="19" style="14" customWidth="1"/>
    <col min="13064" max="13065" width="12.85546875" style="14" bestFit="1" customWidth="1"/>
    <col min="13066" max="13312" width="11.42578125" style="14"/>
    <col min="13313" max="13313" width="45.28515625" style="14" customWidth="1"/>
    <col min="13314" max="13314" width="16.85546875" style="14" customWidth="1"/>
    <col min="13315" max="13316" width="16.5703125" style="14" customWidth="1"/>
    <col min="13317" max="13317" width="15.28515625" style="14" bestFit="1" customWidth="1"/>
    <col min="13318" max="13318" width="16.5703125" style="14" bestFit="1" customWidth="1"/>
    <col min="13319" max="13319" width="19" style="14" customWidth="1"/>
    <col min="13320" max="13321" width="12.85546875" style="14" bestFit="1" customWidth="1"/>
    <col min="13322" max="13568" width="11.42578125" style="14"/>
    <col min="13569" max="13569" width="45.28515625" style="14" customWidth="1"/>
    <col min="13570" max="13570" width="16.85546875" style="14" customWidth="1"/>
    <col min="13571" max="13572" width="16.5703125" style="14" customWidth="1"/>
    <col min="13573" max="13573" width="15.28515625" style="14" bestFit="1" customWidth="1"/>
    <col min="13574" max="13574" width="16.5703125" style="14" bestFit="1" customWidth="1"/>
    <col min="13575" max="13575" width="19" style="14" customWidth="1"/>
    <col min="13576" max="13577" width="12.85546875" style="14" bestFit="1" customWidth="1"/>
    <col min="13578" max="13824" width="11.42578125" style="14"/>
    <col min="13825" max="13825" width="45.28515625" style="14" customWidth="1"/>
    <col min="13826" max="13826" width="16.85546875" style="14" customWidth="1"/>
    <col min="13827" max="13828" width="16.5703125" style="14" customWidth="1"/>
    <col min="13829" max="13829" width="15.28515625" style="14" bestFit="1" customWidth="1"/>
    <col min="13830" max="13830" width="16.5703125" style="14" bestFit="1" customWidth="1"/>
    <col min="13831" max="13831" width="19" style="14" customWidth="1"/>
    <col min="13832" max="13833" width="12.85546875" style="14" bestFit="1" customWidth="1"/>
    <col min="13834" max="14080" width="11.42578125" style="14"/>
    <col min="14081" max="14081" width="45.28515625" style="14" customWidth="1"/>
    <col min="14082" max="14082" width="16.85546875" style="14" customWidth="1"/>
    <col min="14083" max="14084" width="16.5703125" style="14" customWidth="1"/>
    <col min="14085" max="14085" width="15.28515625" style="14" bestFit="1" customWidth="1"/>
    <col min="14086" max="14086" width="16.5703125" style="14" bestFit="1" customWidth="1"/>
    <col min="14087" max="14087" width="19" style="14" customWidth="1"/>
    <col min="14088" max="14089" width="12.85546875" style="14" bestFit="1" customWidth="1"/>
    <col min="14090" max="14336" width="11.42578125" style="14"/>
    <col min="14337" max="14337" width="45.28515625" style="14" customWidth="1"/>
    <col min="14338" max="14338" width="16.85546875" style="14" customWidth="1"/>
    <col min="14339" max="14340" width="16.5703125" style="14" customWidth="1"/>
    <col min="14341" max="14341" width="15.28515625" style="14" bestFit="1" customWidth="1"/>
    <col min="14342" max="14342" width="16.5703125" style="14" bestFit="1" customWidth="1"/>
    <col min="14343" max="14343" width="19" style="14" customWidth="1"/>
    <col min="14344" max="14345" width="12.85546875" style="14" bestFit="1" customWidth="1"/>
    <col min="14346" max="14592" width="11.42578125" style="14"/>
    <col min="14593" max="14593" width="45.28515625" style="14" customWidth="1"/>
    <col min="14594" max="14594" width="16.85546875" style="14" customWidth="1"/>
    <col min="14595" max="14596" width="16.5703125" style="14" customWidth="1"/>
    <col min="14597" max="14597" width="15.28515625" style="14" bestFit="1" customWidth="1"/>
    <col min="14598" max="14598" width="16.5703125" style="14" bestFit="1" customWidth="1"/>
    <col min="14599" max="14599" width="19" style="14" customWidth="1"/>
    <col min="14600" max="14601" width="12.85546875" style="14" bestFit="1" customWidth="1"/>
    <col min="14602" max="14848" width="11.42578125" style="14"/>
    <col min="14849" max="14849" width="45.28515625" style="14" customWidth="1"/>
    <col min="14850" max="14850" width="16.85546875" style="14" customWidth="1"/>
    <col min="14851" max="14852" width="16.5703125" style="14" customWidth="1"/>
    <col min="14853" max="14853" width="15.28515625" style="14" bestFit="1" customWidth="1"/>
    <col min="14854" max="14854" width="16.5703125" style="14" bestFit="1" customWidth="1"/>
    <col min="14855" max="14855" width="19" style="14" customWidth="1"/>
    <col min="14856" max="14857" width="12.85546875" style="14" bestFit="1" customWidth="1"/>
    <col min="14858" max="15104" width="11.42578125" style="14"/>
    <col min="15105" max="15105" width="45.28515625" style="14" customWidth="1"/>
    <col min="15106" max="15106" width="16.85546875" style="14" customWidth="1"/>
    <col min="15107" max="15108" width="16.5703125" style="14" customWidth="1"/>
    <col min="15109" max="15109" width="15.28515625" style="14" bestFit="1" customWidth="1"/>
    <col min="15110" max="15110" width="16.5703125" style="14" bestFit="1" customWidth="1"/>
    <col min="15111" max="15111" width="19" style="14" customWidth="1"/>
    <col min="15112" max="15113" width="12.85546875" style="14" bestFit="1" customWidth="1"/>
    <col min="15114" max="15360" width="11.42578125" style="14"/>
    <col min="15361" max="15361" width="45.28515625" style="14" customWidth="1"/>
    <col min="15362" max="15362" width="16.85546875" style="14" customWidth="1"/>
    <col min="15363" max="15364" width="16.5703125" style="14" customWidth="1"/>
    <col min="15365" max="15365" width="15.28515625" style="14" bestFit="1" customWidth="1"/>
    <col min="15366" max="15366" width="16.5703125" style="14" bestFit="1" customWidth="1"/>
    <col min="15367" max="15367" width="19" style="14" customWidth="1"/>
    <col min="15368" max="15369" width="12.85546875" style="14" bestFit="1" customWidth="1"/>
    <col min="15370" max="15616" width="11.42578125" style="14"/>
    <col min="15617" max="15617" width="45.28515625" style="14" customWidth="1"/>
    <col min="15618" max="15618" width="16.85546875" style="14" customWidth="1"/>
    <col min="15619" max="15620" width="16.5703125" style="14" customWidth="1"/>
    <col min="15621" max="15621" width="15.28515625" style="14" bestFit="1" customWidth="1"/>
    <col min="15622" max="15622" width="16.5703125" style="14" bestFit="1" customWidth="1"/>
    <col min="15623" max="15623" width="19" style="14" customWidth="1"/>
    <col min="15624" max="15625" width="12.85546875" style="14" bestFit="1" customWidth="1"/>
    <col min="15626" max="15872" width="11.42578125" style="14"/>
    <col min="15873" max="15873" width="45.28515625" style="14" customWidth="1"/>
    <col min="15874" max="15874" width="16.85546875" style="14" customWidth="1"/>
    <col min="15875" max="15876" width="16.5703125" style="14" customWidth="1"/>
    <col min="15877" max="15877" width="15.28515625" style="14" bestFit="1" customWidth="1"/>
    <col min="15878" max="15878" width="16.5703125" style="14" bestFit="1" customWidth="1"/>
    <col min="15879" max="15879" width="19" style="14" customWidth="1"/>
    <col min="15880" max="15881" width="12.85546875" style="14" bestFit="1" customWidth="1"/>
    <col min="15882" max="16128" width="11.42578125" style="14"/>
    <col min="16129" max="16129" width="45.28515625" style="14" customWidth="1"/>
    <col min="16130" max="16130" width="16.85546875" style="14" customWidth="1"/>
    <col min="16131" max="16132" width="16.5703125" style="14" customWidth="1"/>
    <col min="16133" max="16133" width="15.28515625" style="14" bestFit="1" customWidth="1"/>
    <col min="16134" max="16134" width="16.5703125" style="14" bestFit="1" customWidth="1"/>
    <col min="16135" max="16135" width="19" style="14" customWidth="1"/>
    <col min="16136" max="16137" width="12.85546875" style="14" bestFit="1" customWidth="1"/>
    <col min="16138" max="16384" width="11.42578125" style="14"/>
  </cols>
  <sheetData>
    <row r="2" spans="2:8" ht="16.5" customHeight="1">
      <c r="B2" s="647" t="s">
        <v>85</v>
      </c>
      <c r="C2" s="647"/>
      <c r="D2" s="647"/>
      <c r="E2" s="647"/>
      <c r="F2" s="647"/>
    </row>
    <row r="3" spans="2:8">
      <c r="B3" s="648" t="s">
        <v>86</v>
      </c>
      <c r="C3" s="648"/>
      <c r="D3" s="648"/>
      <c r="E3" s="648"/>
      <c r="F3" s="648"/>
    </row>
    <row r="4" spans="2:8">
      <c r="B4" s="120"/>
      <c r="C4" s="121"/>
      <c r="D4" s="14"/>
      <c r="E4" s="122"/>
      <c r="F4" s="123"/>
    </row>
    <row r="5" spans="2:8">
      <c r="B5" s="649" t="s">
        <v>297</v>
      </c>
      <c r="C5" s="649"/>
      <c r="D5" s="649"/>
      <c r="E5" s="649"/>
      <c r="F5" s="649"/>
    </row>
    <row r="6" spans="2:8">
      <c r="B6" s="650"/>
      <c r="C6" s="650"/>
      <c r="D6" s="120"/>
      <c r="E6" s="122"/>
      <c r="F6" s="123"/>
    </row>
    <row r="7" spans="2:8">
      <c r="B7" s="443"/>
      <c r="C7" s="444">
        <v>2017</v>
      </c>
      <c r="D7" s="444" t="s">
        <v>292</v>
      </c>
      <c r="E7" s="444" t="s">
        <v>293</v>
      </c>
      <c r="F7" s="444" t="s">
        <v>294</v>
      </c>
    </row>
    <row r="8" spans="2:8">
      <c r="B8" s="124"/>
      <c r="C8" s="125"/>
      <c r="D8" s="122"/>
      <c r="E8" s="122"/>
      <c r="F8" s="123"/>
    </row>
    <row r="9" spans="2:8">
      <c r="B9" s="598" t="s">
        <v>298</v>
      </c>
      <c r="C9" s="135">
        <f>+EBITDA!C27</f>
        <v>0.18148663304545826</v>
      </c>
      <c r="D9" s="135">
        <f>+EBITDA!D27</f>
        <v>0.10722440226456297</v>
      </c>
      <c r="E9" s="135">
        <f>+EBITDA!E27</f>
        <v>0.19986226615757449</v>
      </c>
      <c r="F9" s="135">
        <f>+EBITDA!F27</f>
        <v>0.13188125201677961</v>
      </c>
      <c r="G9" s="18"/>
      <c r="H9" s="19"/>
    </row>
    <row r="10" spans="2:8">
      <c r="B10" s="137"/>
      <c r="C10" s="126"/>
      <c r="D10" s="126"/>
      <c r="E10" s="126"/>
      <c r="F10" s="126"/>
      <c r="G10" s="18"/>
    </row>
    <row r="11" spans="2:8" ht="31.5">
      <c r="B11" s="598" t="s">
        <v>300</v>
      </c>
      <c r="C11" s="208">
        <f>+PKT!C19</f>
        <v>8.186508924359244E-2</v>
      </c>
      <c r="D11" s="208">
        <f>+PKT!D19</f>
        <v>3.3451166213733965E-2</v>
      </c>
      <c r="E11" s="208">
        <f>+PKT!D35</f>
        <v>-0.17431757820899513</v>
      </c>
      <c r="F11" s="208">
        <f>+PKT!D50</f>
        <v>0.6996611810261375</v>
      </c>
    </row>
    <row r="12" spans="2:8">
      <c r="B12" s="143"/>
      <c r="C12" s="122"/>
      <c r="D12" s="122"/>
      <c r="E12" s="122"/>
      <c r="F12" s="123"/>
    </row>
    <row r="13" spans="2:8">
      <c r="B13" s="598" t="s">
        <v>301</v>
      </c>
      <c r="C13" s="209">
        <f>+C9/C11</f>
        <v>2.2168989824885967</v>
      </c>
      <c r="D13" s="209">
        <f t="shared" ref="D13:F13" si="0">+D9/D11</f>
        <v>3.2054010188900408</v>
      </c>
      <c r="E13" s="209">
        <f t="shared" si="0"/>
        <v>-1.146541090181697</v>
      </c>
      <c r="F13" s="209">
        <f t="shared" si="0"/>
        <v>0.18849302432837542</v>
      </c>
    </row>
    <row r="14" spans="2:8">
      <c r="B14" s="143"/>
      <c r="C14" s="125"/>
      <c r="D14" s="125"/>
      <c r="E14" s="122"/>
      <c r="F14" s="123"/>
    </row>
    <row r="15" spans="2:8">
      <c r="B15" s="598" t="s">
        <v>302</v>
      </c>
      <c r="C15" s="135">
        <f>+C9-C11</f>
        <v>9.9621543801865817E-2</v>
      </c>
      <c r="D15" s="135">
        <f t="shared" ref="D15:F15" si="1">+D9-D11</f>
        <v>7.3773236050829E-2</v>
      </c>
      <c r="E15" s="135">
        <f t="shared" si="1"/>
        <v>0.37417984436656959</v>
      </c>
      <c r="F15" s="135">
        <f t="shared" si="1"/>
        <v>-0.56777992900935792</v>
      </c>
    </row>
    <row r="16" spans="2:8">
      <c r="B16" s="9"/>
      <c r="C16" s="10"/>
      <c r="D16" s="10"/>
    </row>
    <row r="18" spans="2:4">
      <c r="B18" s="20"/>
    </row>
    <row r="21" spans="2:4">
      <c r="B21" s="9"/>
      <c r="C21" s="10"/>
      <c r="D21" s="10"/>
    </row>
    <row r="22" spans="2:4">
      <c r="B22" s="9"/>
      <c r="C22" s="10"/>
      <c r="D22" s="10"/>
    </row>
    <row r="42" spans="2:10">
      <c r="B42" s="10" t="s">
        <v>360</v>
      </c>
      <c r="E42" s="21"/>
      <c r="F42" s="14"/>
    </row>
    <row r="43" spans="2:10" ht="55.5" customHeight="1">
      <c r="B43" s="646" t="s">
        <v>362</v>
      </c>
      <c r="C43" s="646"/>
      <c r="D43" s="646"/>
      <c r="E43" s="646"/>
      <c r="F43" s="646"/>
      <c r="G43" s="646"/>
      <c r="H43" s="646"/>
      <c r="I43" s="454"/>
      <c r="J43" s="454"/>
    </row>
    <row r="44" spans="2:10" ht="15.75" customHeight="1">
      <c r="B44" s="454"/>
      <c r="C44" s="454"/>
      <c r="D44" s="454"/>
      <c r="E44" s="454"/>
      <c r="F44" s="454"/>
      <c r="G44" s="454"/>
      <c r="H44" s="454"/>
      <c r="I44" s="454"/>
      <c r="J44" s="454"/>
    </row>
    <row r="45" spans="2:10">
      <c r="B45" s="454"/>
      <c r="C45" s="454"/>
      <c r="D45" s="454"/>
      <c r="E45" s="454"/>
      <c r="F45" s="454"/>
      <c r="G45" s="454"/>
      <c r="H45" s="454"/>
      <c r="I45" s="454"/>
      <c r="J45" s="454"/>
    </row>
    <row r="46" spans="2:10">
      <c r="B46" s="454"/>
      <c r="C46" s="454"/>
      <c r="D46" s="454"/>
      <c r="E46" s="454"/>
      <c r="F46" s="454"/>
      <c r="G46" s="454"/>
      <c r="H46" s="454"/>
      <c r="I46" s="454"/>
      <c r="J46" s="454"/>
    </row>
    <row r="47" spans="2:10">
      <c r="B47" s="454"/>
      <c r="C47" s="454"/>
      <c r="D47" s="454"/>
      <c r="E47" s="454"/>
      <c r="F47" s="454"/>
      <c r="G47" s="454"/>
      <c r="H47" s="454"/>
      <c r="I47" s="454"/>
      <c r="J47" s="454"/>
    </row>
  </sheetData>
  <mergeCells count="5">
    <mergeCell ref="B43:H43"/>
    <mergeCell ref="B2:F2"/>
    <mergeCell ref="B3:F3"/>
    <mergeCell ref="B5:F5"/>
    <mergeCell ref="B6:C6"/>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H45"/>
  <sheetViews>
    <sheetView workbookViewId="0">
      <selection activeCell="F15" sqref="F15"/>
    </sheetView>
  </sheetViews>
  <sheetFormatPr baseColWidth="10" defaultColWidth="10.7109375" defaultRowHeight="15.75"/>
  <cols>
    <col min="1" max="1" width="1.28515625" style="14" customWidth="1"/>
    <col min="2" max="2" width="42.28515625" style="14" customWidth="1"/>
    <col min="3" max="3" width="11.85546875" style="16" customWidth="1"/>
    <col min="4" max="4" width="12.42578125" style="16" customWidth="1"/>
    <col min="5" max="5" width="11.28515625" style="16" customWidth="1"/>
    <col min="6" max="6" width="11.42578125" style="17" customWidth="1"/>
    <col min="7" max="7" width="19" style="14" customWidth="1"/>
    <col min="8" max="9" width="12.85546875" style="14" bestFit="1" customWidth="1"/>
    <col min="10" max="256" width="11.42578125" style="14"/>
    <col min="257" max="257" width="45.28515625" style="14" customWidth="1"/>
    <col min="258" max="258" width="16.85546875" style="14" customWidth="1"/>
    <col min="259" max="260" width="16.5703125" style="14" customWidth="1"/>
    <col min="261" max="261" width="15.28515625" style="14" bestFit="1" customWidth="1"/>
    <col min="262" max="262" width="16.5703125" style="14" bestFit="1" customWidth="1"/>
    <col min="263" max="263" width="19" style="14" customWidth="1"/>
    <col min="264" max="265" width="12.85546875" style="14" bestFit="1" customWidth="1"/>
    <col min="266" max="512" width="11.42578125" style="14"/>
    <col min="513" max="513" width="45.28515625" style="14" customWidth="1"/>
    <col min="514" max="514" width="16.85546875" style="14" customWidth="1"/>
    <col min="515" max="516" width="16.5703125" style="14" customWidth="1"/>
    <col min="517" max="517" width="15.28515625" style="14" bestFit="1" customWidth="1"/>
    <col min="518" max="518" width="16.5703125" style="14" bestFit="1" customWidth="1"/>
    <col min="519" max="519" width="19" style="14" customWidth="1"/>
    <col min="520" max="521" width="12.85546875" style="14" bestFit="1" customWidth="1"/>
    <col min="522" max="768" width="11.42578125" style="14"/>
    <col min="769" max="769" width="45.28515625" style="14" customWidth="1"/>
    <col min="770" max="770" width="16.85546875" style="14" customWidth="1"/>
    <col min="771" max="772" width="16.5703125" style="14" customWidth="1"/>
    <col min="773" max="773" width="15.28515625" style="14" bestFit="1" customWidth="1"/>
    <col min="774" max="774" width="16.5703125" style="14" bestFit="1" customWidth="1"/>
    <col min="775" max="775" width="19" style="14" customWidth="1"/>
    <col min="776" max="777" width="12.85546875" style="14" bestFit="1" customWidth="1"/>
    <col min="778" max="1024" width="11.42578125" style="14"/>
    <col min="1025" max="1025" width="45.28515625" style="14" customWidth="1"/>
    <col min="1026" max="1026" width="16.85546875" style="14" customWidth="1"/>
    <col min="1027" max="1028" width="16.5703125" style="14" customWidth="1"/>
    <col min="1029" max="1029" width="15.28515625" style="14" bestFit="1" customWidth="1"/>
    <col min="1030" max="1030" width="16.5703125" style="14" bestFit="1" customWidth="1"/>
    <col min="1031" max="1031" width="19" style="14" customWidth="1"/>
    <col min="1032" max="1033" width="12.85546875" style="14" bestFit="1" customWidth="1"/>
    <col min="1034" max="1280" width="11.42578125" style="14"/>
    <col min="1281" max="1281" width="45.28515625" style="14" customWidth="1"/>
    <col min="1282" max="1282" width="16.85546875" style="14" customWidth="1"/>
    <col min="1283" max="1284" width="16.5703125" style="14" customWidth="1"/>
    <col min="1285" max="1285" width="15.28515625" style="14" bestFit="1" customWidth="1"/>
    <col min="1286" max="1286" width="16.5703125" style="14" bestFit="1" customWidth="1"/>
    <col min="1287" max="1287" width="19" style="14" customWidth="1"/>
    <col min="1288" max="1289" width="12.85546875" style="14" bestFit="1" customWidth="1"/>
    <col min="1290" max="1536" width="11.42578125" style="14"/>
    <col min="1537" max="1537" width="45.28515625" style="14" customWidth="1"/>
    <col min="1538" max="1538" width="16.85546875" style="14" customWidth="1"/>
    <col min="1539" max="1540" width="16.5703125" style="14" customWidth="1"/>
    <col min="1541" max="1541" width="15.28515625" style="14" bestFit="1" customWidth="1"/>
    <col min="1542" max="1542" width="16.5703125" style="14" bestFit="1" customWidth="1"/>
    <col min="1543" max="1543" width="19" style="14" customWidth="1"/>
    <col min="1544" max="1545" width="12.85546875" style="14" bestFit="1" customWidth="1"/>
    <col min="1546" max="1792" width="11.42578125" style="14"/>
    <col min="1793" max="1793" width="45.28515625" style="14" customWidth="1"/>
    <col min="1794" max="1794" width="16.85546875" style="14" customWidth="1"/>
    <col min="1795" max="1796" width="16.5703125" style="14" customWidth="1"/>
    <col min="1797" max="1797" width="15.28515625" style="14" bestFit="1" customWidth="1"/>
    <col min="1798" max="1798" width="16.5703125" style="14" bestFit="1" customWidth="1"/>
    <col min="1799" max="1799" width="19" style="14" customWidth="1"/>
    <col min="1800" max="1801" width="12.85546875" style="14" bestFit="1" customWidth="1"/>
    <col min="1802" max="2048" width="11.42578125" style="14"/>
    <col min="2049" max="2049" width="45.28515625" style="14" customWidth="1"/>
    <col min="2050" max="2050" width="16.85546875" style="14" customWidth="1"/>
    <col min="2051" max="2052" width="16.5703125" style="14" customWidth="1"/>
    <col min="2053" max="2053" width="15.28515625" style="14" bestFit="1" customWidth="1"/>
    <col min="2054" max="2054" width="16.5703125" style="14" bestFit="1" customWidth="1"/>
    <col min="2055" max="2055" width="19" style="14" customWidth="1"/>
    <col min="2056" max="2057" width="12.85546875" style="14" bestFit="1" customWidth="1"/>
    <col min="2058" max="2304" width="11.42578125" style="14"/>
    <col min="2305" max="2305" width="45.28515625" style="14" customWidth="1"/>
    <col min="2306" max="2306" width="16.85546875" style="14" customWidth="1"/>
    <col min="2307" max="2308" width="16.5703125" style="14" customWidth="1"/>
    <col min="2309" max="2309" width="15.28515625" style="14" bestFit="1" customWidth="1"/>
    <col min="2310" max="2310" width="16.5703125" style="14" bestFit="1" customWidth="1"/>
    <col min="2311" max="2311" width="19" style="14" customWidth="1"/>
    <col min="2312" max="2313" width="12.85546875" style="14" bestFit="1" customWidth="1"/>
    <col min="2314" max="2560" width="11.42578125" style="14"/>
    <col min="2561" max="2561" width="45.28515625" style="14" customWidth="1"/>
    <col min="2562" max="2562" width="16.85546875" style="14" customWidth="1"/>
    <col min="2563" max="2564" width="16.5703125" style="14" customWidth="1"/>
    <col min="2565" max="2565" width="15.28515625" style="14" bestFit="1" customWidth="1"/>
    <col min="2566" max="2566" width="16.5703125" style="14" bestFit="1" customWidth="1"/>
    <col min="2567" max="2567" width="19" style="14" customWidth="1"/>
    <col min="2568" max="2569" width="12.85546875" style="14" bestFit="1" customWidth="1"/>
    <col min="2570" max="2816" width="11.42578125" style="14"/>
    <col min="2817" max="2817" width="45.28515625" style="14" customWidth="1"/>
    <col min="2818" max="2818" width="16.85546875" style="14" customWidth="1"/>
    <col min="2819" max="2820" width="16.5703125" style="14" customWidth="1"/>
    <col min="2821" max="2821" width="15.28515625" style="14" bestFit="1" customWidth="1"/>
    <col min="2822" max="2822" width="16.5703125" style="14" bestFit="1" customWidth="1"/>
    <col min="2823" max="2823" width="19" style="14" customWidth="1"/>
    <col min="2824" max="2825" width="12.85546875" style="14" bestFit="1" customWidth="1"/>
    <col min="2826" max="3072" width="11.42578125" style="14"/>
    <col min="3073" max="3073" width="45.28515625" style="14" customWidth="1"/>
    <col min="3074" max="3074" width="16.85546875" style="14" customWidth="1"/>
    <col min="3075" max="3076" width="16.5703125" style="14" customWidth="1"/>
    <col min="3077" max="3077" width="15.28515625" style="14" bestFit="1" customWidth="1"/>
    <col min="3078" max="3078" width="16.5703125" style="14" bestFit="1" customWidth="1"/>
    <col min="3079" max="3079" width="19" style="14" customWidth="1"/>
    <col min="3080" max="3081" width="12.85546875" style="14" bestFit="1" customWidth="1"/>
    <col min="3082" max="3328" width="11.42578125" style="14"/>
    <col min="3329" max="3329" width="45.28515625" style="14" customWidth="1"/>
    <col min="3330" max="3330" width="16.85546875" style="14" customWidth="1"/>
    <col min="3331" max="3332" width="16.5703125" style="14" customWidth="1"/>
    <col min="3333" max="3333" width="15.28515625" style="14" bestFit="1" customWidth="1"/>
    <col min="3334" max="3334" width="16.5703125" style="14" bestFit="1" customWidth="1"/>
    <col min="3335" max="3335" width="19" style="14" customWidth="1"/>
    <col min="3336" max="3337" width="12.85546875" style="14" bestFit="1" customWidth="1"/>
    <col min="3338" max="3584" width="11.42578125" style="14"/>
    <col min="3585" max="3585" width="45.28515625" style="14" customWidth="1"/>
    <col min="3586" max="3586" width="16.85546875" style="14" customWidth="1"/>
    <col min="3587" max="3588" width="16.5703125" style="14" customWidth="1"/>
    <col min="3589" max="3589" width="15.28515625" style="14" bestFit="1" customWidth="1"/>
    <col min="3590" max="3590" width="16.5703125" style="14" bestFit="1" customWidth="1"/>
    <col min="3591" max="3591" width="19" style="14" customWidth="1"/>
    <col min="3592" max="3593" width="12.85546875" style="14" bestFit="1" customWidth="1"/>
    <col min="3594" max="3840" width="11.42578125" style="14"/>
    <col min="3841" max="3841" width="45.28515625" style="14" customWidth="1"/>
    <col min="3842" max="3842" width="16.85546875" style="14" customWidth="1"/>
    <col min="3843" max="3844" width="16.5703125" style="14" customWidth="1"/>
    <col min="3845" max="3845" width="15.28515625" style="14" bestFit="1" customWidth="1"/>
    <col min="3846" max="3846" width="16.5703125" style="14" bestFit="1" customWidth="1"/>
    <col min="3847" max="3847" width="19" style="14" customWidth="1"/>
    <col min="3848" max="3849" width="12.85546875" style="14" bestFit="1" customWidth="1"/>
    <col min="3850" max="4096" width="11.42578125" style="14"/>
    <col min="4097" max="4097" width="45.28515625" style="14" customWidth="1"/>
    <col min="4098" max="4098" width="16.85546875" style="14" customWidth="1"/>
    <col min="4099" max="4100" width="16.5703125" style="14" customWidth="1"/>
    <col min="4101" max="4101" width="15.28515625" style="14" bestFit="1" customWidth="1"/>
    <col min="4102" max="4102" width="16.5703125" style="14" bestFit="1" customWidth="1"/>
    <col min="4103" max="4103" width="19" style="14" customWidth="1"/>
    <col min="4104" max="4105" width="12.85546875" style="14" bestFit="1" customWidth="1"/>
    <col min="4106" max="4352" width="11.42578125" style="14"/>
    <col min="4353" max="4353" width="45.28515625" style="14" customWidth="1"/>
    <col min="4354" max="4354" width="16.85546875" style="14" customWidth="1"/>
    <col min="4355" max="4356" width="16.5703125" style="14" customWidth="1"/>
    <col min="4357" max="4357" width="15.28515625" style="14" bestFit="1" customWidth="1"/>
    <col min="4358" max="4358" width="16.5703125" style="14" bestFit="1" customWidth="1"/>
    <col min="4359" max="4359" width="19" style="14" customWidth="1"/>
    <col min="4360" max="4361" width="12.85546875" style="14" bestFit="1" customWidth="1"/>
    <col min="4362" max="4608" width="11.42578125" style="14"/>
    <col min="4609" max="4609" width="45.28515625" style="14" customWidth="1"/>
    <col min="4610" max="4610" width="16.85546875" style="14" customWidth="1"/>
    <col min="4611" max="4612" width="16.5703125" style="14" customWidth="1"/>
    <col min="4613" max="4613" width="15.28515625" style="14" bestFit="1" customWidth="1"/>
    <col min="4614" max="4614" width="16.5703125" style="14" bestFit="1" customWidth="1"/>
    <col min="4615" max="4615" width="19" style="14" customWidth="1"/>
    <col min="4616" max="4617" width="12.85546875" style="14" bestFit="1" customWidth="1"/>
    <col min="4618" max="4864" width="11.42578125" style="14"/>
    <col min="4865" max="4865" width="45.28515625" style="14" customWidth="1"/>
    <col min="4866" max="4866" width="16.85546875" style="14" customWidth="1"/>
    <col min="4867" max="4868" width="16.5703125" style="14" customWidth="1"/>
    <col min="4869" max="4869" width="15.28515625" style="14" bestFit="1" customWidth="1"/>
    <col min="4870" max="4870" width="16.5703125" style="14" bestFit="1" customWidth="1"/>
    <col min="4871" max="4871" width="19" style="14" customWidth="1"/>
    <col min="4872" max="4873" width="12.85546875" style="14" bestFit="1" customWidth="1"/>
    <col min="4874" max="5120" width="11.42578125" style="14"/>
    <col min="5121" max="5121" width="45.28515625" style="14" customWidth="1"/>
    <col min="5122" max="5122" width="16.85546875" style="14" customWidth="1"/>
    <col min="5123" max="5124" width="16.5703125" style="14" customWidth="1"/>
    <col min="5125" max="5125" width="15.28515625" style="14" bestFit="1" customWidth="1"/>
    <col min="5126" max="5126" width="16.5703125" style="14" bestFit="1" customWidth="1"/>
    <col min="5127" max="5127" width="19" style="14" customWidth="1"/>
    <col min="5128" max="5129" width="12.85546875" style="14" bestFit="1" customWidth="1"/>
    <col min="5130" max="5376" width="11.42578125" style="14"/>
    <col min="5377" max="5377" width="45.28515625" style="14" customWidth="1"/>
    <col min="5378" max="5378" width="16.85546875" style="14" customWidth="1"/>
    <col min="5379" max="5380" width="16.5703125" style="14" customWidth="1"/>
    <col min="5381" max="5381" width="15.28515625" style="14" bestFit="1" customWidth="1"/>
    <col min="5382" max="5382" width="16.5703125" style="14" bestFit="1" customWidth="1"/>
    <col min="5383" max="5383" width="19" style="14" customWidth="1"/>
    <col min="5384" max="5385" width="12.85546875" style="14" bestFit="1" customWidth="1"/>
    <col min="5386" max="5632" width="11.42578125" style="14"/>
    <col min="5633" max="5633" width="45.28515625" style="14" customWidth="1"/>
    <col min="5634" max="5634" width="16.85546875" style="14" customWidth="1"/>
    <col min="5635" max="5636" width="16.5703125" style="14" customWidth="1"/>
    <col min="5637" max="5637" width="15.28515625" style="14" bestFit="1" customWidth="1"/>
    <col min="5638" max="5638" width="16.5703125" style="14" bestFit="1" customWidth="1"/>
    <col min="5639" max="5639" width="19" style="14" customWidth="1"/>
    <col min="5640" max="5641" width="12.85546875" style="14" bestFit="1" customWidth="1"/>
    <col min="5642" max="5888" width="11.42578125" style="14"/>
    <col min="5889" max="5889" width="45.28515625" style="14" customWidth="1"/>
    <col min="5890" max="5890" width="16.85546875" style="14" customWidth="1"/>
    <col min="5891" max="5892" width="16.5703125" style="14" customWidth="1"/>
    <col min="5893" max="5893" width="15.28515625" style="14" bestFit="1" customWidth="1"/>
    <col min="5894" max="5894" width="16.5703125" style="14" bestFit="1" customWidth="1"/>
    <col min="5895" max="5895" width="19" style="14" customWidth="1"/>
    <col min="5896" max="5897" width="12.85546875" style="14" bestFit="1" customWidth="1"/>
    <col min="5898" max="6144" width="11.42578125" style="14"/>
    <col min="6145" max="6145" width="45.28515625" style="14" customWidth="1"/>
    <col min="6146" max="6146" width="16.85546875" style="14" customWidth="1"/>
    <col min="6147" max="6148" width="16.5703125" style="14" customWidth="1"/>
    <col min="6149" max="6149" width="15.28515625" style="14" bestFit="1" customWidth="1"/>
    <col min="6150" max="6150" width="16.5703125" style="14" bestFit="1" customWidth="1"/>
    <col min="6151" max="6151" width="19" style="14" customWidth="1"/>
    <col min="6152" max="6153" width="12.85546875" style="14" bestFit="1" customWidth="1"/>
    <col min="6154" max="6400" width="11.42578125" style="14"/>
    <col min="6401" max="6401" width="45.28515625" style="14" customWidth="1"/>
    <col min="6402" max="6402" width="16.85546875" style="14" customWidth="1"/>
    <col min="6403" max="6404" width="16.5703125" style="14" customWidth="1"/>
    <col min="6405" max="6405" width="15.28515625" style="14" bestFit="1" customWidth="1"/>
    <col min="6406" max="6406" width="16.5703125" style="14" bestFit="1" customWidth="1"/>
    <col min="6407" max="6407" width="19" style="14" customWidth="1"/>
    <col min="6408" max="6409" width="12.85546875" style="14" bestFit="1" customWidth="1"/>
    <col min="6410" max="6656" width="11.42578125" style="14"/>
    <col min="6657" max="6657" width="45.28515625" style="14" customWidth="1"/>
    <col min="6658" max="6658" width="16.85546875" style="14" customWidth="1"/>
    <col min="6659" max="6660" width="16.5703125" style="14" customWidth="1"/>
    <col min="6661" max="6661" width="15.28515625" style="14" bestFit="1" customWidth="1"/>
    <col min="6662" max="6662" width="16.5703125" style="14" bestFit="1" customWidth="1"/>
    <col min="6663" max="6663" width="19" style="14" customWidth="1"/>
    <col min="6664" max="6665" width="12.85546875" style="14" bestFit="1" customWidth="1"/>
    <col min="6666" max="6912" width="11.42578125" style="14"/>
    <col min="6913" max="6913" width="45.28515625" style="14" customWidth="1"/>
    <col min="6914" max="6914" width="16.85546875" style="14" customWidth="1"/>
    <col min="6915" max="6916" width="16.5703125" style="14" customWidth="1"/>
    <col min="6917" max="6917" width="15.28515625" style="14" bestFit="1" customWidth="1"/>
    <col min="6918" max="6918" width="16.5703125" style="14" bestFit="1" customWidth="1"/>
    <col min="6919" max="6919" width="19" style="14" customWidth="1"/>
    <col min="6920" max="6921" width="12.85546875" style="14" bestFit="1" customWidth="1"/>
    <col min="6922" max="7168" width="11.42578125" style="14"/>
    <col min="7169" max="7169" width="45.28515625" style="14" customWidth="1"/>
    <col min="7170" max="7170" width="16.85546875" style="14" customWidth="1"/>
    <col min="7171" max="7172" width="16.5703125" style="14" customWidth="1"/>
    <col min="7173" max="7173" width="15.28515625" style="14" bestFit="1" customWidth="1"/>
    <col min="7174" max="7174" width="16.5703125" style="14" bestFit="1" customWidth="1"/>
    <col min="7175" max="7175" width="19" style="14" customWidth="1"/>
    <col min="7176" max="7177" width="12.85546875" style="14" bestFit="1" customWidth="1"/>
    <col min="7178" max="7424" width="11.42578125" style="14"/>
    <col min="7425" max="7425" width="45.28515625" style="14" customWidth="1"/>
    <col min="7426" max="7426" width="16.85546875" style="14" customWidth="1"/>
    <col min="7427" max="7428" width="16.5703125" style="14" customWidth="1"/>
    <col min="7429" max="7429" width="15.28515625" style="14" bestFit="1" customWidth="1"/>
    <col min="7430" max="7430" width="16.5703125" style="14" bestFit="1" customWidth="1"/>
    <col min="7431" max="7431" width="19" style="14" customWidth="1"/>
    <col min="7432" max="7433" width="12.85546875" style="14" bestFit="1" customWidth="1"/>
    <col min="7434" max="7680" width="11.42578125" style="14"/>
    <col min="7681" max="7681" width="45.28515625" style="14" customWidth="1"/>
    <col min="7682" max="7682" width="16.85546875" style="14" customWidth="1"/>
    <col min="7683" max="7684" width="16.5703125" style="14" customWidth="1"/>
    <col min="7685" max="7685" width="15.28515625" style="14" bestFit="1" customWidth="1"/>
    <col min="7686" max="7686" width="16.5703125" style="14" bestFit="1" customWidth="1"/>
    <col min="7687" max="7687" width="19" style="14" customWidth="1"/>
    <col min="7688" max="7689" width="12.85546875" style="14" bestFit="1" customWidth="1"/>
    <col min="7690" max="7936" width="11.42578125" style="14"/>
    <col min="7937" max="7937" width="45.28515625" style="14" customWidth="1"/>
    <col min="7938" max="7938" width="16.85546875" style="14" customWidth="1"/>
    <col min="7939" max="7940" width="16.5703125" style="14" customWidth="1"/>
    <col min="7941" max="7941" width="15.28515625" style="14" bestFit="1" customWidth="1"/>
    <col min="7942" max="7942" width="16.5703125" style="14" bestFit="1" customWidth="1"/>
    <col min="7943" max="7943" width="19" style="14" customWidth="1"/>
    <col min="7944" max="7945" width="12.85546875" style="14" bestFit="1" customWidth="1"/>
    <col min="7946" max="8192" width="11.42578125" style="14"/>
    <col min="8193" max="8193" width="45.28515625" style="14" customWidth="1"/>
    <col min="8194" max="8194" width="16.85546875" style="14" customWidth="1"/>
    <col min="8195" max="8196" width="16.5703125" style="14" customWidth="1"/>
    <col min="8197" max="8197" width="15.28515625" style="14" bestFit="1" customWidth="1"/>
    <col min="8198" max="8198" width="16.5703125" style="14" bestFit="1" customWidth="1"/>
    <col min="8199" max="8199" width="19" style="14" customWidth="1"/>
    <col min="8200" max="8201" width="12.85546875" style="14" bestFit="1" customWidth="1"/>
    <col min="8202" max="8448" width="11.42578125" style="14"/>
    <col min="8449" max="8449" width="45.28515625" style="14" customWidth="1"/>
    <col min="8450" max="8450" width="16.85546875" style="14" customWidth="1"/>
    <col min="8451" max="8452" width="16.5703125" style="14" customWidth="1"/>
    <col min="8453" max="8453" width="15.28515625" style="14" bestFit="1" customWidth="1"/>
    <col min="8454" max="8454" width="16.5703125" style="14" bestFit="1" customWidth="1"/>
    <col min="8455" max="8455" width="19" style="14" customWidth="1"/>
    <col min="8456" max="8457" width="12.85546875" style="14" bestFit="1" customWidth="1"/>
    <col min="8458" max="8704" width="11.42578125" style="14"/>
    <col min="8705" max="8705" width="45.28515625" style="14" customWidth="1"/>
    <col min="8706" max="8706" width="16.85546875" style="14" customWidth="1"/>
    <col min="8707" max="8708" width="16.5703125" style="14" customWidth="1"/>
    <col min="8709" max="8709" width="15.28515625" style="14" bestFit="1" customWidth="1"/>
    <col min="8710" max="8710" width="16.5703125" style="14" bestFit="1" customWidth="1"/>
    <col min="8711" max="8711" width="19" style="14" customWidth="1"/>
    <col min="8712" max="8713" width="12.85546875" style="14" bestFit="1" customWidth="1"/>
    <col min="8714" max="8960" width="11.42578125" style="14"/>
    <col min="8961" max="8961" width="45.28515625" style="14" customWidth="1"/>
    <col min="8962" max="8962" width="16.85546875" style="14" customWidth="1"/>
    <col min="8963" max="8964" width="16.5703125" style="14" customWidth="1"/>
    <col min="8965" max="8965" width="15.28515625" style="14" bestFit="1" customWidth="1"/>
    <col min="8966" max="8966" width="16.5703125" style="14" bestFit="1" customWidth="1"/>
    <col min="8967" max="8967" width="19" style="14" customWidth="1"/>
    <col min="8968" max="8969" width="12.85546875" style="14" bestFit="1" customWidth="1"/>
    <col min="8970" max="9216" width="11.42578125" style="14"/>
    <col min="9217" max="9217" width="45.28515625" style="14" customWidth="1"/>
    <col min="9218" max="9218" width="16.85546875" style="14" customWidth="1"/>
    <col min="9219" max="9220" width="16.5703125" style="14" customWidth="1"/>
    <col min="9221" max="9221" width="15.28515625" style="14" bestFit="1" customWidth="1"/>
    <col min="9222" max="9222" width="16.5703125" style="14" bestFit="1" customWidth="1"/>
    <col min="9223" max="9223" width="19" style="14" customWidth="1"/>
    <col min="9224" max="9225" width="12.85546875" style="14" bestFit="1" customWidth="1"/>
    <col min="9226" max="9472" width="11.42578125" style="14"/>
    <col min="9473" max="9473" width="45.28515625" style="14" customWidth="1"/>
    <col min="9474" max="9474" width="16.85546875" style="14" customWidth="1"/>
    <col min="9475" max="9476" width="16.5703125" style="14" customWidth="1"/>
    <col min="9477" max="9477" width="15.28515625" style="14" bestFit="1" customWidth="1"/>
    <col min="9478" max="9478" width="16.5703125" style="14" bestFit="1" customWidth="1"/>
    <col min="9479" max="9479" width="19" style="14" customWidth="1"/>
    <col min="9480" max="9481" width="12.85546875" style="14" bestFit="1" customWidth="1"/>
    <col min="9482" max="9728" width="11.42578125" style="14"/>
    <col min="9729" max="9729" width="45.28515625" style="14" customWidth="1"/>
    <col min="9730" max="9730" width="16.85546875" style="14" customWidth="1"/>
    <col min="9731" max="9732" width="16.5703125" style="14" customWidth="1"/>
    <col min="9733" max="9733" width="15.28515625" style="14" bestFit="1" customWidth="1"/>
    <col min="9734" max="9734" width="16.5703125" style="14" bestFit="1" customWidth="1"/>
    <col min="9735" max="9735" width="19" style="14" customWidth="1"/>
    <col min="9736" max="9737" width="12.85546875" style="14" bestFit="1" customWidth="1"/>
    <col min="9738" max="9984" width="11.42578125" style="14"/>
    <col min="9985" max="9985" width="45.28515625" style="14" customWidth="1"/>
    <col min="9986" max="9986" width="16.85546875" style="14" customWidth="1"/>
    <col min="9987" max="9988" width="16.5703125" style="14" customWidth="1"/>
    <col min="9989" max="9989" width="15.28515625" style="14" bestFit="1" customWidth="1"/>
    <col min="9990" max="9990" width="16.5703125" style="14" bestFit="1" customWidth="1"/>
    <col min="9991" max="9991" width="19" style="14" customWidth="1"/>
    <col min="9992" max="9993" width="12.85546875" style="14" bestFit="1" customWidth="1"/>
    <col min="9994" max="10240" width="11.42578125" style="14"/>
    <col min="10241" max="10241" width="45.28515625" style="14" customWidth="1"/>
    <col min="10242" max="10242" width="16.85546875" style="14" customWidth="1"/>
    <col min="10243" max="10244" width="16.5703125" style="14" customWidth="1"/>
    <col min="10245" max="10245" width="15.28515625" style="14" bestFit="1" customWidth="1"/>
    <col min="10246" max="10246" width="16.5703125" style="14" bestFit="1" customWidth="1"/>
    <col min="10247" max="10247" width="19" style="14" customWidth="1"/>
    <col min="10248" max="10249" width="12.85546875" style="14" bestFit="1" customWidth="1"/>
    <col min="10250" max="10496" width="11.42578125" style="14"/>
    <col min="10497" max="10497" width="45.28515625" style="14" customWidth="1"/>
    <col min="10498" max="10498" width="16.85546875" style="14" customWidth="1"/>
    <col min="10499" max="10500" width="16.5703125" style="14" customWidth="1"/>
    <col min="10501" max="10501" width="15.28515625" style="14" bestFit="1" customWidth="1"/>
    <col min="10502" max="10502" width="16.5703125" style="14" bestFit="1" customWidth="1"/>
    <col min="10503" max="10503" width="19" style="14" customWidth="1"/>
    <col min="10504" max="10505" width="12.85546875" style="14" bestFit="1" customWidth="1"/>
    <col min="10506" max="10752" width="11.42578125" style="14"/>
    <col min="10753" max="10753" width="45.28515625" style="14" customWidth="1"/>
    <col min="10754" max="10754" width="16.85546875" style="14" customWidth="1"/>
    <col min="10755" max="10756" width="16.5703125" style="14" customWidth="1"/>
    <col min="10757" max="10757" width="15.28515625" style="14" bestFit="1" customWidth="1"/>
    <col min="10758" max="10758" width="16.5703125" style="14" bestFit="1" customWidth="1"/>
    <col min="10759" max="10759" width="19" style="14" customWidth="1"/>
    <col min="10760" max="10761" width="12.85546875" style="14" bestFit="1" customWidth="1"/>
    <col min="10762" max="11008" width="11.42578125" style="14"/>
    <col min="11009" max="11009" width="45.28515625" style="14" customWidth="1"/>
    <col min="11010" max="11010" width="16.85546875" style="14" customWidth="1"/>
    <col min="11011" max="11012" width="16.5703125" style="14" customWidth="1"/>
    <col min="11013" max="11013" width="15.28515625" style="14" bestFit="1" customWidth="1"/>
    <col min="11014" max="11014" width="16.5703125" style="14" bestFit="1" customWidth="1"/>
    <col min="11015" max="11015" width="19" style="14" customWidth="1"/>
    <col min="11016" max="11017" width="12.85546875" style="14" bestFit="1" customWidth="1"/>
    <col min="11018" max="11264" width="11.42578125" style="14"/>
    <col min="11265" max="11265" width="45.28515625" style="14" customWidth="1"/>
    <col min="11266" max="11266" width="16.85546875" style="14" customWidth="1"/>
    <col min="11267" max="11268" width="16.5703125" style="14" customWidth="1"/>
    <col min="11269" max="11269" width="15.28515625" style="14" bestFit="1" customWidth="1"/>
    <col min="11270" max="11270" width="16.5703125" style="14" bestFit="1" customWidth="1"/>
    <col min="11271" max="11271" width="19" style="14" customWidth="1"/>
    <col min="11272" max="11273" width="12.85546875" style="14" bestFit="1" customWidth="1"/>
    <col min="11274" max="11520" width="11.42578125" style="14"/>
    <col min="11521" max="11521" width="45.28515625" style="14" customWidth="1"/>
    <col min="11522" max="11522" width="16.85546875" style="14" customWidth="1"/>
    <col min="11523" max="11524" width="16.5703125" style="14" customWidth="1"/>
    <col min="11525" max="11525" width="15.28515625" style="14" bestFit="1" customWidth="1"/>
    <col min="11526" max="11526" width="16.5703125" style="14" bestFit="1" customWidth="1"/>
    <col min="11527" max="11527" width="19" style="14" customWidth="1"/>
    <col min="11528" max="11529" width="12.85546875" style="14" bestFit="1" customWidth="1"/>
    <col min="11530" max="11776" width="11.42578125" style="14"/>
    <col min="11777" max="11777" width="45.28515625" style="14" customWidth="1"/>
    <col min="11778" max="11778" width="16.85546875" style="14" customWidth="1"/>
    <col min="11779" max="11780" width="16.5703125" style="14" customWidth="1"/>
    <col min="11781" max="11781" width="15.28515625" style="14" bestFit="1" customWidth="1"/>
    <col min="11782" max="11782" width="16.5703125" style="14" bestFit="1" customWidth="1"/>
    <col min="11783" max="11783" width="19" style="14" customWidth="1"/>
    <col min="11784" max="11785" width="12.85546875" style="14" bestFit="1" customWidth="1"/>
    <col min="11786" max="12032" width="11.42578125" style="14"/>
    <col min="12033" max="12033" width="45.28515625" style="14" customWidth="1"/>
    <col min="12034" max="12034" width="16.85546875" style="14" customWidth="1"/>
    <col min="12035" max="12036" width="16.5703125" style="14" customWidth="1"/>
    <col min="12037" max="12037" width="15.28515625" style="14" bestFit="1" customWidth="1"/>
    <col min="12038" max="12038" width="16.5703125" style="14" bestFit="1" customWidth="1"/>
    <col min="12039" max="12039" width="19" style="14" customWidth="1"/>
    <col min="12040" max="12041" width="12.85546875" style="14" bestFit="1" customWidth="1"/>
    <col min="12042" max="12288" width="11.42578125" style="14"/>
    <col min="12289" max="12289" width="45.28515625" style="14" customWidth="1"/>
    <col min="12290" max="12290" width="16.85546875" style="14" customWidth="1"/>
    <col min="12291" max="12292" width="16.5703125" style="14" customWidth="1"/>
    <col min="12293" max="12293" width="15.28515625" style="14" bestFit="1" customWidth="1"/>
    <col min="12294" max="12294" width="16.5703125" style="14" bestFit="1" customWidth="1"/>
    <col min="12295" max="12295" width="19" style="14" customWidth="1"/>
    <col min="12296" max="12297" width="12.85546875" style="14" bestFit="1" customWidth="1"/>
    <col min="12298" max="12544" width="11.42578125" style="14"/>
    <col min="12545" max="12545" width="45.28515625" style="14" customWidth="1"/>
    <col min="12546" max="12546" width="16.85546875" style="14" customWidth="1"/>
    <col min="12547" max="12548" width="16.5703125" style="14" customWidth="1"/>
    <col min="12549" max="12549" width="15.28515625" style="14" bestFit="1" customWidth="1"/>
    <col min="12550" max="12550" width="16.5703125" style="14" bestFit="1" customWidth="1"/>
    <col min="12551" max="12551" width="19" style="14" customWidth="1"/>
    <col min="12552" max="12553" width="12.85546875" style="14" bestFit="1" customWidth="1"/>
    <col min="12554" max="12800" width="11.42578125" style="14"/>
    <col min="12801" max="12801" width="45.28515625" style="14" customWidth="1"/>
    <col min="12802" max="12802" width="16.85546875" style="14" customWidth="1"/>
    <col min="12803" max="12804" width="16.5703125" style="14" customWidth="1"/>
    <col min="12805" max="12805" width="15.28515625" style="14" bestFit="1" customWidth="1"/>
    <col min="12806" max="12806" width="16.5703125" style="14" bestFit="1" customWidth="1"/>
    <col min="12807" max="12807" width="19" style="14" customWidth="1"/>
    <col min="12808" max="12809" width="12.85546875" style="14" bestFit="1" customWidth="1"/>
    <col min="12810" max="13056" width="11.42578125" style="14"/>
    <col min="13057" max="13057" width="45.28515625" style="14" customWidth="1"/>
    <col min="13058" max="13058" width="16.85546875" style="14" customWidth="1"/>
    <col min="13059" max="13060" width="16.5703125" style="14" customWidth="1"/>
    <col min="13061" max="13061" width="15.28515625" style="14" bestFit="1" customWidth="1"/>
    <col min="13062" max="13062" width="16.5703125" style="14" bestFit="1" customWidth="1"/>
    <col min="13063" max="13063" width="19" style="14" customWidth="1"/>
    <col min="13064" max="13065" width="12.85546875" style="14" bestFit="1" customWidth="1"/>
    <col min="13066" max="13312" width="11.42578125" style="14"/>
    <col min="13313" max="13313" width="45.28515625" style="14" customWidth="1"/>
    <col min="13314" max="13314" width="16.85546875" style="14" customWidth="1"/>
    <col min="13315" max="13316" width="16.5703125" style="14" customWidth="1"/>
    <col min="13317" max="13317" width="15.28515625" style="14" bestFit="1" customWidth="1"/>
    <col min="13318" max="13318" width="16.5703125" style="14" bestFit="1" customWidth="1"/>
    <col min="13319" max="13319" width="19" style="14" customWidth="1"/>
    <col min="13320" max="13321" width="12.85546875" style="14" bestFit="1" customWidth="1"/>
    <col min="13322" max="13568" width="11.42578125" style="14"/>
    <col min="13569" max="13569" width="45.28515625" style="14" customWidth="1"/>
    <col min="13570" max="13570" width="16.85546875" style="14" customWidth="1"/>
    <col min="13571" max="13572" width="16.5703125" style="14" customWidth="1"/>
    <col min="13573" max="13573" width="15.28515625" style="14" bestFit="1" customWidth="1"/>
    <col min="13574" max="13574" width="16.5703125" style="14" bestFit="1" customWidth="1"/>
    <col min="13575" max="13575" width="19" style="14" customWidth="1"/>
    <col min="13576" max="13577" width="12.85546875" style="14" bestFit="1" customWidth="1"/>
    <col min="13578" max="13824" width="11.42578125" style="14"/>
    <col min="13825" max="13825" width="45.28515625" style="14" customWidth="1"/>
    <col min="13826" max="13826" width="16.85546875" style="14" customWidth="1"/>
    <col min="13827" max="13828" width="16.5703125" style="14" customWidth="1"/>
    <col min="13829" max="13829" width="15.28515625" style="14" bestFit="1" customWidth="1"/>
    <col min="13830" max="13830" width="16.5703125" style="14" bestFit="1" customWidth="1"/>
    <col min="13831" max="13831" width="19" style="14" customWidth="1"/>
    <col min="13832" max="13833" width="12.85546875" style="14" bestFit="1" customWidth="1"/>
    <col min="13834" max="14080" width="11.42578125" style="14"/>
    <col min="14081" max="14081" width="45.28515625" style="14" customWidth="1"/>
    <col min="14082" max="14082" width="16.85546875" style="14" customWidth="1"/>
    <col min="14083" max="14084" width="16.5703125" style="14" customWidth="1"/>
    <col min="14085" max="14085" width="15.28515625" style="14" bestFit="1" customWidth="1"/>
    <col min="14086" max="14086" width="16.5703125" style="14" bestFit="1" customWidth="1"/>
    <col min="14087" max="14087" width="19" style="14" customWidth="1"/>
    <col min="14088" max="14089" width="12.85546875" style="14" bestFit="1" customWidth="1"/>
    <col min="14090" max="14336" width="11.42578125" style="14"/>
    <col min="14337" max="14337" width="45.28515625" style="14" customWidth="1"/>
    <col min="14338" max="14338" width="16.85546875" style="14" customWidth="1"/>
    <col min="14339" max="14340" width="16.5703125" style="14" customWidth="1"/>
    <col min="14341" max="14341" width="15.28515625" style="14" bestFit="1" customWidth="1"/>
    <col min="14342" max="14342" width="16.5703125" style="14" bestFit="1" customWidth="1"/>
    <col min="14343" max="14343" width="19" style="14" customWidth="1"/>
    <col min="14344" max="14345" width="12.85546875" style="14" bestFit="1" customWidth="1"/>
    <col min="14346" max="14592" width="11.42578125" style="14"/>
    <col min="14593" max="14593" width="45.28515625" style="14" customWidth="1"/>
    <col min="14594" max="14594" width="16.85546875" style="14" customWidth="1"/>
    <col min="14595" max="14596" width="16.5703125" style="14" customWidth="1"/>
    <col min="14597" max="14597" width="15.28515625" style="14" bestFit="1" customWidth="1"/>
    <col min="14598" max="14598" width="16.5703125" style="14" bestFit="1" customWidth="1"/>
    <col min="14599" max="14599" width="19" style="14" customWidth="1"/>
    <col min="14600" max="14601" width="12.85546875" style="14" bestFit="1" customWidth="1"/>
    <col min="14602" max="14848" width="11.42578125" style="14"/>
    <col min="14849" max="14849" width="45.28515625" style="14" customWidth="1"/>
    <col min="14850" max="14850" width="16.85546875" style="14" customWidth="1"/>
    <col min="14851" max="14852" width="16.5703125" style="14" customWidth="1"/>
    <col min="14853" max="14853" width="15.28515625" style="14" bestFit="1" customWidth="1"/>
    <col min="14854" max="14854" width="16.5703125" style="14" bestFit="1" customWidth="1"/>
    <col min="14855" max="14855" width="19" style="14" customWidth="1"/>
    <col min="14856" max="14857" width="12.85546875" style="14" bestFit="1" customWidth="1"/>
    <col min="14858" max="15104" width="11.42578125" style="14"/>
    <col min="15105" max="15105" width="45.28515625" style="14" customWidth="1"/>
    <col min="15106" max="15106" width="16.85546875" style="14" customWidth="1"/>
    <col min="15107" max="15108" width="16.5703125" style="14" customWidth="1"/>
    <col min="15109" max="15109" width="15.28515625" style="14" bestFit="1" customWidth="1"/>
    <col min="15110" max="15110" width="16.5703125" style="14" bestFit="1" customWidth="1"/>
    <col min="15111" max="15111" width="19" style="14" customWidth="1"/>
    <col min="15112" max="15113" width="12.85546875" style="14" bestFit="1" customWidth="1"/>
    <col min="15114" max="15360" width="11.42578125" style="14"/>
    <col min="15361" max="15361" width="45.28515625" style="14" customWidth="1"/>
    <col min="15362" max="15362" width="16.85546875" style="14" customWidth="1"/>
    <col min="15363" max="15364" width="16.5703125" style="14" customWidth="1"/>
    <col min="15365" max="15365" width="15.28515625" style="14" bestFit="1" customWidth="1"/>
    <col min="15366" max="15366" width="16.5703125" style="14" bestFit="1" customWidth="1"/>
    <col min="15367" max="15367" width="19" style="14" customWidth="1"/>
    <col min="15368" max="15369" width="12.85546875" style="14" bestFit="1" customWidth="1"/>
    <col min="15370" max="15616" width="11.42578125" style="14"/>
    <col min="15617" max="15617" width="45.28515625" style="14" customWidth="1"/>
    <col min="15618" max="15618" width="16.85546875" style="14" customWidth="1"/>
    <col min="15619" max="15620" width="16.5703125" style="14" customWidth="1"/>
    <col min="15621" max="15621" width="15.28515625" style="14" bestFit="1" customWidth="1"/>
    <col min="15622" max="15622" width="16.5703125" style="14" bestFit="1" customWidth="1"/>
    <col min="15623" max="15623" width="19" style="14" customWidth="1"/>
    <col min="15624" max="15625" width="12.85546875" style="14" bestFit="1" customWidth="1"/>
    <col min="15626" max="15872" width="11.42578125" style="14"/>
    <col min="15873" max="15873" width="45.28515625" style="14" customWidth="1"/>
    <col min="15874" max="15874" width="16.85546875" style="14" customWidth="1"/>
    <col min="15875" max="15876" width="16.5703125" style="14" customWidth="1"/>
    <col min="15877" max="15877" width="15.28515625" style="14" bestFit="1" customWidth="1"/>
    <col min="15878" max="15878" width="16.5703125" style="14" bestFit="1" customWidth="1"/>
    <col min="15879" max="15879" width="19" style="14" customWidth="1"/>
    <col min="15880" max="15881" width="12.85546875" style="14" bestFit="1" customWidth="1"/>
    <col min="15882" max="16128" width="11.42578125" style="14"/>
    <col min="16129" max="16129" width="45.28515625" style="14" customWidth="1"/>
    <col min="16130" max="16130" width="16.85546875" style="14" customWidth="1"/>
    <col min="16131" max="16132" width="16.5703125" style="14" customWidth="1"/>
    <col min="16133" max="16133" width="15.28515625" style="14" bestFit="1" customWidth="1"/>
    <col min="16134" max="16134" width="16.5703125" style="14" bestFit="1" customWidth="1"/>
    <col min="16135" max="16135" width="19" style="14" customWidth="1"/>
    <col min="16136" max="16137" width="12.85546875" style="14" bestFit="1" customWidth="1"/>
    <col min="16138" max="16384" width="11.42578125" style="14"/>
  </cols>
  <sheetData>
    <row r="2" spans="2:8" ht="18" customHeight="1">
      <c r="B2" s="647" t="s">
        <v>85</v>
      </c>
      <c r="C2" s="647"/>
      <c r="D2" s="647"/>
      <c r="E2" s="647"/>
      <c r="F2" s="647"/>
    </row>
    <row r="3" spans="2:8">
      <c r="B3" s="648" t="s">
        <v>86</v>
      </c>
      <c r="C3" s="648"/>
      <c r="D3" s="648"/>
      <c r="E3" s="648"/>
      <c r="F3" s="648"/>
    </row>
    <row r="4" spans="2:8">
      <c r="B4" s="120"/>
      <c r="C4" s="121"/>
      <c r="D4" s="121"/>
      <c r="E4" s="181"/>
      <c r="F4" s="210"/>
    </row>
    <row r="5" spans="2:8">
      <c r="B5" s="649" t="s">
        <v>289</v>
      </c>
      <c r="C5" s="649"/>
      <c r="D5" s="649"/>
      <c r="E5" s="649"/>
      <c r="F5" s="649"/>
    </row>
    <row r="6" spans="2:8">
      <c r="B6" s="650"/>
      <c r="C6" s="650"/>
      <c r="D6" s="120"/>
      <c r="E6" s="181"/>
      <c r="F6" s="210"/>
    </row>
    <row r="7" spans="2:8">
      <c r="B7" s="443"/>
      <c r="C7" s="444">
        <v>2017</v>
      </c>
      <c r="D7" s="444" t="s">
        <v>292</v>
      </c>
      <c r="E7" s="444" t="s">
        <v>293</v>
      </c>
      <c r="F7" s="444" t="s">
        <v>294</v>
      </c>
    </row>
    <row r="8" spans="2:8">
      <c r="B8" s="124"/>
      <c r="C8" s="121"/>
      <c r="D8" s="181"/>
      <c r="E8" s="181"/>
      <c r="F8" s="210"/>
    </row>
    <row r="9" spans="2:8">
      <c r="B9" s="134" t="s">
        <v>51</v>
      </c>
      <c r="C9" s="605">
        <f>+'INDICADORES BASICOS'!I151</f>
        <v>40.961259748941544</v>
      </c>
      <c r="D9" s="605">
        <f>+'INDICADORES BASICOS'!I241</f>
        <v>51.873163226723335</v>
      </c>
      <c r="E9" s="605">
        <f>+'INDICADORES BASICOS'!I325</f>
        <v>85.432135542729469</v>
      </c>
      <c r="F9" s="606">
        <f>+'INDICADORES BASICOS'!I407</f>
        <v>70.874785591766724</v>
      </c>
      <c r="G9" s="18"/>
      <c r="H9" s="19"/>
    </row>
    <row r="10" spans="2:8">
      <c r="B10" s="129"/>
      <c r="C10" s="607"/>
      <c r="D10" s="607"/>
      <c r="E10" s="607"/>
      <c r="F10" s="607"/>
      <c r="G10" s="18"/>
    </row>
    <row r="11" spans="2:8">
      <c r="B11" s="134" t="s">
        <v>295</v>
      </c>
      <c r="C11" s="605">
        <f>+C9</f>
        <v>40.961259748941544</v>
      </c>
      <c r="D11" s="605">
        <f t="shared" ref="D11:F11" si="0">+D9</f>
        <v>51.873163226723335</v>
      </c>
      <c r="E11" s="605">
        <f t="shared" si="0"/>
        <v>85.432135542729469</v>
      </c>
      <c r="F11" s="605">
        <f t="shared" si="0"/>
        <v>70.874785591766724</v>
      </c>
    </row>
    <row r="12" spans="2:8">
      <c r="B12" s="128"/>
      <c r="C12" s="608"/>
      <c r="D12" s="608"/>
      <c r="E12" s="608"/>
      <c r="F12" s="609"/>
    </row>
    <row r="13" spans="2:8">
      <c r="B13" s="134" t="s">
        <v>291</v>
      </c>
      <c r="C13" s="605">
        <f>+(PKT!C15*360)/EBITDA!C11</f>
        <v>75.684918765954919</v>
      </c>
      <c r="D13" s="605">
        <f>+(PKT!D15*360)/EBITDA!D11</f>
        <v>70.300357296485856</v>
      </c>
      <c r="E13" s="605">
        <f>+(PKT!C46*360)/EBITDA!E11</f>
        <v>153.94150057316125</v>
      </c>
      <c r="F13" s="605">
        <f>+(PKT!D46*360)/EBITDA!F11</f>
        <v>206.33198380566802</v>
      </c>
    </row>
    <row r="14" spans="2:8">
      <c r="B14" s="130"/>
      <c r="C14" s="608"/>
      <c r="D14" s="608"/>
      <c r="E14" s="608"/>
      <c r="F14" s="609"/>
    </row>
    <row r="15" spans="2:8">
      <c r="B15" s="134" t="s">
        <v>290</v>
      </c>
      <c r="C15" s="605">
        <f>+C11-C13</f>
        <v>-34.723659017013375</v>
      </c>
      <c r="D15" s="605">
        <f t="shared" ref="D15:F15" si="1">+D11-D13</f>
        <v>-18.427194069762521</v>
      </c>
      <c r="E15" s="605">
        <f t="shared" si="1"/>
        <v>-68.50936503043178</v>
      </c>
      <c r="F15" s="605">
        <f t="shared" si="1"/>
        <v>-135.45719821390128</v>
      </c>
    </row>
    <row r="16" spans="2:8">
      <c r="B16" s="9"/>
      <c r="C16" s="15"/>
      <c r="D16" s="15"/>
    </row>
    <row r="18" spans="2:4">
      <c r="B18" s="20"/>
    </row>
    <row r="21" spans="2:4">
      <c r="B21" s="9"/>
      <c r="C21" s="15"/>
      <c r="D21" s="15"/>
    </row>
    <row r="22" spans="2:4">
      <c r="B22" s="9"/>
      <c r="C22" s="15"/>
      <c r="D22" s="15"/>
    </row>
    <row r="41" spans="2:7">
      <c r="B41" s="20" t="s">
        <v>360</v>
      </c>
    </row>
    <row r="42" spans="2:7" ht="15.75" customHeight="1">
      <c r="B42" s="651" t="s">
        <v>365</v>
      </c>
      <c r="C42" s="651"/>
      <c r="D42" s="651"/>
      <c r="E42" s="651"/>
      <c r="F42" s="651"/>
      <c r="G42" s="651"/>
    </row>
    <row r="43" spans="2:7">
      <c r="B43" s="651"/>
      <c r="C43" s="651"/>
      <c r="D43" s="651"/>
      <c r="E43" s="651"/>
      <c r="F43" s="651"/>
      <c r="G43" s="651"/>
    </row>
    <row r="44" spans="2:7">
      <c r="B44" s="651"/>
      <c r="C44" s="651"/>
      <c r="D44" s="651"/>
      <c r="E44" s="651"/>
      <c r="F44" s="651"/>
      <c r="G44" s="651"/>
    </row>
    <row r="45" spans="2:7">
      <c r="B45" s="651"/>
      <c r="C45" s="651"/>
      <c r="D45" s="651"/>
      <c r="E45" s="651"/>
      <c r="F45" s="651"/>
      <c r="G45" s="651"/>
    </row>
  </sheetData>
  <mergeCells count="5">
    <mergeCell ref="B6:C6"/>
    <mergeCell ref="B2:F2"/>
    <mergeCell ref="B3:F3"/>
    <mergeCell ref="B5:F5"/>
    <mergeCell ref="B42:G45"/>
  </mergeCells>
  <pageMargins left="0.7" right="0.7" top="0.75" bottom="0.75" header="0.3" footer="0.3"/>
  <ignoredErrors>
    <ignoredError sqref="C7:F7" numberStoredAsText="1"/>
  </ignoredErrors>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H79"/>
  <sheetViews>
    <sheetView zoomScale="90" zoomScaleNormal="90" workbookViewId="0">
      <selection activeCell="B73" sqref="B73:E79"/>
    </sheetView>
  </sheetViews>
  <sheetFormatPr baseColWidth="10" defaultColWidth="10.7109375" defaultRowHeight="15.75"/>
  <cols>
    <col min="1" max="1" width="2.7109375" style="14" customWidth="1"/>
    <col min="2" max="2" width="40.140625" style="14" customWidth="1"/>
    <col min="3" max="3" width="18.140625" style="7" customWidth="1"/>
    <col min="4" max="4" width="20" style="7" customWidth="1"/>
    <col min="5" max="5" width="19.42578125" style="7" customWidth="1"/>
    <col min="6" max="6" width="15.28515625" style="7" bestFit="1" customWidth="1"/>
    <col min="7" max="7" width="16.5703125" style="21" bestFit="1" customWidth="1"/>
    <col min="8" max="8" width="19" style="14" customWidth="1"/>
    <col min="9" max="10" width="12.85546875" style="14" bestFit="1" customWidth="1"/>
    <col min="11" max="257" width="11.42578125" style="14"/>
    <col min="258" max="258" width="45.28515625" style="14" customWidth="1"/>
    <col min="259" max="259" width="16.85546875" style="14" customWidth="1"/>
    <col min="260" max="261" width="16.5703125" style="14" customWidth="1"/>
    <col min="262" max="262" width="15.28515625" style="14" bestFit="1" customWidth="1"/>
    <col min="263" max="263" width="16.5703125" style="14" bestFit="1" customWidth="1"/>
    <col min="264" max="264" width="19" style="14" customWidth="1"/>
    <col min="265" max="266" width="12.85546875" style="14" bestFit="1" customWidth="1"/>
    <col min="267" max="513" width="11.42578125" style="14"/>
    <col min="514" max="514" width="45.28515625" style="14" customWidth="1"/>
    <col min="515" max="515" width="16.85546875" style="14" customWidth="1"/>
    <col min="516" max="517" width="16.5703125" style="14" customWidth="1"/>
    <col min="518" max="518" width="15.28515625" style="14" bestFit="1" customWidth="1"/>
    <col min="519" max="519" width="16.5703125" style="14" bestFit="1" customWidth="1"/>
    <col min="520" max="520" width="19" style="14" customWidth="1"/>
    <col min="521" max="522" width="12.85546875" style="14" bestFit="1" customWidth="1"/>
    <col min="523" max="769" width="11.42578125" style="14"/>
    <col min="770" max="770" width="45.28515625" style="14" customWidth="1"/>
    <col min="771" max="771" width="16.85546875" style="14" customWidth="1"/>
    <col min="772" max="773" width="16.5703125" style="14" customWidth="1"/>
    <col min="774" max="774" width="15.28515625" style="14" bestFit="1" customWidth="1"/>
    <col min="775" max="775" width="16.5703125" style="14" bestFit="1" customWidth="1"/>
    <col min="776" max="776" width="19" style="14" customWidth="1"/>
    <col min="777" max="778" width="12.85546875" style="14" bestFit="1" customWidth="1"/>
    <col min="779" max="1025" width="11.42578125" style="14"/>
    <col min="1026" max="1026" width="45.28515625" style="14" customWidth="1"/>
    <col min="1027" max="1027" width="16.85546875" style="14" customWidth="1"/>
    <col min="1028" max="1029" width="16.5703125" style="14" customWidth="1"/>
    <col min="1030" max="1030" width="15.28515625" style="14" bestFit="1" customWidth="1"/>
    <col min="1031" max="1031" width="16.5703125" style="14" bestFit="1" customWidth="1"/>
    <col min="1032" max="1032" width="19" style="14" customWidth="1"/>
    <col min="1033" max="1034" width="12.85546875" style="14" bestFit="1" customWidth="1"/>
    <col min="1035" max="1281" width="11.42578125" style="14"/>
    <col min="1282" max="1282" width="45.28515625" style="14" customWidth="1"/>
    <col min="1283" max="1283" width="16.85546875" style="14" customWidth="1"/>
    <col min="1284" max="1285" width="16.5703125" style="14" customWidth="1"/>
    <col min="1286" max="1286" width="15.28515625" style="14" bestFit="1" customWidth="1"/>
    <col min="1287" max="1287" width="16.5703125" style="14" bestFit="1" customWidth="1"/>
    <col min="1288" max="1288" width="19" style="14" customWidth="1"/>
    <col min="1289" max="1290" width="12.85546875" style="14" bestFit="1" customWidth="1"/>
    <col min="1291" max="1537" width="11.42578125" style="14"/>
    <col min="1538" max="1538" width="45.28515625" style="14" customWidth="1"/>
    <col min="1539" max="1539" width="16.85546875" style="14" customWidth="1"/>
    <col min="1540" max="1541" width="16.5703125" style="14" customWidth="1"/>
    <col min="1542" max="1542" width="15.28515625" style="14" bestFit="1" customWidth="1"/>
    <col min="1543" max="1543" width="16.5703125" style="14" bestFit="1" customWidth="1"/>
    <col min="1544" max="1544" width="19" style="14" customWidth="1"/>
    <col min="1545" max="1546" width="12.85546875" style="14" bestFit="1" customWidth="1"/>
    <col min="1547" max="1793" width="11.42578125" style="14"/>
    <col min="1794" max="1794" width="45.28515625" style="14" customWidth="1"/>
    <col min="1795" max="1795" width="16.85546875" style="14" customWidth="1"/>
    <col min="1796" max="1797" width="16.5703125" style="14" customWidth="1"/>
    <col min="1798" max="1798" width="15.28515625" style="14" bestFit="1" customWidth="1"/>
    <col min="1799" max="1799" width="16.5703125" style="14" bestFit="1" customWidth="1"/>
    <col min="1800" max="1800" width="19" style="14" customWidth="1"/>
    <col min="1801" max="1802" width="12.85546875" style="14" bestFit="1" customWidth="1"/>
    <col min="1803" max="2049" width="11.42578125" style="14"/>
    <col min="2050" max="2050" width="45.28515625" style="14" customWidth="1"/>
    <col min="2051" max="2051" width="16.85546875" style="14" customWidth="1"/>
    <col min="2052" max="2053" width="16.5703125" style="14" customWidth="1"/>
    <col min="2054" max="2054" width="15.28515625" style="14" bestFit="1" customWidth="1"/>
    <col min="2055" max="2055" width="16.5703125" style="14" bestFit="1" customWidth="1"/>
    <col min="2056" max="2056" width="19" style="14" customWidth="1"/>
    <col min="2057" max="2058" width="12.85546875" style="14" bestFit="1" customWidth="1"/>
    <col min="2059" max="2305" width="11.42578125" style="14"/>
    <col min="2306" max="2306" width="45.28515625" style="14" customWidth="1"/>
    <col min="2307" max="2307" width="16.85546875" style="14" customWidth="1"/>
    <col min="2308" max="2309" width="16.5703125" style="14" customWidth="1"/>
    <col min="2310" max="2310" width="15.28515625" style="14" bestFit="1" customWidth="1"/>
    <col min="2311" max="2311" width="16.5703125" style="14" bestFit="1" customWidth="1"/>
    <col min="2312" max="2312" width="19" style="14" customWidth="1"/>
    <col min="2313" max="2314" width="12.85546875" style="14" bestFit="1" customWidth="1"/>
    <col min="2315" max="2561" width="11.42578125" style="14"/>
    <col min="2562" max="2562" width="45.28515625" style="14" customWidth="1"/>
    <col min="2563" max="2563" width="16.85546875" style="14" customWidth="1"/>
    <col min="2564" max="2565" width="16.5703125" style="14" customWidth="1"/>
    <col min="2566" max="2566" width="15.28515625" style="14" bestFit="1" customWidth="1"/>
    <col min="2567" max="2567" width="16.5703125" style="14" bestFit="1" customWidth="1"/>
    <col min="2568" max="2568" width="19" style="14" customWidth="1"/>
    <col min="2569" max="2570" width="12.85546875" style="14" bestFit="1" customWidth="1"/>
    <col min="2571" max="2817" width="11.42578125" style="14"/>
    <col min="2818" max="2818" width="45.28515625" style="14" customWidth="1"/>
    <col min="2819" max="2819" width="16.85546875" style="14" customWidth="1"/>
    <col min="2820" max="2821" width="16.5703125" style="14" customWidth="1"/>
    <col min="2822" max="2822" width="15.28515625" style="14" bestFit="1" customWidth="1"/>
    <col min="2823" max="2823" width="16.5703125" style="14" bestFit="1" customWidth="1"/>
    <col min="2824" max="2824" width="19" style="14" customWidth="1"/>
    <col min="2825" max="2826" width="12.85546875" style="14" bestFit="1" customWidth="1"/>
    <col min="2827" max="3073" width="11.42578125" style="14"/>
    <col min="3074" max="3074" width="45.28515625" style="14" customWidth="1"/>
    <col min="3075" max="3075" width="16.85546875" style="14" customWidth="1"/>
    <col min="3076" max="3077" width="16.5703125" style="14" customWidth="1"/>
    <col min="3078" max="3078" width="15.28515625" style="14" bestFit="1" customWidth="1"/>
    <col min="3079" max="3079" width="16.5703125" style="14" bestFit="1" customWidth="1"/>
    <col min="3080" max="3080" width="19" style="14" customWidth="1"/>
    <col min="3081" max="3082" width="12.85546875" style="14" bestFit="1" customWidth="1"/>
    <col min="3083" max="3329" width="11.42578125" style="14"/>
    <col min="3330" max="3330" width="45.28515625" style="14" customWidth="1"/>
    <col min="3331" max="3331" width="16.85546875" style="14" customWidth="1"/>
    <col min="3332" max="3333" width="16.5703125" style="14" customWidth="1"/>
    <col min="3334" max="3334" width="15.28515625" style="14" bestFit="1" customWidth="1"/>
    <col min="3335" max="3335" width="16.5703125" style="14" bestFit="1" customWidth="1"/>
    <col min="3336" max="3336" width="19" style="14" customWidth="1"/>
    <col min="3337" max="3338" width="12.85546875" style="14" bestFit="1" customWidth="1"/>
    <col min="3339" max="3585" width="11.42578125" style="14"/>
    <col min="3586" max="3586" width="45.28515625" style="14" customWidth="1"/>
    <col min="3587" max="3587" width="16.85546875" style="14" customWidth="1"/>
    <col min="3588" max="3589" width="16.5703125" style="14" customWidth="1"/>
    <col min="3590" max="3590" width="15.28515625" style="14" bestFit="1" customWidth="1"/>
    <col min="3591" max="3591" width="16.5703125" style="14" bestFit="1" customWidth="1"/>
    <col min="3592" max="3592" width="19" style="14" customWidth="1"/>
    <col min="3593" max="3594" width="12.85546875" style="14" bestFit="1" customWidth="1"/>
    <col min="3595" max="3841" width="11.42578125" style="14"/>
    <col min="3842" max="3842" width="45.28515625" style="14" customWidth="1"/>
    <col min="3843" max="3843" width="16.85546875" style="14" customWidth="1"/>
    <col min="3844" max="3845" width="16.5703125" style="14" customWidth="1"/>
    <col min="3846" max="3846" width="15.28515625" style="14" bestFit="1" customWidth="1"/>
    <col min="3847" max="3847" width="16.5703125" style="14" bestFit="1" customWidth="1"/>
    <col min="3848" max="3848" width="19" style="14" customWidth="1"/>
    <col min="3849" max="3850" width="12.85546875" style="14" bestFit="1" customWidth="1"/>
    <col min="3851" max="4097" width="11.42578125" style="14"/>
    <col min="4098" max="4098" width="45.28515625" style="14" customWidth="1"/>
    <col min="4099" max="4099" width="16.85546875" style="14" customWidth="1"/>
    <col min="4100" max="4101" width="16.5703125" style="14" customWidth="1"/>
    <col min="4102" max="4102" width="15.28515625" style="14" bestFit="1" customWidth="1"/>
    <col min="4103" max="4103" width="16.5703125" style="14" bestFit="1" customWidth="1"/>
    <col min="4104" max="4104" width="19" style="14" customWidth="1"/>
    <col min="4105" max="4106" width="12.85546875" style="14" bestFit="1" customWidth="1"/>
    <col min="4107" max="4353" width="11.42578125" style="14"/>
    <col min="4354" max="4354" width="45.28515625" style="14" customWidth="1"/>
    <col min="4355" max="4355" width="16.85546875" style="14" customWidth="1"/>
    <col min="4356" max="4357" width="16.5703125" style="14" customWidth="1"/>
    <col min="4358" max="4358" width="15.28515625" style="14" bestFit="1" customWidth="1"/>
    <col min="4359" max="4359" width="16.5703125" style="14" bestFit="1" customWidth="1"/>
    <col min="4360" max="4360" width="19" style="14" customWidth="1"/>
    <col min="4361" max="4362" width="12.85546875" style="14" bestFit="1" customWidth="1"/>
    <col min="4363" max="4609" width="11.42578125" style="14"/>
    <col min="4610" max="4610" width="45.28515625" style="14" customWidth="1"/>
    <col min="4611" max="4611" width="16.85546875" style="14" customWidth="1"/>
    <col min="4612" max="4613" width="16.5703125" style="14" customWidth="1"/>
    <col min="4614" max="4614" width="15.28515625" style="14" bestFit="1" customWidth="1"/>
    <col min="4615" max="4615" width="16.5703125" style="14" bestFit="1" customWidth="1"/>
    <col min="4616" max="4616" width="19" style="14" customWidth="1"/>
    <col min="4617" max="4618" width="12.85546875" style="14" bestFit="1" customWidth="1"/>
    <col min="4619" max="4865" width="11.42578125" style="14"/>
    <col min="4866" max="4866" width="45.28515625" style="14" customWidth="1"/>
    <col min="4867" max="4867" width="16.85546875" style="14" customWidth="1"/>
    <col min="4868" max="4869" width="16.5703125" style="14" customWidth="1"/>
    <col min="4870" max="4870" width="15.28515625" style="14" bestFit="1" customWidth="1"/>
    <col min="4871" max="4871" width="16.5703125" style="14" bestFit="1" customWidth="1"/>
    <col min="4872" max="4872" width="19" style="14" customWidth="1"/>
    <col min="4873" max="4874" width="12.85546875" style="14" bestFit="1" customWidth="1"/>
    <col min="4875" max="5121" width="11.42578125" style="14"/>
    <col min="5122" max="5122" width="45.28515625" style="14" customWidth="1"/>
    <col min="5123" max="5123" width="16.85546875" style="14" customWidth="1"/>
    <col min="5124" max="5125" width="16.5703125" style="14" customWidth="1"/>
    <col min="5126" max="5126" width="15.28515625" style="14" bestFit="1" customWidth="1"/>
    <col min="5127" max="5127" width="16.5703125" style="14" bestFit="1" customWidth="1"/>
    <col min="5128" max="5128" width="19" style="14" customWidth="1"/>
    <col min="5129" max="5130" width="12.85546875" style="14" bestFit="1" customWidth="1"/>
    <col min="5131" max="5377" width="11.42578125" style="14"/>
    <col min="5378" max="5378" width="45.28515625" style="14" customWidth="1"/>
    <col min="5379" max="5379" width="16.85546875" style="14" customWidth="1"/>
    <col min="5380" max="5381" width="16.5703125" style="14" customWidth="1"/>
    <col min="5382" max="5382" width="15.28515625" style="14" bestFit="1" customWidth="1"/>
    <col min="5383" max="5383" width="16.5703125" style="14" bestFit="1" customWidth="1"/>
    <col min="5384" max="5384" width="19" style="14" customWidth="1"/>
    <col min="5385" max="5386" width="12.85546875" style="14" bestFit="1" customWidth="1"/>
    <col min="5387" max="5633" width="11.42578125" style="14"/>
    <col min="5634" max="5634" width="45.28515625" style="14" customWidth="1"/>
    <col min="5635" max="5635" width="16.85546875" style="14" customWidth="1"/>
    <col min="5636" max="5637" width="16.5703125" style="14" customWidth="1"/>
    <col min="5638" max="5638" width="15.28515625" style="14" bestFit="1" customWidth="1"/>
    <col min="5639" max="5639" width="16.5703125" style="14" bestFit="1" customWidth="1"/>
    <col min="5640" max="5640" width="19" style="14" customWidth="1"/>
    <col min="5641" max="5642" width="12.85546875" style="14" bestFit="1" customWidth="1"/>
    <col min="5643" max="5889" width="11.42578125" style="14"/>
    <col min="5890" max="5890" width="45.28515625" style="14" customWidth="1"/>
    <col min="5891" max="5891" width="16.85546875" style="14" customWidth="1"/>
    <col min="5892" max="5893" width="16.5703125" style="14" customWidth="1"/>
    <col min="5894" max="5894" width="15.28515625" style="14" bestFit="1" customWidth="1"/>
    <col min="5895" max="5895" width="16.5703125" style="14" bestFit="1" customWidth="1"/>
    <col min="5896" max="5896" width="19" style="14" customWidth="1"/>
    <col min="5897" max="5898" width="12.85546875" style="14" bestFit="1" customWidth="1"/>
    <col min="5899" max="6145" width="11.42578125" style="14"/>
    <col min="6146" max="6146" width="45.28515625" style="14" customWidth="1"/>
    <col min="6147" max="6147" width="16.85546875" style="14" customWidth="1"/>
    <col min="6148" max="6149" width="16.5703125" style="14" customWidth="1"/>
    <col min="6150" max="6150" width="15.28515625" style="14" bestFit="1" customWidth="1"/>
    <col min="6151" max="6151" width="16.5703125" style="14" bestFit="1" customWidth="1"/>
    <col min="6152" max="6152" width="19" style="14" customWidth="1"/>
    <col min="6153" max="6154" width="12.85546875" style="14" bestFit="1" customWidth="1"/>
    <col min="6155" max="6401" width="11.42578125" style="14"/>
    <col min="6402" max="6402" width="45.28515625" style="14" customWidth="1"/>
    <col min="6403" max="6403" width="16.85546875" style="14" customWidth="1"/>
    <col min="6404" max="6405" width="16.5703125" style="14" customWidth="1"/>
    <col min="6406" max="6406" width="15.28515625" style="14" bestFit="1" customWidth="1"/>
    <col min="6407" max="6407" width="16.5703125" style="14" bestFit="1" customWidth="1"/>
    <col min="6408" max="6408" width="19" style="14" customWidth="1"/>
    <col min="6409" max="6410" width="12.85546875" style="14" bestFit="1" customWidth="1"/>
    <col min="6411" max="6657" width="11.42578125" style="14"/>
    <col min="6658" max="6658" width="45.28515625" style="14" customWidth="1"/>
    <col min="6659" max="6659" width="16.85546875" style="14" customWidth="1"/>
    <col min="6660" max="6661" width="16.5703125" style="14" customWidth="1"/>
    <col min="6662" max="6662" width="15.28515625" style="14" bestFit="1" customWidth="1"/>
    <col min="6663" max="6663" width="16.5703125" style="14" bestFit="1" customWidth="1"/>
    <col min="6664" max="6664" width="19" style="14" customWidth="1"/>
    <col min="6665" max="6666" width="12.85546875" style="14" bestFit="1" customWidth="1"/>
    <col min="6667" max="6913" width="11.42578125" style="14"/>
    <col min="6914" max="6914" width="45.28515625" style="14" customWidth="1"/>
    <col min="6915" max="6915" width="16.85546875" style="14" customWidth="1"/>
    <col min="6916" max="6917" width="16.5703125" style="14" customWidth="1"/>
    <col min="6918" max="6918" width="15.28515625" style="14" bestFit="1" customWidth="1"/>
    <col min="6919" max="6919" width="16.5703125" style="14" bestFit="1" customWidth="1"/>
    <col min="6920" max="6920" width="19" style="14" customWidth="1"/>
    <col min="6921" max="6922" width="12.85546875" style="14" bestFit="1" customWidth="1"/>
    <col min="6923" max="7169" width="11.42578125" style="14"/>
    <col min="7170" max="7170" width="45.28515625" style="14" customWidth="1"/>
    <col min="7171" max="7171" width="16.85546875" style="14" customWidth="1"/>
    <col min="7172" max="7173" width="16.5703125" style="14" customWidth="1"/>
    <col min="7174" max="7174" width="15.28515625" style="14" bestFit="1" customWidth="1"/>
    <col min="7175" max="7175" width="16.5703125" style="14" bestFit="1" customWidth="1"/>
    <col min="7176" max="7176" width="19" style="14" customWidth="1"/>
    <col min="7177" max="7178" width="12.85546875" style="14" bestFit="1" customWidth="1"/>
    <col min="7179" max="7425" width="11.42578125" style="14"/>
    <col min="7426" max="7426" width="45.28515625" style="14" customWidth="1"/>
    <col min="7427" max="7427" width="16.85546875" style="14" customWidth="1"/>
    <col min="7428" max="7429" width="16.5703125" style="14" customWidth="1"/>
    <col min="7430" max="7430" width="15.28515625" style="14" bestFit="1" customWidth="1"/>
    <col min="7431" max="7431" width="16.5703125" style="14" bestFit="1" customWidth="1"/>
    <col min="7432" max="7432" width="19" style="14" customWidth="1"/>
    <col min="7433" max="7434" width="12.85546875" style="14" bestFit="1" customWidth="1"/>
    <col min="7435" max="7681" width="11.42578125" style="14"/>
    <col min="7682" max="7682" width="45.28515625" style="14" customWidth="1"/>
    <col min="7683" max="7683" width="16.85546875" style="14" customWidth="1"/>
    <col min="7684" max="7685" width="16.5703125" style="14" customWidth="1"/>
    <col min="7686" max="7686" width="15.28515625" style="14" bestFit="1" customWidth="1"/>
    <col min="7687" max="7687" width="16.5703125" style="14" bestFit="1" customWidth="1"/>
    <col min="7688" max="7688" width="19" style="14" customWidth="1"/>
    <col min="7689" max="7690" width="12.85546875" style="14" bestFit="1" customWidth="1"/>
    <col min="7691" max="7937" width="11.42578125" style="14"/>
    <col min="7938" max="7938" width="45.28515625" style="14" customWidth="1"/>
    <col min="7939" max="7939" width="16.85546875" style="14" customWidth="1"/>
    <col min="7940" max="7941" width="16.5703125" style="14" customWidth="1"/>
    <col min="7942" max="7942" width="15.28515625" style="14" bestFit="1" customWidth="1"/>
    <col min="7943" max="7943" width="16.5703125" style="14" bestFit="1" customWidth="1"/>
    <col min="7944" max="7944" width="19" style="14" customWidth="1"/>
    <col min="7945" max="7946" width="12.85546875" style="14" bestFit="1" customWidth="1"/>
    <col min="7947" max="8193" width="11.42578125" style="14"/>
    <col min="8194" max="8194" width="45.28515625" style="14" customWidth="1"/>
    <col min="8195" max="8195" width="16.85546875" style="14" customWidth="1"/>
    <col min="8196" max="8197" width="16.5703125" style="14" customWidth="1"/>
    <col min="8198" max="8198" width="15.28515625" style="14" bestFit="1" customWidth="1"/>
    <col min="8199" max="8199" width="16.5703125" style="14" bestFit="1" customWidth="1"/>
    <col min="8200" max="8200" width="19" style="14" customWidth="1"/>
    <col min="8201" max="8202" width="12.85546875" style="14" bestFit="1" customWidth="1"/>
    <col min="8203" max="8449" width="11.42578125" style="14"/>
    <col min="8450" max="8450" width="45.28515625" style="14" customWidth="1"/>
    <col min="8451" max="8451" width="16.85546875" style="14" customWidth="1"/>
    <col min="8452" max="8453" width="16.5703125" style="14" customWidth="1"/>
    <col min="8454" max="8454" width="15.28515625" style="14" bestFit="1" customWidth="1"/>
    <col min="8455" max="8455" width="16.5703125" style="14" bestFit="1" customWidth="1"/>
    <col min="8456" max="8456" width="19" style="14" customWidth="1"/>
    <col min="8457" max="8458" width="12.85546875" style="14" bestFit="1" customWidth="1"/>
    <col min="8459" max="8705" width="11.42578125" style="14"/>
    <col min="8706" max="8706" width="45.28515625" style="14" customWidth="1"/>
    <col min="8707" max="8707" width="16.85546875" style="14" customWidth="1"/>
    <col min="8708" max="8709" width="16.5703125" style="14" customWidth="1"/>
    <col min="8710" max="8710" width="15.28515625" style="14" bestFit="1" customWidth="1"/>
    <col min="8711" max="8711" width="16.5703125" style="14" bestFit="1" customWidth="1"/>
    <col min="8712" max="8712" width="19" style="14" customWidth="1"/>
    <col min="8713" max="8714" width="12.85546875" style="14" bestFit="1" customWidth="1"/>
    <col min="8715" max="8961" width="11.42578125" style="14"/>
    <col min="8962" max="8962" width="45.28515625" style="14" customWidth="1"/>
    <col min="8963" max="8963" width="16.85546875" style="14" customWidth="1"/>
    <col min="8964" max="8965" width="16.5703125" style="14" customWidth="1"/>
    <col min="8966" max="8966" width="15.28515625" style="14" bestFit="1" customWidth="1"/>
    <col min="8967" max="8967" width="16.5703125" style="14" bestFit="1" customWidth="1"/>
    <col min="8968" max="8968" width="19" style="14" customWidth="1"/>
    <col min="8969" max="8970" width="12.85546875" style="14" bestFit="1" customWidth="1"/>
    <col min="8971" max="9217" width="11.42578125" style="14"/>
    <col min="9218" max="9218" width="45.28515625" style="14" customWidth="1"/>
    <col min="9219" max="9219" width="16.85546875" style="14" customWidth="1"/>
    <col min="9220" max="9221" width="16.5703125" style="14" customWidth="1"/>
    <col min="9222" max="9222" width="15.28515625" style="14" bestFit="1" customWidth="1"/>
    <col min="9223" max="9223" width="16.5703125" style="14" bestFit="1" customWidth="1"/>
    <col min="9224" max="9224" width="19" style="14" customWidth="1"/>
    <col min="9225" max="9226" width="12.85546875" style="14" bestFit="1" customWidth="1"/>
    <col min="9227" max="9473" width="11.42578125" style="14"/>
    <col min="9474" max="9474" width="45.28515625" style="14" customWidth="1"/>
    <col min="9475" max="9475" width="16.85546875" style="14" customWidth="1"/>
    <col min="9476" max="9477" width="16.5703125" style="14" customWidth="1"/>
    <col min="9478" max="9478" width="15.28515625" style="14" bestFit="1" customWidth="1"/>
    <col min="9479" max="9479" width="16.5703125" style="14" bestFit="1" customWidth="1"/>
    <col min="9480" max="9480" width="19" style="14" customWidth="1"/>
    <col min="9481" max="9482" width="12.85546875" style="14" bestFit="1" customWidth="1"/>
    <col min="9483" max="9729" width="11.42578125" style="14"/>
    <col min="9730" max="9730" width="45.28515625" style="14" customWidth="1"/>
    <col min="9731" max="9731" width="16.85546875" style="14" customWidth="1"/>
    <col min="9732" max="9733" width="16.5703125" style="14" customWidth="1"/>
    <col min="9734" max="9734" width="15.28515625" style="14" bestFit="1" customWidth="1"/>
    <col min="9735" max="9735" width="16.5703125" style="14" bestFit="1" customWidth="1"/>
    <col min="9736" max="9736" width="19" style="14" customWidth="1"/>
    <col min="9737" max="9738" width="12.85546875" style="14" bestFit="1" customWidth="1"/>
    <col min="9739" max="9985" width="11.42578125" style="14"/>
    <col min="9986" max="9986" width="45.28515625" style="14" customWidth="1"/>
    <col min="9987" max="9987" width="16.85546875" style="14" customWidth="1"/>
    <col min="9988" max="9989" width="16.5703125" style="14" customWidth="1"/>
    <col min="9990" max="9990" width="15.28515625" style="14" bestFit="1" customWidth="1"/>
    <col min="9991" max="9991" width="16.5703125" style="14" bestFit="1" customWidth="1"/>
    <col min="9992" max="9992" width="19" style="14" customWidth="1"/>
    <col min="9993" max="9994" width="12.85546875" style="14" bestFit="1" customWidth="1"/>
    <col min="9995" max="10241" width="11.42578125" style="14"/>
    <col min="10242" max="10242" width="45.28515625" style="14" customWidth="1"/>
    <col min="10243" max="10243" width="16.85546875" style="14" customWidth="1"/>
    <col min="10244" max="10245" width="16.5703125" style="14" customWidth="1"/>
    <col min="10246" max="10246" width="15.28515625" style="14" bestFit="1" customWidth="1"/>
    <col min="10247" max="10247" width="16.5703125" style="14" bestFit="1" customWidth="1"/>
    <col min="10248" max="10248" width="19" style="14" customWidth="1"/>
    <col min="10249" max="10250" width="12.85546875" style="14" bestFit="1" customWidth="1"/>
    <col min="10251" max="10497" width="11.42578125" style="14"/>
    <col min="10498" max="10498" width="45.28515625" style="14" customWidth="1"/>
    <col min="10499" max="10499" width="16.85546875" style="14" customWidth="1"/>
    <col min="10500" max="10501" width="16.5703125" style="14" customWidth="1"/>
    <col min="10502" max="10502" width="15.28515625" style="14" bestFit="1" customWidth="1"/>
    <col min="10503" max="10503" width="16.5703125" style="14" bestFit="1" customWidth="1"/>
    <col min="10504" max="10504" width="19" style="14" customWidth="1"/>
    <col min="10505" max="10506" width="12.85546875" style="14" bestFit="1" customWidth="1"/>
    <col min="10507" max="10753" width="11.42578125" style="14"/>
    <col min="10754" max="10754" width="45.28515625" style="14" customWidth="1"/>
    <col min="10755" max="10755" width="16.85546875" style="14" customWidth="1"/>
    <col min="10756" max="10757" width="16.5703125" style="14" customWidth="1"/>
    <col min="10758" max="10758" width="15.28515625" style="14" bestFit="1" customWidth="1"/>
    <col min="10759" max="10759" width="16.5703125" style="14" bestFit="1" customWidth="1"/>
    <col min="10760" max="10760" width="19" style="14" customWidth="1"/>
    <col min="10761" max="10762" width="12.85546875" style="14" bestFit="1" customWidth="1"/>
    <col min="10763" max="11009" width="11.42578125" style="14"/>
    <col min="11010" max="11010" width="45.28515625" style="14" customWidth="1"/>
    <col min="11011" max="11011" width="16.85546875" style="14" customWidth="1"/>
    <col min="11012" max="11013" width="16.5703125" style="14" customWidth="1"/>
    <col min="11014" max="11014" width="15.28515625" style="14" bestFit="1" customWidth="1"/>
    <col min="11015" max="11015" width="16.5703125" style="14" bestFit="1" customWidth="1"/>
    <col min="11016" max="11016" width="19" style="14" customWidth="1"/>
    <col min="11017" max="11018" width="12.85546875" style="14" bestFit="1" customWidth="1"/>
    <col min="11019" max="11265" width="11.42578125" style="14"/>
    <col min="11266" max="11266" width="45.28515625" style="14" customWidth="1"/>
    <col min="11267" max="11267" width="16.85546875" style="14" customWidth="1"/>
    <col min="11268" max="11269" width="16.5703125" style="14" customWidth="1"/>
    <col min="11270" max="11270" width="15.28515625" style="14" bestFit="1" customWidth="1"/>
    <col min="11271" max="11271" width="16.5703125" style="14" bestFit="1" customWidth="1"/>
    <col min="11272" max="11272" width="19" style="14" customWidth="1"/>
    <col min="11273" max="11274" width="12.85546875" style="14" bestFit="1" customWidth="1"/>
    <col min="11275" max="11521" width="11.42578125" style="14"/>
    <col min="11522" max="11522" width="45.28515625" style="14" customWidth="1"/>
    <col min="11523" max="11523" width="16.85546875" style="14" customWidth="1"/>
    <col min="11524" max="11525" width="16.5703125" style="14" customWidth="1"/>
    <col min="11526" max="11526" width="15.28515625" style="14" bestFit="1" customWidth="1"/>
    <col min="11527" max="11527" width="16.5703125" style="14" bestFit="1" customWidth="1"/>
    <col min="11528" max="11528" width="19" style="14" customWidth="1"/>
    <col min="11529" max="11530" width="12.85546875" style="14" bestFit="1" customWidth="1"/>
    <col min="11531" max="11777" width="11.42578125" style="14"/>
    <col min="11778" max="11778" width="45.28515625" style="14" customWidth="1"/>
    <col min="11779" max="11779" width="16.85546875" style="14" customWidth="1"/>
    <col min="11780" max="11781" width="16.5703125" style="14" customWidth="1"/>
    <col min="11782" max="11782" width="15.28515625" style="14" bestFit="1" customWidth="1"/>
    <col min="11783" max="11783" width="16.5703125" style="14" bestFit="1" customWidth="1"/>
    <col min="11784" max="11784" width="19" style="14" customWidth="1"/>
    <col min="11785" max="11786" width="12.85546875" style="14" bestFit="1" customWidth="1"/>
    <col min="11787" max="12033" width="11.42578125" style="14"/>
    <col min="12034" max="12034" width="45.28515625" style="14" customWidth="1"/>
    <col min="12035" max="12035" width="16.85546875" style="14" customWidth="1"/>
    <col min="12036" max="12037" width="16.5703125" style="14" customWidth="1"/>
    <col min="12038" max="12038" width="15.28515625" style="14" bestFit="1" customWidth="1"/>
    <col min="12039" max="12039" width="16.5703125" style="14" bestFit="1" customWidth="1"/>
    <col min="12040" max="12040" width="19" style="14" customWidth="1"/>
    <col min="12041" max="12042" width="12.85546875" style="14" bestFit="1" customWidth="1"/>
    <col min="12043" max="12289" width="11.42578125" style="14"/>
    <col min="12290" max="12290" width="45.28515625" style="14" customWidth="1"/>
    <col min="12291" max="12291" width="16.85546875" style="14" customWidth="1"/>
    <col min="12292" max="12293" width="16.5703125" style="14" customWidth="1"/>
    <col min="12294" max="12294" width="15.28515625" style="14" bestFit="1" customWidth="1"/>
    <col min="12295" max="12295" width="16.5703125" style="14" bestFit="1" customWidth="1"/>
    <col min="12296" max="12296" width="19" style="14" customWidth="1"/>
    <col min="12297" max="12298" width="12.85546875" style="14" bestFit="1" customWidth="1"/>
    <col min="12299" max="12545" width="11.42578125" style="14"/>
    <col min="12546" max="12546" width="45.28515625" style="14" customWidth="1"/>
    <col min="12547" max="12547" width="16.85546875" style="14" customWidth="1"/>
    <col min="12548" max="12549" width="16.5703125" style="14" customWidth="1"/>
    <col min="12550" max="12550" width="15.28515625" style="14" bestFit="1" customWidth="1"/>
    <col min="12551" max="12551" width="16.5703125" style="14" bestFit="1" customWidth="1"/>
    <col min="12552" max="12552" width="19" style="14" customWidth="1"/>
    <col min="12553" max="12554" width="12.85546875" style="14" bestFit="1" customWidth="1"/>
    <col min="12555" max="12801" width="11.42578125" style="14"/>
    <col min="12802" max="12802" width="45.28515625" style="14" customWidth="1"/>
    <col min="12803" max="12803" width="16.85546875" style="14" customWidth="1"/>
    <col min="12804" max="12805" width="16.5703125" style="14" customWidth="1"/>
    <col min="12806" max="12806" width="15.28515625" style="14" bestFit="1" customWidth="1"/>
    <col min="12807" max="12807" width="16.5703125" style="14" bestFit="1" customWidth="1"/>
    <col min="12808" max="12808" width="19" style="14" customWidth="1"/>
    <col min="12809" max="12810" width="12.85546875" style="14" bestFit="1" customWidth="1"/>
    <col min="12811" max="13057" width="11.42578125" style="14"/>
    <col min="13058" max="13058" width="45.28515625" style="14" customWidth="1"/>
    <col min="13059" max="13059" width="16.85546875" style="14" customWidth="1"/>
    <col min="13060" max="13061" width="16.5703125" style="14" customWidth="1"/>
    <col min="13062" max="13062" width="15.28515625" style="14" bestFit="1" customWidth="1"/>
    <col min="13063" max="13063" width="16.5703125" style="14" bestFit="1" customWidth="1"/>
    <col min="13064" max="13064" width="19" style="14" customWidth="1"/>
    <col min="13065" max="13066" width="12.85546875" style="14" bestFit="1" customWidth="1"/>
    <col min="13067" max="13313" width="11.42578125" style="14"/>
    <col min="13314" max="13314" width="45.28515625" style="14" customWidth="1"/>
    <col min="13315" max="13315" width="16.85546875" style="14" customWidth="1"/>
    <col min="13316" max="13317" width="16.5703125" style="14" customWidth="1"/>
    <col min="13318" max="13318" width="15.28515625" style="14" bestFit="1" customWidth="1"/>
    <col min="13319" max="13319" width="16.5703125" style="14" bestFit="1" customWidth="1"/>
    <col min="13320" max="13320" width="19" style="14" customWidth="1"/>
    <col min="13321" max="13322" width="12.85546875" style="14" bestFit="1" customWidth="1"/>
    <col min="13323" max="13569" width="11.42578125" style="14"/>
    <col min="13570" max="13570" width="45.28515625" style="14" customWidth="1"/>
    <col min="13571" max="13571" width="16.85546875" style="14" customWidth="1"/>
    <col min="13572" max="13573" width="16.5703125" style="14" customWidth="1"/>
    <col min="13574" max="13574" width="15.28515625" style="14" bestFit="1" customWidth="1"/>
    <col min="13575" max="13575" width="16.5703125" style="14" bestFit="1" customWidth="1"/>
    <col min="13576" max="13576" width="19" style="14" customWidth="1"/>
    <col min="13577" max="13578" width="12.85546875" style="14" bestFit="1" customWidth="1"/>
    <col min="13579" max="13825" width="11.42578125" style="14"/>
    <col min="13826" max="13826" width="45.28515625" style="14" customWidth="1"/>
    <col min="13827" max="13827" width="16.85546875" style="14" customWidth="1"/>
    <col min="13828" max="13829" width="16.5703125" style="14" customWidth="1"/>
    <col min="13830" max="13830" width="15.28515625" style="14" bestFit="1" customWidth="1"/>
    <col min="13831" max="13831" width="16.5703125" style="14" bestFit="1" customWidth="1"/>
    <col min="13832" max="13832" width="19" style="14" customWidth="1"/>
    <col min="13833" max="13834" width="12.85546875" style="14" bestFit="1" customWidth="1"/>
    <col min="13835" max="14081" width="11.42578125" style="14"/>
    <col min="14082" max="14082" width="45.28515625" style="14" customWidth="1"/>
    <col min="14083" max="14083" width="16.85546875" style="14" customWidth="1"/>
    <col min="14084" max="14085" width="16.5703125" style="14" customWidth="1"/>
    <col min="14086" max="14086" width="15.28515625" style="14" bestFit="1" customWidth="1"/>
    <col min="14087" max="14087" width="16.5703125" style="14" bestFit="1" customWidth="1"/>
    <col min="14088" max="14088" width="19" style="14" customWidth="1"/>
    <col min="14089" max="14090" width="12.85546875" style="14" bestFit="1" customWidth="1"/>
    <col min="14091" max="14337" width="11.42578125" style="14"/>
    <col min="14338" max="14338" width="45.28515625" style="14" customWidth="1"/>
    <col min="14339" max="14339" width="16.85546875" style="14" customWidth="1"/>
    <col min="14340" max="14341" width="16.5703125" style="14" customWidth="1"/>
    <col min="14342" max="14342" width="15.28515625" style="14" bestFit="1" customWidth="1"/>
    <col min="14343" max="14343" width="16.5703125" style="14" bestFit="1" customWidth="1"/>
    <col min="14344" max="14344" width="19" style="14" customWidth="1"/>
    <col min="14345" max="14346" width="12.85546875" style="14" bestFit="1" customWidth="1"/>
    <col min="14347" max="14593" width="11.42578125" style="14"/>
    <col min="14594" max="14594" width="45.28515625" style="14" customWidth="1"/>
    <col min="14595" max="14595" width="16.85546875" style="14" customWidth="1"/>
    <col min="14596" max="14597" width="16.5703125" style="14" customWidth="1"/>
    <col min="14598" max="14598" width="15.28515625" style="14" bestFit="1" customWidth="1"/>
    <col min="14599" max="14599" width="16.5703125" style="14" bestFit="1" customWidth="1"/>
    <col min="14600" max="14600" width="19" style="14" customWidth="1"/>
    <col min="14601" max="14602" width="12.85546875" style="14" bestFit="1" customWidth="1"/>
    <col min="14603" max="14849" width="11.42578125" style="14"/>
    <col min="14850" max="14850" width="45.28515625" style="14" customWidth="1"/>
    <col min="14851" max="14851" width="16.85546875" style="14" customWidth="1"/>
    <col min="14852" max="14853" width="16.5703125" style="14" customWidth="1"/>
    <col min="14854" max="14854" width="15.28515625" style="14" bestFit="1" customWidth="1"/>
    <col min="14855" max="14855" width="16.5703125" style="14" bestFit="1" customWidth="1"/>
    <col min="14856" max="14856" width="19" style="14" customWidth="1"/>
    <col min="14857" max="14858" width="12.85546875" style="14" bestFit="1" customWidth="1"/>
    <col min="14859" max="15105" width="11.42578125" style="14"/>
    <col min="15106" max="15106" width="45.28515625" style="14" customWidth="1"/>
    <col min="15107" max="15107" width="16.85546875" style="14" customWidth="1"/>
    <col min="15108" max="15109" width="16.5703125" style="14" customWidth="1"/>
    <col min="15110" max="15110" width="15.28515625" style="14" bestFit="1" customWidth="1"/>
    <col min="15111" max="15111" width="16.5703125" style="14" bestFit="1" customWidth="1"/>
    <col min="15112" max="15112" width="19" style="14" customWidth="1"/>
    <col min="15113" max="15114" width="12.85546875" style="14" bestFit="1" customWidth="1"/>
    <col min="15115" max="15361" width="11.42578125" style="14"/>
    <col min="15362" max="15362" width="45.28515625" style="14" customWidth="1"/>
    <col min="15363" max="15363" width="16.85546875" style="14" customWidth="1"/>
    <col min="15364" max="15365" width="16.5703125" style="14" customWidth="1"/>
    <col min="15366" max="15366" width="15.28515625" style="14" bestFit="1" customWidth="1"/>
    <col min="15367" max="15367" width="16.5703125" style="14" bestFit="1" customWidth="1"/>
    <col min="15368" max="15368" width="19" style="14" customWidth="1"/>
    <col min="15369" max="15370" width="12.85546875" style="14" bestFit="1" customWidth="1"/>
    <col min="15371" max="15617" width="11.42578125" style="14"/>
    <col min="15618" max="15618" width="45.28515625" style="14" customWidth="1"/>
    <col min="15619" max="15619" width="16.85546875" style="14" customWidth="1"/>
    <col min="15620" max="15621" width="16.5703125" style="14" customWidth="1"/>
    <col min="15622" max="15622" width="15.28515625" style="14" bestFit="1" customWidth="1"/>
    <col min="15623" max="15623" width="16.5703125" style="14" bestFit="1" customWidth="1"/>
    <col min="15624" max="15624" width="19" style="14" customWidth="1"/>
    <col min="15625" max="15626" width="12.85546875" style="14" bestFit="1" customWidth="1"/>
    <col min="15627" max="15873" width="11.42578125" style="14"/>
    <col min="15874" max="15874" width="45.28515625" style="14" customWidth="1"/>
    <col min="15875" max="15875" width="16.85546875" style="14" customWidth="1"/>
    <col min="15876" max="15877" width="16.5703125" style="14" customWidth="1"/>
    <col min="15878" max="15878" width="15.28515625" style="14" bestFit="1" customWidth="1"/>
    <col min="15879" max="15879" width="16.5703125" style="14" bestFit="1" customWidth="1"/>
    <col min="15880" max="15880" width="19" style="14" customWidth="1"/>
    <col min="15881" max="15882" width="12.85546875" style="14" bestFit="1" customWidth="1"/>
    <col min="15883" max="16129" width="11.42578125" style="14"/>
    <col min="16130" max="16130" width="45.28515625" style="14" customWidth="1"/>
    <col min="16131" max="16131" width="16.85546875" style="14" customWidth="1"/>
    <col min="16132" max="16133" width="16.5703125" style="14" customWidth="1"/>
    <col min="16134" max="16134" width="15.28515625" style="14" bestFit="1" customWidth="1"/>
    <col min="16135" max="16135" width="16.5703125" style="14" bestFit="1" customWidth="1"/>
    <col min="16136" max="16136" width="19" style="14" customWidth="1"/>
    <col min="16137" max="16138" width="12.85546875" style="14" bestFit="1" customWidth="1"/>
    <col min="16139" max="16384" width="11.42578125" style="14"/>
  </cols>
  <sheetData>
    <row r="2" spans="2:8" ht="18" customHeight="1">
      <c r="B2" s="647" t="s">
        <v>85</v>
      </c>
      <c r="C2" s="647"/>
      <c r="D2" s="647"/>
      <c r="E2" s="647"/>
      <c r="F2" s="35"/>
      <c r="G2" s="35"/>
    </row>
    <row r="3" spans="2:8">
      <c r="B3" s="648" t="s">
        <v>86</v>
      </c>
      <c r="C3" s="648"/>
      <c r="D3" s="648"/>
      <c r="E3" s="648"/>
      <c r="F3" s="34"/>
      <c r="G3" s="34"/>
    </row>
    <row r="4" spans="2:8">
      <c r="B4" s="120"/>
      <c r="C4" s="121"/>
      <c r="D4" s="121"/>
      <c r="E4" s="121"/>
    </row>
    <row r="5" spans="2:8">
      <c r="B5" s="649" t="s">
        <v>283</v>
      </c>
      <c r="C5" s="649"/>
      <c r="D5" s="649"/>
      <c r="E5" s="649"/>
      <c r="F5" s="33"/>
      <c r="G5" s="33"/>
    </row>
    <row r="6" spans="2:8">
      <c r="B6" s="132"/>
      <c r="C6" s="122"/>
      <c r="D6" s="122"/>
      <c r="E6" s="122"/>
    </row>
    <row r="7" spans="2:8" ht="15" customHeight="1">
      <c r="B7" s="443"/>
      <c r="C7" s="444">
        <v>2017</v>
      </c>
      <c r="D7" s="444" t="s">
        <v>292</v>
      </c>
      <c r="E7" s="445" t="s">
        <v>287</v>
      </c>
    </row>
    <row r="8" spans="2:8" ht="15" customHeight="1">
      <c r="B8" s="137"/>
      <c r="C8" s="125"/>
      <c r="D8" s="122"/>
      <c r="E8" s="122"/>
    </row>
    <row r="9" spans="2:8" ht="15" customHeight="1">
      <c r="B9" s="138" t="s">
        <v>89</v>
      </c>
      <c r="C9" s="163">
        <f>+'ER 2017'!C10</f>
        <v>1148878000</v>
      </c>
      <c r="D9" s="163">
        <f>+' ER 2016'!C10</f>
        <v>663086000</v>
      </c>
      <c r="E9" s="211">
        <f>+C9/D9-1</f>
        <v>0.73262291769091803</v>
      </c>
    </row>
    <row r="10" spans="2:8" ht="15" customHeight="1">
      <c r="B10" s="139"/>
      <c r="C10" s="162"/>
      <c r="D10" s="162"/>
      <c r="E10" s="126"/>
    </row>
    <row r="11" spans="2:8" ht="15" customHeight="1">
      <c r="B11" s="140" t="s">
        <v>284</v>
      </c>
      <c r="C11" s="163">
        <f>+'ESF 2017'!C19-'ESF 2017'!B17</f>
        <v>306530000</v>
      </c>
      <c r="D11" s="163">
        <f>+'ESF 2016'!C18</f>
        <v>133403000</v>
      </c>
      <c r="E11" s="211">
        <f>+C11/D11-1</f>
        <v>1.2977744128692756</v>
      </c>
    </row>
    <row r="12" spans="2:8" ht="15" customHeight="1">
      <c r="B12" s="142"/>
      <c r="C12" s="164"/>
      <c r="D12" s="164"/>
      <c r="E12" s="125"/>
    </row>
    <row r="13" spans="2:8" ht="30.75" customHeight="1">
      <c r="B13" s="610" t="s">
        <v>285</v>
      </c>
      <c r="C13" s="221">
        <f>+C11</f>
        <v>306530000</v>
      </c>
      <c r="D13" s="221">
        <f>+D11</f>
        <v>133403000</v>
      </c>
      <c r="E13" s="211"/>
    </row>
    <row r="14" spans="2:8" ht="15" customHeight="1">
      <c r="B14" s="142"/>
      <c r="C14" s="222"/>
      <c r="D14" s="222"/>
      <c r="E14" s="125"/>
    </row>
    <row r="15" spans="2:8" ht="15" customHeight="1">
      <c r="B15" s="212" t="str">
        <f>+'ESF 2017'!A64</f>
        <v>CUENTAS POR PAGAR COMERCIALES Y OTRAS CUENTAS POR PAGAR</v>
      </c>
      <c r="C15" s="163">
        <f>+'ESF 2017'!C62+'ESF 2017'!C66+'ESF 2017'!C71</f>
        <v>212477000</v>
      </c>
      <c r="D15" s="163">
        <f>+'ESF 2016'!C64+'ESF 2016'!C68+'ESF 2016'!C72</f>
        <v>111222000</v>
      </c>
      <c r="E15" s="211">
        <f>+C15/D15-1</f>
        <v>0.91038643433853017</v>
      </c>
      <c r="H15" s="25"/>
    </row>
    <row r="16" spans="2:8" ht="15" customHeight="1">
      <c r="B16" s="142"/>
      <c r="C16" s="164"/>
      <c r="D16" s="164"/>
      <c r="E16" s="125"/>
    </row>
    <row r="17" spans="2:8" ht="32.25" customHeight="1">
      <c r="B17" s="140" t="s">
        <v>286</v>
      </c>
      <c r="C17" s="221">
        <f>+C13-C15</f>
        <v>94053000</v>
      </c>
      <c r="D17" s="221">
        <f t="shared" ref="D17" si="0">+D13-D15</f>
        <v>22181000</v>
      </c>
      <c r="E17" s="213">
        <f>+D17-C17</f>
        <v>-71872000</v>
      </c>
    </row>
    <row r="18" spans="2:8" ht="15" customHeight="1">
      <c r="B18" s="142"/>
      <c r="C18" s="125"/>
      <c r="D18" s="125"/>
      <c r="E18" s="125"/>
    </row>
    <row r="19" spans="2:8" ht="30" customHeight="1">
      <c r="B19" s="140" t="s">
        <v>288</v>
      </c>
      <c r="C19" s="214">
        <f>+C17/C9</f>
        <v>8.186508924359244E-2</v>
      </c>
      <c r="D19" s="214">
        <f>+D17/D9</f>
        <v>3.3451166213733965E-2</v>
      </c>
      <c r="E19" s="180"/>
    </row>
    <row r="20" spans="2:8" ht="15" customHeight="1">
      <c r="B20" s="130"/>
      <c r="C20" s="125"/>
      <c r="D20" s="125" t="s">
        <v>340</v>
      </c>
      <c r="E20" s="125"/>
    </row>
    <row r="21" spans="2:8" ht="15" customHeight="1">
      <c r="B21" s="130"/>
      <c r="C21" s="125"/>
      <c r="D21" s="125"/>
      <c r="E21" s="125"/>
    </row>
    <row r="22" spans="2:8" ht="15" customHeight="1">
      <c r="B22" s="130"/>
      <c r="C22" s="125"/>
      <c r="D22" s="125"/>
      <c r="E22" s="125"/>
    </row>
    <row r="23" spans="2:8" ht="15" customHeight="1">
      <c r="B23" s="446"/>
      <c r="C23" s="444" t="s">
        <v>292</v>
      </c>
      <c r="D23" s="444" t="s">
        <v>293</v>
      </c>
      <c r="E23" s="445" t="s">
        <v>287</v>
      </c>
    </row>
    <row r="24" spans="2:8" ht="15" customHeight="1">
      <c r="B24" s="127"/>
      <c r="C24" s="122"/>
      <c r="D24" s="122"/>
      <c r="E24" s="122"/>
    </row>
    <row r="25" spans="2:8" ht="15" customHeight="1">
      <c r="B25" s="133" t="s">
        <v>89</v>
      </c>
      <c r="C25" s="163">
        <f>+D9</f>
        <v>663086000</v>
      </c>
      <c r="D25" s="163">
        <f>+'ER 2015'!C11</f>
        <v>344142000</v>
      </c>
      <c r="E25" s="218">
        <f>+C25/D25-1</f>
        <v>0.92678022444223607</v>
      </c>
    </row>
    <row r="26" spans="2:8" ht="15" customHeight="1">
      <c r="B26" s="127"/>
      <c r="C26" s="162"/>
      <c r="D26" s="162"/>
      <c r="E26" s="215"/>
    </row>
    <row r="27" spans="2:8" ht="15" customHeight="1">
      <c r="B27" s="134" t="s">
        <v>284</v>
      </c>
      <c r="C27" s="163">
        <f>+D11</f>
        <v>133403000</v>
      </c>
      <c r="D27" s="163">
        <f>+'ESF 2015'!C17</f>
        <v>44086000</v>
      </c>
      <c r="E27" s="218">
        <f>+C27/D27-1</f>
        <v>2.0259719638887628</v>
      </c>
    </row>
    <row r="28" spans="2:8" ht="15" customHeight="1">
      <c r="B28" s="128"/>
      <c r="C28" s="162"/>
      <c r="D28" s="162"/>
      <c r="E28" s="216"/>
    </row>
    <row r="29" spans="2:8" ht="15" customHeight="1">
      <c r="B29" s="176" t="s">
        <v>285</v>
      </c>
      <c r="C29" s="167">
        <f>+C27</f>
        <v>133403000</v>
      </c>
      <c r="D29" s="167">
        <f>+D27</f>
        <v>44086000</v>
      </c>
      <c r="E29" s="218"/>
    </row>
    <row r="30" spans="2:8" ht="15" customHeight="1">
      <c r="B30" s="128"/>
      <c r="C30" s="164"/>
      <c r="D30" s="162"/>
      <c r="E30" s="216"/>
    </row>
    <row r="31" spans="2:8" s="21" customFormat="1" ht="15" customHeight="1">
      <c r="B31" s="212" t="s">
        <v>170</v>
      </c>
      <c r="C31" s="223">
        <f>+D15</f>
        <v>111222000</v>
      </c>
      <c r="D31" s="163">
        <f>+'ESF 2015'!C37</f>
        <v>104076000</v>
      </c>
      <c r="E31" s="218">
        <f>+C31/D31-1</f>
        <v>6.8661362850224839E-2</v>
      </c>
      <c r="F31" s="7"/>
      <c r="H31" s="14"/>
    </row>
    <row r="32" spans="2:8" s="21" customFormat="1" ht="15" customHeight="1">
      <c r="B32" s="141"/>
      <c r="C32" s="224"/>
      <c r="D32" s="162"/>
      <c r="E32" s="216"/>
      <c r="F32" s="7"/>
      <c r="H32" s="14"/>
    </row>
    <row r="33" spans="2:8" s="21" customFormat="1" ht="15" customHeight="1">
      <c r="B33" s="212" t="s">
        <v>286</v>
      </c>
      <c r="C33" s="167">
        <f>+C29-C31</f>
        <v>22181000</v>
      </c>
      <c r="D33" s="167">
        <f>+D29-D31</f>
        <v>-59990000</v>
      </c>
      <c r="E33" s="218"/>
      <c r="F33" s="7"/>
      <c r="H33" s="14"/>
    </row>
    <row r="34" spans="2:8" ht="15" customHeight="1">
      <c r="B34" s="141"/>
      <c r="C34" s="122"/>
      <c r="D34" s="122"/>
      <c r="E34" s="216"/>
    </row>
    <row r="35" spans="2:8" ht="15" customHeight="1">
      <c r="B35" s="212" t="s">
        <v>288</v>
      </c>
      <c r="C35" s="219">
        <f>+C33/C25</f>
        <v>3.3451166213733965E-2</v>
      </c>
      <c r="D35" s="219">
        <f>+D33/D25</f>
        <v>-0.17431757820899513</v>
      </c>
      <c r="E35" s="220"/>
    </row>
    <row r="36" spans="2:8" ht="15" customHeight="1">
      <c r="B36" s="124"/>
      <c r="C36" s="122"/>
      <c r="D36" s="122"/>
      <c r="E36" s="122"/>
    </row>
    <row r="37" spans="2:8" ht="15" customHeight="1">
      <c r="B37" s="124"/>
      <c r="C37" s="122"/>
      <c r="D37" s="122"/>
      <c r="E37" s="122"/>
    </row>
    <row r="38" spans="2:8" ht="15" customHeight="1">
      <c r="B38" s="446"/>
      <c r="C38" s="444" t="s">
        <v>293</v>
      </c>
      <c r="D38" s="444" t="s">
        <v>294</v>
      </c>
      <c r="E38" s="445" t="s">
        <v>287</v>
      </c>
    </row>
    <row r="39" spans="2:8" ht="15" customHeight="1">
      <c r="B39" s="127"/>
      <c r="C39" s="122"/>
      <c r="D39" s="123"/>
      <c r="E39" s="122"/>
    </row>
    <row r="40" spans="2:8" ht="15" customHeight="1">
      <c r="B40" s="133" t="s">
        <v>89</v>
      </c>
      <c r="C40" s="163">
        <f>+D25</f>
        <v>344142000</v>
      </c>
      <c r="D40" s="163">
        <f>+'ER 2014'!C9</f>
        <v>61980000</v>
      </c>
      <c r="E40" s="211">
        <f>+C40/D40-1</f>
        <v>4.5524685382381413</v>
      </c>
    </row>
    <row r="41" spans="2:8" ht="15" customHeight="1">
      <c r="B41" s="127"/>
      <c r="C41" s="162"/>
      <c r="D41" s="162"/>
      <c r="E41" s="217"/>
    </row>
    <row r="42" spans="2:8" ht="15" customHeight="1">
      <c r="B42" s="134" t="s">
        <v>284</v>
      </c>
      <c r="C42" s="163">
        <f>+D27</f>
        <v>44086000</v>
      </c>
      <c r="D42" s="163">
        <f>+'BALANCE 2014'!C17</f>
        <v>11114000</v>
      </c>
      <c r="E42" s="211">
        <f t="shared" ref="E42:E46" si="1">+C42/D42-1</f>
        <v>2.966708655749505</v>
      </c>
    </row>
    <row r="43" spans="2:8" ht="15" customHeight="1">
      <c r="B43" s="128"/>
      <c r="C43" s="162"/>
      <c r="D43" s="162"/>
      <c r="E43" s="217"/>
    </row>
    <row r="44" spans="2:8" ht="15" customHeight="1">
      <c r="B44" s="176" t="s">
        <v>285</v>
      </c>
      <c r="C44" s="167">
        <f>+C42</f>
        <v>44086000</v>
      </c>
      <c r="D44" s="167">
        <f>+D40+D42</f>
        <v>73094000</v>
      </c>
      <c r="E44" s="211"/>
    </row>
    <row r="45" spans="2:8" ht="15" customHeight="1">
      <c r="B45" s="128"/>
      <c r="C45" s="164"/>
      <c r="D45" s="162"/>
      <c r="E45" s="217"/>
    </row>
    <row r="46" spans="2:8" ht="15" customHeight="1">
      <c r="B46" s="212" t="s">
        <v>170</v>
      </c>
      <c r="C46" s="223">
        <f>+D31</f>
        <v>104076000</v>
      </c>
      <c r="D46" s="163">
        <f>+'BALANCE 2014'!C36</f>
        <v>29729000</v>
      </c>
      <c r="E46" s="211">
        <f t="shared" si="1"/>
        <v>2.5008241111372733</v>
      </c>
    </row>
    <row r="47" spans="2:8" ht="15" customHeight="1">
      <c r="B47" s="141"/>
      <c r="C47" s="224"/>
      <c r="D47" s="162"/>
      <c r="E47" s="217"/>
    </row>
    <row r="48" spans="2:8" ht="15" customHeight="1">
      <c r="B48" s="212" t="s">
        <v>286</v>
      </c>
      <c r="C48" s="167">
        <f>+C44-C46</f>
        <v>-59990000</v>
      </c>
      <c r="D48" s="167">
        <f>+D44-D46</f>
        <v>43365000</v>
      </c>
      <c r="E48" s="211"/>
    </row>
    <row r="49" spans="2:6" ht="15" customHeight="1">
      <c r="B49" s="141"/>
      <c r="C49" s="122"/>
      <c r="D49" s="122"/>
      <c r="E49" s="217"/>
    </row>
    <row r="50" spans="2:6" ht="15" customHeight="1">
      <c r="B50" s="212" t="s">
        <v>288</v>
      </c>
      <c r="C50" s="219">
        <f>+C48/C40</f>
        <v>-0.17431757820899513</v>
      </c>
      <c r="D50" s="219">
        <f>+D48/D40</f>
        <v>0.6996611810261375</v>
      </c>
      <c r="E50" s="220"/>
      <c r="F50" s="225"/>
    </row>
    <row r="51" spans="2:6">
      <c r="B51" s="124"/>
      <c r="C51" s="122"/>
      <c r="D51" s="122"/>
      <c r="E51" s="122"/>
    </row>
    <row r="72" spans="2:5">
      <c r="B72" s="20" t="s">
        <v>360</v>
      </c>
    </row>
    <row r="73" spans="2:5">
      <c r="B73" s="652" t="s">
        <v>361</v>
      </c>
      <c r="C73" s="652"/>
      <c r="D73" s="652"/>
      <c r="E73" s="652"/>
    </row>
    <row r="74" spans="2:5">
      <c r="B74" s="652"/>
      <c r="C74" s="652"/>
      <c r="D74" s="652"/>
      <c r="E74" s="652"/>
    </row>
    <row r="75" spans="2:5">
      <c r="B75" s="652"/>
      <c r="C75" s="652"/>
      <c r="D75" s="652"/>
      <c r="E75" s="652"/>
    </row>
    <row r="76" spans="2:5">
      <c r="B76" s="652"/>
      <c r="C76" s="652"/>
      <c r="D76" s="652"/>
      <c r="E76" s="652"/>
    </row>
    <row r="77" spans="2:5">
      <c r="B77" s="652"/>
      <c r="C77" s="652"/>
      <c r="D77" s="652"/>
      <c r="E77" s="652"/>
    </row>
    <row r="78" spans="2:5">
      <c r="B78" s="652"/>
      <c r="C78" s="652"/>
      <c r="D78" s="652"/>
      <c r="E78" s="652"/>
    </row>
    <row r="79" spans="2:5">
      <c r="B79" s="652"/>
      <c r="C79" s="652"/>
      <c r="D79" s="652"/>
      <c r="E79" s="652"/>
    </row>
  </sheetData>
  <mergeCells count="4">
    <mergeCell ref="B5:E5"/>
    <mergeCell ref="B3:E3"/>
    <mergeCell ref="B2:E2"/>
    <mergeCell ref="B73:E79"/>
  </mergeCells>
  <pageMargins left="0.7" right="0.7" top="0.75" bottom="0.75" header="0.3" footer="0.3"/>
  <pageSetup orientation="portrait" horizontalDpi="0"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H58"/>
  <sheetViews>
    <sheetView topLeftCell="A7" zoomScaleNormal="100" workbookViewId="0">
      <selection activeCell="C21" sqref="C21:G21"/>
    </sheetView>
  </sheetViews>
  <sheetFormatPr baseColWidth="10" defaultColWidth="11.42578125" defaultRowHeight="15.75"/>
  <cols>
    <col min="1" max="1" width="3.85546875" style="27" customWidth="1"/>
    <col min="2" max="2" width="2.140625" style="27" customWidth="1"/>
    <col min="3" max="3" width="37" style="27" customWidth="1"/>
    <col min="4" max="4" width="15.5703125" style="27" customWidth="1"/>
    <col min="5" max="5" width="14.140625" style="27" bestFit="1" customWidth="1"/>
    <col min="6" max="6" width="14.7109375" style="27" customWidth="1"/>
    <col min="7" max="7" width="13" style="27" bestFit="1" customWidth="1"/>
    <col min="8" max="16384" width="11.42578125" style="27"/>
  </cols>
  <sheetData>
    <row r="2" spans="2:8" ht="15.75" customHeight="1">
      <c r="B2" s="653" t="s">
        <v>85</v>
      </c>
      <c r="C2" s="654"/>
      <c r="D2" s="654"/>
      <c r="E2" s="654"/>
      <c r="F2" s="654"/>
      <c r="G2" s="655"/>
    </row>
    <row r="3" spans="2:8">
      <c r="B3" s="656" t="s">
        <v>86</v>
      </c>
      <c r="C3" s="657"/>
      <c r="D3" s="657"/>
      <c r="E3" s="657"/>
      <c r="F3" s="657"/>
      <c r="G3" s="657"/>
    </row>
    <row r="5" spans="2:8">
      <c r="B5" s="649" t="s">
        <v>311</v>
      </c>
      <c r="C5" s="649"/>
      <c r="D5" s="649"/>
      <c r="E5" s="649"/>
      <c r="F5" s="649"/>
      <c r="G5" s="649"/>
    </row>
    <row r="6" spans="2:8">
      <c r="B6" s="226"/>
      <c r="C6" s="226"/>
      <c r="D6" s="226"/>
      <c r="E6" s="226"/>
      <c r="F6" s="226"/>
      <c r="G6" s="226"/>
    </row>
    <row r="7" spans="2:8" ht="17.25" customHeight="1">
      <c r="B7" s="443"/>
      <c r="C7" s="443"/>
      <c r="D7" s="592">
        <v>2017</v>
      </c>
      <c r="E7" s="592">
        <v>2016</v>
      </c>
      <c r="F7" s="592">
        <v>2015</v>
      </c>
      <c r="G7" s="592">
        <v>2014</v>
      </c>
      <c r="H7" s="28"/>
    </row>
    <row r="8" spans="2:8" ht="21.75" customHeight="1">
      <c r="B8" s="45"/>
      <c r="C8" s="45" t="s">
        <v>317</v>
      </c>
      <c r="D8" s="160">
        <f>+EBITDA!C9</f>
        <v>1148878000</v>
      </c>
      <c r="E8" s="160">
        <f>+EBITDA!D9</f>
        <v>663086000</v>
      </c>
      <c r="F8" s="160">
        <f>+EBITDA!E9</f>
        <v>344142000</v>
      </c>
      <c r="G8" s="160">
        <f>+EBITDA!F9</f>
        <v>61980000</v>
      </c>
      <c r="H8" s="29"/>
    </row>
    <row r="9" spans="2:8" ht="21.75" customHeight="1">
      <c r="B9" s="74" t="s">
        <v>304</v>
      </c>
      <c r="C9" s="74" t="s">
        <v>318</v>
      </c>
      <c r="D9" s="131">
        <f>948612000-9709000</f>
        <v>938903000</v>
      </c>
      <c r="E9" s="131">
        <v>589593000</v>
      </c>
      <c r="F9" s="131">
        <f>271930000+3456000-25000</f>
        <v>275361000</v>
      </c>
      <c r="G9" s="131">
        <v>53806000</v>
      </c>
      <c r="H9" s="29"/>
    </row>
    <row r="10" spans="2:8" ht="21.75" customHeight="1">
      <c r="B10" s="45" t="s">
        <v>305</v>
      </c>
      <c r="C10" s="45" t="s">
        <v>275</v>
      </c>
      <c r="D10" s="160">
        <f>+D8-D9</f>
        <v>209975000</v>
      </c>
      <c r="E10" s="160">
        <f t="shared" ref="E10:G10" si="0">+E8-E9</f>
        <v>73493000</v>
      </c>
      <c r="F10" s="160">
        <f t="shared" si="0"/>
        <v>68781000</v>
      </c>
      <c r="G10" s="160">
        <f t="shared" si="0"/>
        <v>8174000</v>
      </c>
      <c r="H10" s="29"/>
    </row>
    <row r="11" spans="2:8" ht="21.75" customHeight="1">
      <c r="B11" s="74" t="s">
        <v>304</v>
      </c>
      <c r="C11" s="227" t="s">
        <v>320</v>
      </c>
      <c r="D11" s="131">
        <f>+EBITDA!C23</f>
        <v>150953000</v>
      </c>
      <c r="E11" s="131">
        <f>+EBITDA!D23</f>
        <v>35110000</v>
      </c>
      <c r="F11" s="131">
        <f>+EBITDA!E23</f>
        <v>0</v>
      </c>
      <c r="G11" s="131">
        <f>+EBITDA!F23</f>
        <v>0</v>
      </c>
      <c r="H11" s="29"/>
    </row>
    <row r="12" spans="2:8" ht="21.75" customHeight="1">
      <c r="B12" s="45" t="s">
        <v>305</v>
      </c>
      <c r="C12" s="45" t="s">
        <v>312</v>
      </c>
      <c r="D12" s="160">
        <f>+D10-D11</f>
        <v>59022000</v>
      </c>
      <c r="E12" s="160">
        <f>+E10-E11</f>
        <v>38383000</v>
      </c>
      <c r="F12" s="160">
        <f>+F10-F11</f>
        <v>68781000</v>
      </c>
      <c r="G12" s="160">
        <f>+G10-G11</f>
        <v>8174000</v>
      </c>
      <c r="H12" s="29"/>
    </row>
    <row r="13" spans="2:8" ht="21.75" customHeight="1">
      <c r="B13" s="74"/>
      <c r="C13" s="74" t="s">
        <v>319</v>
      </c>
      <c r="D13" s="131">
        <f>+'ER 2017'!B76</f>
        <v>9709000</v>
      </c>
      <c r="E13" s="131">
        <f>+' ER 2016'!B62</f>
        <v>2394000</v>
      </c>
      <c r="F13" s="131"/>
      <c r="G13" s="131"/>
      <c r="H13" s="29"/>
    </row>
    <row r="14" spans="2:8" ht="21.75" customHeight="1">
      <c r="B14" s="45" t="s">
        <v>305</v>
      </c>
      <c r="C14" s="45" t="s">
        <v>10</v>
      </c>
      <c r="D14" s="160">
        <f>+D12-D13</f>
        <v>49313000</v>
      </c>
      <c r="E14" s="160">
        <f t="shared" ref="E14:G14" si="1">+E12-E13</f>
        <v>35989000</v>
      </c>
      <c r="F14" s="160">
        <f t="shared" si="1"/>
        <v>68781000</v>
      </c>
      <c r="G14" s="160">
        <f t="shared" si="1"/>
        <v>8174000</v>
      </c>
      <c r="H14" s="29"/>
    </row>
    <row r="15" spans="2:8" ht="21.75" customHeight="1">
      <c r="B15" s="74" t="s">
        <v>304</v>
      </c>
      <c r="C15" s="74" t="s">
        <v>313</v>
      </c>
      <c r="D15" s="131">
        <f>+'ER 2017'!B83</f>
        <v>16267000.000000002</v>
      </c>
      <c r="E15" s="131">
        <f>+' ER 2016'!C70</f>
        <v>12236000</v>
      </c>
      <c r="F15" s="131">
        <f>+'ER 2015'!B49+'ER 2015'!B50</f>
        <v>20963000</v>
      </c>
      <c r="G15" s="131">
        <f>+'ER 2014'!B39+'ER 2014'!B40</f>
        <v>2780000</v>
      </c>
      <c r="H15" s="29"/>
    </row>
    <row r="16" spans="2:8" ht="21.75" customHeight="1">
      <c r="B16" s="45" t="s">
        <v>305</v>
      </c>
      <c r="C16" s="45" t="s">
        <v>14</v>
      </c>
      <c r="D16" s="160">
        <f>+D14-D15</f>
        <v>33046000</v>
      </c>
      <c r="E16" s="160">
        <f t="shared" ref="E16:G16" si="2">+E14-E15</f>
        <v>23753000</v>
      </c>
      <c r="F16" s="160">
        <f t="shared" si="2"/>
        <v>47818000</v>
      </c>
      <c r="G16" s="160">
        <f t="shared" si="2"/>
        <v>5394000</v>
      </c>
      <c r="H16" s="29"/>
    </row>
    <row r="17" spans="2:8" ht="21.75" customHeight="1">
      <c r="B17" s="74" t="s">
        <v>306</v>
      </c>
      <c r="C17" s="227" t="str">
        <f>+C11</f>
        <v>DEPRECIACIONES Y AMORTIZACIONES</v>
      </c>
      <c r="D17" s="131">
        <f>+D11</f>
        <v>150953000</v>
      </c>
      <c r="E17" s="131">
        <f t="shared" ref="E17:G17" si="3">+E11</f>
        <v>35110000</v>
      </c>
      <c r="F17" s="131">
        <f t="shared" si="3"/>
        <v>0</v>
      </c>
      <c r="G17" s="131">
        <f t="shared" si="3"/>
        <v>0</v>
      </c>
      <c r="H17" s="29"/>
    </row>
    <row r="18" spans="2:8" ht="21.75" customHeight="1">
      <c r="B18" s="45" t="s">
        <v>305</v>
      </c>
      <c r="C18" s="45" t="s">
        <v>307</v>
      </c>
      <c r="D18" s="160">
        <f>+D14+D17</f>
        <v>200266000</v>
      </c>
      <c r="E18" s="160">
        <f>+E14+E17</f>
        <v>71099000</v>
      </c>
      <c r="F18" s="160">
        <f>+F14+F17</f>
        <v>68781000</v>
      </c>
      <c r="G18" s="160">
        <f>+G14+G17</f>
        <v>8174000</v>
      </c>
      <c r="H18" s="29"/>
    </row>
    <row r="19" spans="2:8" ht="21.75" customHeight="1">
      <c r="B19" s="74" t="s">
        <v>304</v>
      </c>
      <c r="C19" s="74" t="s">
        <v>308</v>
      </c>
      <c r="D19" s="131">
        <f>+PKT!C17-PKT!D17</f>
        <v>71872000</v>
      </c>
      <c r="E19" s="131">
        <f>+PKT!C33-PKT!D33</f>
        <v>82171000</v>
      </c>
      <c r="F19" s="131">
        <f>+PKT!C48-PKT!D48</f>
        <v>-103355000</v>
      </c>
      <c r="G19" s="131">
        <v>0</v>
      </c>
      <c r="H19" s="29"/>
    </row>
    <row r="20" spans="2:8" ht="21.75" customHeight="1">
      <c r="B20" s="45" t="s">
        <v>304</v>
      </c>
      <c r="C20" s="45" t="s">
        <v>309</v>
      </c>
      <c r="D20" s="160">
        <f>+('ESF 2017'!B27+'ESF 2017'!B32+'ESF 2017'!B37+'ESF 2017'!B42)-('ESF 2016'!B25+'ESF 2016'!B29+'ESF 2016'!B33)</f>
        <v>4059000</v>
      </c>
      <c r="E20" s="160">
        <f>+('ESF 2016'!B25+'ESF 2016'!B29+'ESF 2016'!B33)-('ESF 2015'!B24)</f>
        <v>4530000</v>
      </c>
      <c r="F20" s="160">
        <f>+'ESF 2015'!B24-'BALANCE 2014'!C28</f>
        <v>151100000</v>
      </c>
      <c r="G20" s="160"/>
      <c r="H20" s="29"/>
    </row>
    <row r="21" spans="2:8" ht="21.75" customHeight="1">
      <c r="B21" s="74" t="s">
        <v>305</v>
      </c>
      <c r="C21" s="79" t="s">
        <v>310</v>
      </c>
      <c r="D21" s="131">
        <f>+D18-D19-D20</f>
        <v>124335000</v>
      </c>
      <c r="E21" s="131">
        <f t="shared" ref="E21:G21" si="4">+E18-E19-E20</f>
        <v>-15602000</v>
      </c>
      <c r="F21" s="131">
        <f t="shared" si="4"/>
        <v>21036000</v>
      </c>
      <c r="G21" s="131">
        <f t="shared" si="4"/>
        <v>8174000</v>
      </c>
      <c r="H21" s="29"/>
    </row>
    <row r="22" spans="2:8">
      <c r="D22" s="29"/>
      <c r="E22" s="29"/>
      <c r="F22" s="29"/>
      <c r="G22" s="29"/>
      <c r="H22" s="29"/>
    </row>
    <row r="52" spans="3:8">
      <c r="C52" s="455" t="s">
        <v>360</v>
      </c>
    </row>
    <row r="53" spans="3:8">
      <c r="C53" s="658" t="s">
        <v>363</v>
      </c>
      <c r="D53" s="658"/>
      <c r="E53" s="658"/>
      <c r="F53" s="658"/>
      <c r="G53" s="658"/>
      <c r="H53" s="658"/>
    </row>
    <row r="54" spans="3:8">
      <c r="C54" s="658"/>
      <c r="D54" s="658"/>
      <c r="E54" s="658"/>
      <c r="F54" s="658"/>
      <c r="G54" s="658"/>
      <c r="H54" s="658"/>
    </row>
    <row r="55" spans="3:8">
      <c r="C55" s="658"/>
      <c r="D55" s="658"/>
      <c r="E55" s="658"/>
      <c r="F55" s="658"/>
      <c r="G55" s="658"/>
      <c r="H55" s="658"/>
    </row>
    <row r="56" spans="3:8">
      <c r="C56" s="658"/>
      <c r="D56" s="658"/>
      <c r="E56" s="658"/>
      <c r="F56" s="658"/>
      <c r="G56" s="658"/>
      <c r="H56" s="658"/>
    </row>
    <row r="57" spans="3:8">
      <c r="C57" s="658"/>
      <c r="D57" s="658"/>
      <c r="E57" s="658"/>
      <c r="F57" s="658"/>
      <c r="G57" s="658"/>
      <c r="H57" s="658"/>
    </row>
    <row r="58" spans="3:8">
      <c r="C58" s="658"/>
      <c r="D58" s="658"/>
      <c r="E58" s="658"/>
      <c r="F58" s="658"/>
      <c r="G58" s="658"/>
      <c r="H58" s="658"/>
    </row>
  </sheetData>
  <mergeCells count="4">
    <mergeCell ref="B5:G5"/>
    <mergeCell ref="B2:G2"/>
    <mergeCell ref="B3:G3"/>
    <mergeCell ref="C53:H58"/>
  </mergeCells>
  <pageMargins left="0.51181102362204722" right="0.51181102362204722" top="0.74803149606299213" bottom="0.74803149606299213" header="0" footer="0"/>
  <pageSetup scale="98" orientation="portrait" r:id="rId1"/>
  <colBreaks count="1" manualBreakCount="1">
    <brk id="7" max="1048575" man="1"/>
  </colBreaks>
  <ignoredErrors>
    <ignoredError sqref="D11:G11 E13" formula="1"/>
  </ignoredError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K58"/>
  <sheetViews>
    <sheetView topLeftCell="A16" workbookViewId="0">
      <selection activeCell="C27" sqref="C27"/>
    </sheetView>
  </sheetViews>
  <sheetFormatPr baseColWidth="10" defaultColWidth="10.7109375" defaultRowHeight="15.75"/>
  <cols>
    <col min="1" max="1" width="2.42578125" style="14" customWidth="1"/>
    <col min="2" max="2" width="28.42578125" style="32" customWidth="1"/>
    <col min="3" max="5" width="18.140625" style="7" bestFit="1" customWidth="1"/>
    <col min="6" max="6" width="17.5703125" style="21" customWidth="1"/>
    <col min="7" max="7" width="19" style="14" customWidth="1"/>
    <col min="8" max="8" width="14.140625" style="14" bestFit="1" customWidth="1"/>
    <col min="9" max="9" width="12.85546875" style="14" bestFit="1" customWidth="1"/>
    <col min="10" max="10" width="11.42578125" style="14"/>
    <col min="11" max="11" width="17.140625" style="14" bestFit="1" customWidth="1"/>
    <col min="12" max="256" width="11.42578125" style="14"/>
    <col min="257" max="257" width="45.28515625" style="14" customWidth="1"/>
    <col min="258" max="258" width="16.85546875" style="14" customWidth="1"/>
    <col min="259" max="260" width="16.5703125" style="14" customWidth="1"/>
    <col min="261" max="261" width="15.28515625" style="14" bestFit="1" customWidth="1"/>
    <col min="262" max="262" width="16.5703125" style="14" bestFit="1" customWidth="1"/>
    <col min="263" max="263" width="19" style="14" customWidth="1"/>
    <col min="264" max="265" width="12.85546875" style="14" bestFit="1" customWidth="1"/>
    <col min="266" max="512" width="11.42578125" style="14"/>
    <col min="513" max="513" width="45.28515625" style="14" customWidth="1"/>
    <col min="514" max="514" width="16.85546875" style="14" customWidth="1"/>
    <col min="515" max="516" width="16.5703125" style="14" customWidth="1"/>
    <col min="517" max="517" width="15.28515625" style="14" bestFit="1" customWidth="1"/>
    <col min="518" max="518" width="16.5703125" style="14" bestFit="1" customWidth="1"/>
    <col min="519" max="519" width="19" style="14" customWidth="1"/>
    <col min="520" max="521" width="12.85546875" style="14" bestFit="1" customWidth="1"/>
    <col min="522" max="768" width="11.42578125" style="14"/>
    <col min="769" max="769" width="45.28515625" style="14" customWidth="1"/>
    <col min="770" max="770" width="16.85546875" style="14" customWidth="1"/>
    <col min="771" max="772" width="16.5703125" style="14" customWidth="1"/>
    <col min="773" max="773" width="15.28515625" style="14" bestFit="1" customWidth="1"/>
    <col min="774" max="774" width="16.5703125" style="14" bestFit="1" customWidth="1"/>
    <col min="775" max="775" width="19" style="14" customWidth="1"/>
    <col min="776" max="777" width="12.85546875" style="14" bestFit="1" customWidth="1"/>
    <col min="778" max="1024" width="11.42578125" style="14"/>
    <col min="1025" max="1025" width="45.28515625" style="14" customWidth="1"/>
    <col min="1026" max="1026" width="16.85546875" style="14" customWidth="1"/>
    <col min="1027" max="1028" width="16.5703125" style="14" customWidth="1"/>
    <col min="1029" max="1029" width="15.28515625" style="14" bestFit="1" customWidth="1"/>
    <col min="1030" max="1030" width="16.5703125" style="14" bestFit="1" customWidth="1"/>
    <col min="1031" max="1031" width="19" style="14" customWidth="1"/>
    <col min="1032" max="1033" width="12.85546875" style="14" bestFit="1" customWidth="1"/>
    <col min="1034" max="1280" width="11.42578125" style="14"/>
    <col min="1281" max="1281" width="45.28515625" style="14" customWidth="1"/>
    <col min="1282" max="1282" width="16.85546875" style="14" customWidth="1"/>
    <col min="1283" max="1284" width="16.5703125" style="14" customWidth="1"/>
    <col min="1285" max="1285" width="15.28515625" style="14" bestFit="1" customWidth="1"/>
    <col min="1286" max="1286" width="16.5703125" style="14" bestFit="1" customWidth="1"/>
    <col min="1287" max="1287" width="19" style="14" customWidth="1"/>
    <col min="1288" max="1289" width="12.85546875" style="14" bestFit="1" customWidth="1"/>
    <col min="1290" max="1536" width="11.42578125" style="14"/>
    <col min="1537" max="1537" width="45.28515625" style="14" customWidth="1"/>
    <col min="1538" max="1538" width="16.85546875" style="14" customWidth="1"/>
    <col min="1539" max="1540" width="16.5703125" style="14" customWidth="1"/>
    <col min="1541" max="1541" width="15.28515625" style="14" bestFit="1" customWidth="1"/>
    <col min="1542" max="1542" width="16.5703125" style="14" bestFit="1" customWidth="1"/>
    <col min="1543" max="1543" width="19" style="14" customWidth="1"/>
    <col min="1544" max="1545" width="12.85546875" style="14" bestFit="1" customWidth="1"/>
    <col min="1546" max="1792" width="11.42578125" style="14"/>
    <col min="1793" max="1793" width="45.28515625" style="14" customWidth="1"/>
    <col min="1794" max="1794" width="16.85546875" style="14" customWidth="1"/>
    <col min="1795" max="1796" width="16.5703125" style="14" customWidth="1"/>
    <col min="1797" max="1797" width="15.28515625" style="14" bestFit="1" customWidth="1"/>
    <col min="1798" max="1798" width="16.5703125" style="14" bestFit="1" customWidth="1"/>
    <col min="1799" max="1799" width="19" style="14" customWidth="1"/>
    <col min="1800" max="1801" width="12.85546875" style="14" bestFit="1" customWidth="1"/>
    <col min="1802" max="2048" width="11.42578125" style="14"/>
    <col min="2049" max="2049" width="45.28515625" style="14" customWidth="1"/>
    <col min="2050" max="2050" width="16.85546875" style="14" customWidth="1"/>
    <col min="2051" max="2052" width="16.5703125" style="14" customWidth="1"/>
    <col min="2053" max="2053" width="15.28515625" style="14" bestFit="1" customWidth="1"/>
    <col min="2054" max="2054" width="16.5703125" style="14" bestFit="1" customWidth="1"/>
    <col min="2055" max="2055" width="19" style="14" customWidth="1"/>
    <col min="2056" max="2057" width="12.85546875" style="14" bestFit="1" customWidth="1"/>
    <col min="2058" max="2304" width="11.42578125" style="14"/>
    <col min="2305" max="2305" width="45.28515625" style="14" customWidth="1"/>
    <col min="2306" max="2306" width="16.85546875" style="14" customWidth="1"/>
    <col min="2307" max="2308" width="16.5703125" style="14" customWidth="1"/>
    <col min="2309" max="2309" width="15.28515625" style="14" bestFit="1" customWidth="1"/>
    <col min="2310" max="2310" width="16.5703125" style="14" bestFit="1" customWidth="1"/>
    <col min="2311" max="2311" width="19" style="14" customWidth="1"/>
    <col min="2312" max="2313" width="12.85546875" style="14" bestFit="1" customWidth="1"/>
    <col min="2314" max="2560" width="11.42578125" style="14"/>
    <col min="2561" max="2561" width="45.28515625" style="14" customWidth="1"/>
    <col min="2562" max="2562" width="16.85546875" style="14" customWidth="1"/>
    <col min="2563" max="2564" width="16.5703125" style="14" customWidth="1"/>
    <col min="2565" max="2565" width="15.28515625" style="14" bestFit="1" customWidth="1"/>
    <col min="2566" max="2566" width="16.5703125" style="14" bestFit="1" customWidth="1"/>
    <col min="2567" max="2567" width="19" style="14" customWidth="1"/>
    <col min="2568" max="2569" width="12.85546875" style="14" bestFit="1" customWidth="1"/>
    <col min="2570" max="2816" width="11.42578125" style="14"/>
    <col min="2817" max="2817" width="45.28515625" style="14" customWidth="1"/>
    <col min="2818" max="2818" width="16.85546875" style="14" customWidth="1"/>
    <col min="2819" max="2820" width="16.5703125" style="14" customWidth="1"/>
    <col min="2821" max="2821" width="15.28515625" style="14" bestFit="1" customWidth="1"/>
    <col min="2822" max="2822" width="16.5703125" style="14" bestFit="1" customWidth="1"/>
    <col min="2823" max="2823" width="19" style="14" customWidth="1"/>
    <col min="2824" max="2825" width="12.85546875" style="14" bestFit="1" customWidth="1"/>
    <col min="2826" max="3072" width="11.42578125" style="14"/>
    <col min="3073" max="3073" width="45.28515625" style="14" customWidth="1"/>
    <col min="3074" max="3074" width="16.85546875" style="14" customWidth="1"/>
    <col min="3075" max="3076" width="16.5703125" style="14" customWidth="1"/>
    <col min="3077" max="3077" width="15.28515625" style="14" bestFit="1" customWidth="1"/>
    <col min="3078" max="3078" width="16.5703125" style="14" bestFit="1" customWidth="1"/>
    <col min="3079" max="3079" width="19" style="14" customWidth="1"/>
    <col min="3080" max="3081" width="12.85546875" style="14" bestFit="1" customWidth="1"/>
    <col min="3082" max="3328" width="11.42578125" style="14"/>
    <col min="3329" max="3329" width="45.28515625" style="14" customWidth="1"/>
    <col min="3330" max="3330" width="16.85546875" style="14" customWidth="1"/>
    <col min="3331" max="3332" width="16.5703125" style="14" customWidth="1"/>
    <col min="3333" max="3333" width="15.28515625" style="14" bestFit="1" customWidth="1"/>
    <col min="3334" max="3334" width="16.5703125" style="14" bestFit="1" customWidth="1"/>
    <col min="3335" max="3335" width="19" style="14" customWidth="1"/>
    <col min="3336" max="3337" width="12.85546875" style="14" bestFit="1" customWidth="1"/>
    <col min="3338" max="3584" width="11.42578125" style="14"/>
    <col min="3585" max="3585" width="45.28515625" style="14" customWidth="1"/>
    <col min="3586" max="3586" width="16.85546875" style="14" customWidth="1"/>
    <col min="3587" max="3588" width="16.5703125" style="14" customWidth="1"/>
    <col min="3589" max="3589" width="15.28515625" style="14" bestFit="1" customWidth="1"/>
    <col min="3590" max="3590" width="16.5703125" style="14" bestFit="1" customWidth="1"/>
    <col min="3591" max="3591" width="19" style="14" customWidth="1"/>
    <col min="3592" max="3593" width="12.85546875" style="14" bestFit="1" customWidth="1"/>
    <col min="3594" max="3840" width="11.42578125" style="14"/>
    <col min="3841" max="3841" width="45.28515625" style="14" customWidth="1"/>
    <col min="3842" max="3842" width="16.85546875" style="14" customWidth="1"/>
    <col min="3843" max="3844" width="16.5703125" style="14" customWidth="1"/>
    <col min="3845" max="3845" width="15.28515625" style="14" bestFit="1" customWidth="1"/>
    <col min="3846" max="3846" width="16.5703125" style="14" bestFit="1" customWidth="1"/>
    <col min="3847" max="3847" width="19" style="14" customWidth="1"/>
    <col min="3848" max="3849" width="12.85546875" style="14" bestFit="1" customWidth="1"/>
    <col min="3850" max="4096" width="11.42578125" style="14"/>
    <col min="4097" max="4097" width="45.28515625" style="14" customWidth="1"/>
    <col min="4098" max="4098" width="16.85546875" style="14" customWidth="1"/>
    <col min="4099" max="4100" width="16.5703125" style="14" customWidth="1"/>
    <col min="4101" max="4101" width="15.28515625" style="14" bestFit="1" customWidth="1"/>
    <col min="4102" max="4102" width="16.5703125" style="14" bestFit="1" customWidth="1"/>
    <col min="4103" max="4103" width="19" style="14" customWidth="1"/>
    <col min="4104" max="4105" width="12.85546875" style="14" bestFit="1" customWidth="1"/>
    <col min="4106" max="4352" width="11.42578125" style="14"/>
    <col min="4353" max="4353" width="45.28515625" style="14" customWidth="1"/>
    <col min="4354" max="4354" width="16.85546875" style="14" customWidth="1"/>
    <col min="4355" max="4356" width="16.5703125" style="14" customWidth="1"/>
    <col min="4357" max="4357" width="15.28515625" style="14" bestFit="1" customWidth="1"/>
    <col min="4358" max="4358" width="16.5703125" style="14" bestFit="1" customWidth="1"/>
    <col min="4359" max="4359" width="19" style="14" customWidth="1"/>
    <col min="4360" max="4361" width="12.85546875" style="14" bestFit="1" customWidth="1"/>
    <col min="4362" max="4608" width="11.42578125" style="14"/>
    <col min="4609" max="4609" width="45.28515625" style="14" customWidth="1"/>
    <col min="4610" max="4610" width="16.85546875" style="14" customWidth="1"/>
    <col min="4611" max="4612" width="16.5703125" style="14" customWidth="1"/>
    <col min="4613" max="4613" width="15.28515625" style="14" bestFit="1" customWidth="1"/>
    <col min="4614" max="4614" width="16.5703125" style="14" bestFit="1" customWidth="1"/>
    <col min="4615" max="4615" width="19" style="14" customWidth="1"/>
    <col min="4616" max="4617" width="12.85546875" style="14" bestFit="1" customWidth="1"/>
    <col min="4618" max="4864" width="11.42578125" style="14"/>
    <col min="4865" max="4865" width="45.28515625" style="14" customWidth="1"/>
    <col min="4866" max="4866" width="16.85546875" style="14" customWidth="1"/>
    <col min="4867" max="4868" width="16.5703125" style="14" customWidth="1"/>
    <col min="4869" max="4869" width="15.28515625" style="14" bestFit="1" customWidth="1"/>
    <col min="4870" max="4870" width="16.5703125" style="14" bestFit="1" customWidth="1"/>
    <col min="4871" max="4871" width="19" style="14" customWidth="1"/>
    <col min="4872" max="4873" width="12.85546875" style="14" bestFit="1" customWidth="1"/>
    <col min="4874" max="5120" width="11.42578125" style="14"/>
    <col min="5121" max="5121" width="45.28515625" style="14" customWidth="1"/>
    <col min="5122" max="5122" width="16.85546875" style="14" customWidth="1"/>
    <col min="5123" max="5124" width="16.5703125" style="14" customWidth="1"/>
    <col min="5125" max="5125" width="15.28515625" style="14" bestFit="1" customWidth="1"/>
    <col min="5126" max="5126" width="16.5703125" style="14" bestFit="1" customWidth="1"/>
    <col min="5127" max="5127" width="19" style="14" customWidth="1"/>
    <col min="5128" max="5129" width="12.85546875" style="14" bestFit="1" customWidth="1"/>
    <col min="5130" max="5376" width="11.42578125" style="14"/>
    <col min="5377" max="5377" width="45.28515625" style="14" customWidth="1"/>
    <col min="5378" max="5378" width="16.85546875" style="14" customWidth="1"/>
    <col min="5379" max="5380" width="16.5703125" style="14" customWidth="1"/>
    <col min="5381" max="5381" width="15.28515625" style="14" bestFit="1" customWidth="1"/>
    <col min="5382" max="5382" width="16.5703125" style="14" bestFit="1" customWidth="1"/>
    <col min="5383" max="5383" width="19" style="14" customWidth="1"/>
    <col min="5384" max="5385" width="12.85546875" style="14" bestFit="1" customWidth="1"/>
    <col min="5386" max="5632" width="11.42578125" style="14"/>
    <col min="5633" max="5633" width="45.28515625" style="14" customWidth="1"/>
    <col min="5634" max="5634" width="16.85546875" style="14" customWidth="1"/>
    <col min="5635" max="5636" width="16.5703125" style="14" customWidth="1"/>
    <col min="5637" max="5637" width="15.28515625" style="14" bestFit="1" customWidth="1"/>
    <col min="5638" max="5638" width="16.5703125" style="14" bestFit="1" customWidth="1"/>
    <col min="5639" max="5639" width="19" style="14" customWidth="1"/>
    <col min="5640" max="5641" width="12.85546875" style="14" bestFit="1" customWidth="1"/>
    <col min="5642" max="5888" width="11.42578125" style="14"/>
    <col min="5889" max="5889" width="45.28515625" style="14" customWidth="1"/>
    <col min="5890" max="5890" width="16.85546875" style="14" customWidth="1"/>
    <col min="5891" max="5892" width="16.5703125" style="14" customWidth="1"/>
    <col min="5893" max="5893" width="15.28515625" style="14" bestFit="1" customWidth="1"/>
    <col min="5894" max="5894" width="16.5703125" style="14" bestFit="1" customWidth="1"/>
    <col min="5895" max="5895" width="19" style="14" customWidth="1"/>
    <col min="5896" max="5897" width="12.85546875" style="14" bestFit="1" customWidth="1"/>
    <col min="5898" max="6144" width="11.42578125" style="14"/>
    <col min="6145" max="6145" width="45.28515625" style="14" customWidth="1"/>
    <col min="6146" max="6146" width="16.85546875" style="14" customWidth="1"/>
    <col min="6147" max="6148" width="16.5703125" style="14" customWidth="1"/>
    <col min="6149" max="6149" width="15.28515625" style="14" bestFit="1" customWidth="1"/>
    <col min="6150" max="6150" width="16.5703125" style="14" bestFit="1" customWidth="1"/>
    <col min="6151" max="6151" width="19" style="14" customWidth="1"/>
    <col min="6152" max="6153" width="12.85546875" style="14" bestFit="1" customWidth="1"/>
    <col min="6154" max="6400" width="11.42578125" style="14"/>
    <col min="6401" max="6401" width="45.28515625" style="14" customWidth="1"/>
    <col min="6402" max="6402" width="16.85546875" style="14" customWidth="1"/>
    <col min="6403" max="6404" width="16.5703125" style="14" customWidth="1"/>
    <col min="6405" max="6405" width="15.28515625" style="14" bestFit="1" customWidth="1"/>
    <col min="6406" max="6406" width="16.5703125" style="14" bestFit="1" customWidth="1"/>
    <col min="6407" max="6407" width="19" style="14" customWidth="1"/>
    <col min="6408" max="6409" width="12.85546875" style="14" bestFit="1" customWidth="1"/>
    <col min="6410" max="6656" width="11.42578125" style="14"/>
    <col min="6657" max="6657" width="45.28515625" style="14" customWidth="1"/>
    <col min="6658" max="6658" width="16.85546875" style="14" customWidth="1"/>
    <col min="6659" max="6660" width="16.5703125" style="14" customWidth="1"/>
    <col min="6661" max="6661" width="15.28515625" style="14" bestFit="1" customWidth="1"/>
    <col min="6662" max="6662" width="16.5703125" style="14" bestFit="1" customWidth="1"/>
    <col min="6663" max="6663" width="19" style="14" customWidth="1"/>
    <col min="6664" max="6665" width="12.85546875" style="14" bestFit="1" customWidth="1"/>
    <col min="6666" max="6912" width="11.42578125" style="14"/>
    <col min="6913" max="6913" width="45.28515625" style="14" customWidth="1"/>
    <col min="6914" max="6914" width="16.85546875" style="14" customWidth="1"/>
    <col min="6915" max="6916" width="16.5703125" style="14" customWidth="1"/>
    <col min="6917" max="6917" width="15.28515625" style="14" bestFit="1" customWidth="1"/>
    <col min="6918" max="6918" width="16.5703125" style="14" bestFit="1" customWidth="1"/>
    <col min="6919" max="6919" width="19" style="14" customWidth="1"/>
    <col min="6920" max="6921" width="12.85546875" style="14" bestFit="1" customWidth="1"/>
    <col min="6922" max="7168" width="11.42578125" style="14"/>
    <col min="7169" max="7169" width="45.28515625" style="14" customWidth="1"/>
    <col min="7170" max="7170" width="16.85546875" style="14" customWidth="1"/>
    <col min="7171" max="7172" width="16.5703125" style="14" customWidth="1"/>
    <col min="7173" max="7173" width="15.28515625" style="14" bestFit="1" customWidth="1"/>
    <col min="7174" max="7174" width="16.5703125" style="14" bestFit="1" customWidth="1"/>
    <col min="7175" max="7175" width="19" style="14" customWidth="1"/>
    <col min="7176" max="7177" width="12.85546875" style="14" bestFit="1" customWidth="1"/>
    <col min="7178" max="7424" width="11.42578125" style="14"/>
    <col min="7425" max="7425" width="45.28515625" style="14" customWidth="1"/>
    <col min="7426" max="7426" width="16.85546875" style="14" customWidth="1"/>
    <col min="7427" max="7428" width="16.5703125" style="14" customWidth="1"/>
    <col min="7429" max="7429" width="15.28515625" style="14" bestFit="1" customWidth="1"/>
    <col min="7430" max="7430" width="16.5703125" style="14" bestFit="1" customWidth="1"/>
    <col min="7431" max="7431" width="19" style="14" customWidth="1"/>
    <col min="7432" max="7433" width="12.85546875" style="14" bestFit="1" customWidth="1"/>
    <col min="7434" max="7680" width="11.42578125" style="14"/>
    <col min="7681" max="7681" width="45.28515625" style="14" customWidth="1"/>
    <col min="7682" max="7682" width="16.85546875" style="14" customWidth="1"/>
    <col min="7683" max="7684" width="16.5703125" style="14" customWidth="1"/>
    <col min="7685" max="7685" width="15.28515625" style="14" bestFit="1" customWidth="1"/>
    <col min="7686" max="7686" width="16.5703125" style="14" bestFit="1" customWidth="1"/>
    <col min="7687" max="7687" width="19" style="14" customWidth="1"/>
    <col min="7688" max="7689" width="12.85546875" style="14" bestFit="1" customWidth="1"/>
    <col min="7690" max="7936" width="11.42578125" style="14"/>
    <col min="7937" max="7937" width="45.28515625" style="14" customWidth="1"/>
    <col min="7938" max="7938" width="16.85546875" style="14" customWidth="1"/>
    <col min="7939" max="7940" width="16.5703125" style="14" customWidth="1"/>
    <col min="7941" max="7941" width="15.28515625" style="14" bestFit="1" customWidth="1"/>
    <col min="7942" max="7942" width="16.5703125" style="14" bestFit="1" customWidth="1"/>
    <col min="7943" max="7943" width="19" style="14" customWidth="1"/>
    <col min="7944" max="7945" width="12.85546875" style="14" bestFit="1" customWidth="1"/>
    <col min="7946" max="8192" width="11.42578125" style="14"/>
    <col min="8193" max="8193" width="45.28515625" style="14" customWidth="1"/>
    <col min="8194" max="8194" width="16.85546875" style="14" customWidth="1"/>
    <col min="8195" max="8196" width="16.5703125" style="14" customWidth="1"/>
    <col min="8197" max="8197" width="15.28515625" style="14" bestFit="1" customWidth="1"/>
    <col min="8198" max="8198" width="16.5703125" style="14" bestFit="1" customWidth="1"/>
    <col min="8199" max="8199" width="19" style="14" customWidth="1"/>
    <col min="8200" max="8201" width="12.85546875" style="14" bestFit="1" customWidth="1"/>
    <col min="8202" max="8448" width="11.42578125" style="14"/>
    <col min="8449" max="8449" width="45.28515625" style="14" customWidth="1"/>
    <col min="8450" max="8450" width="16.85546875" style="14" customWidth="1"/>
    <col min="8451" max="8452" width="16.5703125" style="14" customWidth="1"/>
    <col min="8453" max="8453" width="15.28515625" style="14" bestFit="1" customWidth="1"/>
    <col min="8454" max="8454" width="16.5703125" style="14" bestFit="1" customWidth="1"/>
    <col min="8455" max="8455" width="19" style="14" customWidth="1"/>
    <col min="8456" max="8457" width="12.85546875" style="14" bestFit="1" customWidth="1"/>
    <col min="8458" max="8704" width="11.42578125" style="14"/>
    <col min="8705" max="8705" width="45.28515625" style="14" customWidth="1"/>
    <col min="8706" max="8706" width="16.85546875" style="14" customWidth="1"/>
    <col min="8707" max="8708" width="16.5703125" style="14" customWidth="1"/>
    <col min="8709" max="8709" width="15.28515625" style="14" bestFit="1" customWidth="1"/>
    <col min="8710" max="8710" width="16.5703125" style="14" bestFit="1" customWidth="1"/>
    <col min="8711" max="8711" width="19" style="14" customWidth="1"/>
    <col min="8712" max="8713" width="12.85546875" style="14" bestFit="1" customWidth="1"/>
    <col min="8714" max="8960" width="11.42578125" style="14"/>
    <col min="8961" max="8961" width="45.28515625" style="14" customWidth="1"/>
    <col min="8962" max="8962" width="16.85546875" style="14" customWidth="1"/>
    <col min="8963" max="8964" width="16.5703125" style="14" customWidth="1"/>
    <col min="8965" max="8965" width="15.28515625" style="14" bestFit="1" customWidth="1"/>
    <col min="8966" max="8966" width="16.5703125" style="14" bestFit="1" customWidth="1"/>
    <col min="8967" max="8967" width="19" style="14" customWidth="1"/>
    <col min="8968" max="8969" width="12.85546875" style="14" bestFit="1" customWidth="1"/>
    <col min="8970" max="9216" width="11.42578125" style="14"/>
    <col min="9217" max="9217" width="45.28515625" style="14" customWidth="1"/>
    <col min="9218" max="9218" width="16.85546875" style="14" customWidth="1"/>
    <col min="9219" max="9220" width="16.5703125" style="14" customWidth="1"/>
    <col min="9221" max="9221" width="15.28515625" style="14" bestFit="1" customWidth="1"/>
    <col min="9222" max="9222" width="16.5703125" style="14" bestFit="1" customWidth="1"/>
    <col min="9223" max="9223" width="19" style="14" customWidth="1"/>
    <col min="9224" max="9225" width="12.85546875" style="14" bestFit="1" customWidth="1"/>
    <col min="9226" max="9472" width="11.42578125" style="14"/>
    <col min="9473" max="9473" width="45.28515625" style="14" customWidth="1"/>
    <col min="9474" max="9474" width="16.85546875" style="14" customWidth="1"/>
    <col min="9475" max="9476" width="16.5703125" style="14" customWidth="1"/>
    <col min="9477" max="9477" width="15.28515625" style="14" bestFit="1" customWidth="1"/>
    <col min="9478" max="9478" width="16.5703125" style="14" bestFit="1" customWidth="1"/>
    <col min="9479" max="9479" width="19" style="14" customWidth="1"/>
    <col min="9480" max="9481" width="12.85546875" style="14" bestFit="1" customWidth="1"/>
    <col min="9482" max="9728" width="11.42578125" style="14"/>
    <col min="9729" max="9729" width="45.28515625" style="14" customWidth="1"/>
    <col min="9730" max="9730" width="16.85546875" style="14" customWidth="1"/>
    <col min="9731" max="9732" width="16.5703125" style="14" customWidth="1"/>
    <col min="9733" max="9733" width="15.28515625" style="14" bestFit="1" customWidth="1"/>
    <col min="9734" max="9734" width="16.5703125" style="14" bestFit="1" customWidth="1"/>
    <col min="9735" max="9735" width="19" style="14" customWidth="1"/>
    <col min="9736" max="9737" width="12.85546875" style="14" bestFit="1" customWidth="1"/>
    <col min="9738" max="9984" width="11.42578125" style="14"/>
    <col min="9985" max="9985" width="45.28515625" style="14" customWidth="1"/>
    <col min="9986" max="9986" width="16.85546875" style="14" customWidth="1"/>
    <col min="9987" max="9988" width="16.5703125" style="14" customWidth="1"/>
    <col min="9989" max="9989" width="15.28515625" style="14" bestFit="1" customWidth="1"/>
    <col min="9990" max="9990" width="16.5703125" style="14" bestFit="1" customWidth="1"/>
    <col min="9991" max="9991" width="19" style="14" customWidth="1"/>
    <col min="9992" max="9993" width="12.85546875" style="14" bestFit="1" customWidth="1"/>
    <col min="9994" max="10240" width="11.42578125" style="14"/>
    <col min="10241" max="10241" width="45.28515625" style="14" customWidth="1"/>
    <col min="10242" max="10242" width="16.85546875" style="14" customWidth="1"/>
    <col min="10243" max="10244" width="16.5703125" style="14" customWidth="1"/>
    <col min="10245" max="10245" width="15.28515625" style="14" bestFit="1" customWidth="1"/>
    <col min="10246" max="10246" width="16.5703125" style="14" bestFit="1" customWidth="1"/>
    <col min="10247" max="10247" width="19" style="14" customWidth="1"/>
    <col min="10248" max="10249" width="12.85546875" style="14" bestFit="1" customWidth="1"/>
    <col min="10250" max="10496" width="11.42578125" style="14"/>
    <col min="10497" max="10497" width="45.28515625" style="14" customWidth="1"/>
    <col min="10498" max="10498" width="16.85546875" style="14" customWidth="1"/>
    <col min="10499" max="10500" width="16.5703125" style="14" customWidth="1"/>
    <col min="10501" max="10501" width="15.28515625" style="14" bestFit="1" customWidth="1"/>
    <col min="10502" max="10502" width="16.5703125" style="14" bestFit="1" customWidth="1"/>
    <col min="10503" max="10503" width="19" style="14" customWidth="1"/>
    <col min="10504" max="10505" width="12.85546875" style="14" bestFit="1" customWidth="1"/>
    <col min="10506" max="10752" width="11.42578125" style="14"/>
    <col min="10753" max="10753" width="45.28515625" style="14" customWidth="1"/>
    <col min="10754" max="10754" width="16.85546875" style="14" customWidth="1"/>
    <col min="10755" max="10756" width="16.5703125" style="14" customWidth="1"/>
    <col min="10757" max="10757" width="15.28515625" style="14" bestFit="1" customWidth="1"/>
    <col min="10758" max="10758" width="16.5703125" style="14" bestFit="1" customWidth="1"/>
    <col min="10759" max="10759" width="19" style="14" customWidth="1"/>
    <col min="10760" max="10761" width="12.85546875" style="14" bestFit="1" customWidth="1"/>
    <col min="10762" max="11008" width="11.42578125" style="14"/>
    <col min="11009" max="11009" width="45.28515625" style="14" customWidth="1"/>
    <col min="11010" max="11010" width="16.85546875" style="14" customWidth="1"/>
    <col min="11011" max="11012" width="16.5703125" style="14" customWidth="1"/>
    <col min="11013" max="11013" width="15.28515625" style="14" bestFit="1" customWidth="1"/>
    <col min="11014" max="11014" width="16.5703125" style="14" bestFit="1" customWidth="1"/>
    <col min="11015" max="11015" width="19" style="14" customWidth="1"/>
    <col min="11016" max="11017" width="12.85546875" style="14" bestFit="1" customWidth="1"/>
    <col min="11018" max="11264" width="11.42578125" style="14"/>
    <col min="11265" max="11265" width="45.28515625" style="14" customWidth="1"/>
    <col min="11266" max="11266" width="16.85546875" style="14" customWidth="1"/>
    <col min="11267" max="11268" width="16.5703125" style="14" customWidth="1"/>
    <col min="11269" max="11269" width="15.28515625" style="14" bestFit="1" customWidth="1"/>
    <col min="11270" max="11270" width="16.5703125" style="14" bestFit="1" customWidth="1"/>
    <col min="11271" max="11271" width="19" style="14" customWidth="1"/>
    <col min="11272" max="11273" width="12.85546875" style="14" bestFit="1" customWidth="1"/>
    <col min="11274" max="11520" width="11.42578125" style="14"/>
    <col min="11521" max="11521" width="45.28515625" style="14" customWidth="1"/>
    <col min="11522" max="11522" width="16.85546875" style="14" customWidth="1"/>
    <col min="11523" max="11524" width="16.5703125" style="14" customWidth="1"/>
    <col min="11525" max="11525" width="15.28515625" style="14" bestFit="1" customWidth="1"/>
    <col min="11526" max="11526" width="16.5703125" style="14" bestFit="1" customWidth="1"/>
    <col min="11527" max="11527" width="19" style="14" customWidth="1"/>
    <col min="11528" max="11529" width="12.85546875" style="14" bestFit="1" customWidth="1"/>
    <col min="11530" max="11776" width="11.42578125" style="14"/>
    <col min="11777" max="11777" width="45.28515625" style="14" customWidth="1"/>
    <col min="11778" max="11778" width="16.85546875" style="14" customWidth="1"/>
    <col min="11779" max="11780" width="16.5703125" style="14" customWidth="1"/>
    <col min="11781" max="11781" width="15.28515625" style="14" bestFit="1" customWidth="1"/>
    <col min="11782" max="11782" width="16.5703125" style="14" bestFit="1" customWidth="1"/>
    <col min="11783" max="11783" width="19" style="14" customWidth="1"/>
    <col min="11784" max="11785" width="12.85546875" style="14" bestFit="1" customWidth="1"/>
    <col min="11786" max="12032" width="11.42578125" style="14"/>
    <col min="12033" max="12033" width="45.28515625" style="14" customWidth="1"/>
    <col min="12034" max="12034" width="16.85546875" style="14" customWidth="1"/>
    <col min="12035" max="12036" width="16.5703125" style="14" customWidth="1"/>
    <col min="12037" max="12037" width="15.28515625" style="14" bestFit="1" customWidth="1"/>
    <col min="12038" max="12038" width="16.5703125" style="14" bestFit="1" customWidth="1"/>
    <col min="12039" max="12039" width="19" style="14" customWidth="1"/>
    <col min="12040" max="12041" width="12.85546875" style="14" bestFit="1" customWidth="1"/>
    <col min="12042" max="12288" width="11.42578125" style="14"/>
    <col min="12289" max="12289" width="45.28515625" style="14" customWidth="1"/>
    <col min="12290" max="12290" width="16.85546875" style="14" customWidth="1"/>
    <col min="12291" max="12292" width="16.5703125" style="14" customWidth="1"/>
    <col min="12293" max="12293" width="15.28515625" style="14" bestFit="1" customWidth="1"/>
    <col min="12294" max="12294" width="16.5703125" style="14" bestFit="1" customWidth="1"/>
    <col min="12295" max="12295" width="19" style="14" customWidth="1"/>
    <col min="12296" max="12297" width="12.85546875" style="14" bestFit="1" customWidth="1"/>
    <col min="12298" max="12544" width="11.42578125" style="14"/>
    <col min="12545" max="12545" width="45.28515625" style="14" customWidth="1"/>
    <col min="12546" max="12546" width="16.85546875" style="14" customWidth="1"/>
    <col min="12547" max="12548" width="16.5703125" style="14" customWidth="1"/>
    <col min="12549" max="12549" width="15.28515625" style="14" bestFit="1" customWidth="1"/>
    <col min="12550" max="12550" width="16.5703125" style="14" bestFit="1" customWidth="1"/>
    <col min="12551" max="12551" width="19" style="14" customWidth="1"/>
    <col min="12552" max="12553" width="12.85546875" style="14" bestFit="1" customWidth="1"/>
    <col min="12554" max="12800" width="11.42578125" style="14"/>
    <col min="12801" max="12801" width="45.28515625" style="14" customWidth="1"/>
    <col min="12802" max="12802" width="16.85546875" style="14" customWidth="1"/>
    <col min="12803" max="12804" width="16.5703125" style="14" customWidth="1"/>
    <col min="12805" max="12805" width="15.28515625" style="14" bestFit="1" customWidth="1"/>
    <col min="12806" max="12806" width="16.5703125" style="14" bestFit="1" customWidth="1"/>
    <col min="12807" max="12807" width="19" style="14" customWidth="1"/>
    <col min="12808" max="12809" width="12.85546875" style="14" bestFit="1" customWidth="1"/>
    <col min="12810" max="13056" width="11.42578125" style="14"/>
    <col min="13057" max="13057" width="45.28515625" style="14" customWidth="1"/>
    <col min="13058" max="13058" width="16.85546875" style="14" customWidth="1"/>
    <col min="13059" max="13060" width="16.5703125" style="14" customWidth="1"/>
    <col min="13061" max="13061" width="15.28515625" style="14" bestFit="1" customWidth="1"/>
    <col min="13062" max="13062" width="16.5703125" style="14" bestFit="1" customWidth="1"/>
    <col min="13063" max="13063" width="19" style="14" customWidth="1"/>
    <col min="13064" max="13065" width="12.85546875" style="14" bestFit="1" customWidth="1"/>
    <col min="13066" max="13312" width="11.42578125" style="14"/>
    <col min="13313" max="13313" width="45.28515625" style="14" customWidth="1"/>
    <col min="13314" max="13314" width="16.85546875" style="14" customWidth="1"/>
    <col min="13315" max="13316" width="16.5703125" style="14" customWidth="1"/>
    <col min="13317" max="13317" width="15.28515625" style="14" bestFit="1" customWidth="1"/>
    <col min="13318" max="13318" width="16.5703125" style="14" bestFit="1" customWidth="1"/>
    <col min="13319" max="13319" width="19" style="14" customWidth="1"/>
    <col min="13320" max="13321" width="12.85546875" style="14" bestFit="1" customWidth="1"/>
    <col min="13322" max="13568" width="11.42578125" style="14"/>
    <col min="13569" max="13569" width="45.28515625" style="14" customWidth="1"/>
    <col min="13570" max="13570" width="16.85546875" style="14" customWidth="1"/>
    <col min="13571" max="13572" width="16.5703125" style="14" customWidth="1"/>
    <col min="13573" max="13573" width="15.28515625" style="14" bestFit="1" customWidth="1"/>
    <col min="13574" max="13574" width="16.5703125" style="14" bestFit="1" customWidth="1"/>
    <col min="13575" max="13575" width="19" style="14" customWidth="1"/>
    <col min="13576" max="13577" width="12.85546875" style="14" bestFit="1" customWidth="1"/>
    <col min="13578" max="13824" width="11.42578125" style="14"/>
    <col min="13825" max="13825" width="45.28515625" style="14" customWidth="1"/>
    <col min="13826" max="13826" width="16.85546875" style="14" customWidth="1"/>
    <col min="13827" max="13828" width="16.5703125" style="14" customWidth="1"/>
    <col min="13829" max="13829" width="15.28515625" style="14" bestFit="1" customWidth="1"/>
    <col min="13830" max="13830" width="16.5703125" style="14" bestFit="1" customWidth="1"/>
    <col min="13831" max="13831" width="19" style="14" customWidth="1"/>
    <col min="13832" max="13833" width="12.85546875" style="14" bestFit="1" customWidth="1"/>
    <col min="13834" max="14080" width="11.42578125" style="14"/>
    <col min="14081" max="14081" width="45.28515625" style="14" customWidth="1"/>
    <col min="14082" max="14082" width="16.85546875" style="14" customWidth="1"/>
    <col min="14083" max="14084" width="16.5703125" style="14" customWidth="1"/>
    <col min="14085" max="14085" width="15.28515625" style="14" bestFit="1" customWidth="1"/>
    <col min="14086" max="14086" width="16.5703125" style="14" bestFit="1" customWidth="1"/>
    <col min="14087" max="14087" width="19" style="14" customWidth="1"/>
    <col min="14088" max="14089" width="12.85546875" style="14" bestFit="1" customWidth="1"/>
    <col min="14090" max="14336" width="11.42578125" style="14"/>
    <col min="14337" max="14337" width="45.28515625" style="14" customWidth="1"/>
    <col min="14338" max="14338" width="16.85546875" style="14" customWidth="1"/>
    <col min="14339" max="14340" width="16.5703125" style="14" customWidth="1"/>
    <col min="14341" max="14341" width="15.28515625" style="14" bestFit="1" customWidth="1"/>
    <col min="14342" max="14342" width="16.5703125" style="14" bestFit="1" customWidth="1"/>
    <col min="14343" max="14343" width="19" style="14" customWidth="1"/>
    <col min="14344" max="14345" width="12.85546875" style="14" bestFit="1" customWidth="1"/>
    <col min="14346" max="14592" width="11.42578125" style="14"/>
    <col min="14593" max="14593" width="45.28515625" style="14" customWidth="1"/>
    <col min="14594" max="14594" width="16.85546875" style="14" customWidth="1"/>
    <col min="14595" max="14596" width="16.5703125" style="14" customWidth="1"/>
    <col min="14597" max="14597" width="15.28515625" style="14" bestFit="1" customWidth="1"/>
    <col min="14598" max="14598" width="16.5703125" style="14" bestFit="1" customWidth="1"/>
    <col min="14599" max="14599" width="19" style="14" customWidth="1"/>
    <col min="14600" max="14601" width="12.85546875" style="14" bestFit="1" customWidth="1"/>
    <col min="14602" max="14848" width="11.42578125" style="14"/>
    <col min="14849" max="14849" width="45.28515625" style="14" customWidth="1"/>
    <col min="14850" max="14850" width="16.85546875" style="14" customWidth="1"/>
    <col min="14851" max="14852" width="16.5703125" style="14" customWidth="1"/>
    <col min="14853" max="14853" width="15.28515625" style="14" bestFit="1" customWidth="1"/>
    <col min="14854" max="14854" width="16.5703125" style="14" bestFit="1" customWidth="1"/>
    <col min="14855" max="14855" width="19" style="14" customWidth="1"/>
    <col min="14856" max="14857" width="12.85546875" style="14" bestFit="1" customWidth="1"/>
    <col min="14858" max="15104" width="11.42578125" style="14"/>
    <col min="15105" max="15105" width="45.28515625" style="14" customWidth="1"/>
    <col min="15106" max="15106" width="16.85546875" style="14" customWidth="1"/>
    <col min="15107" max="15108" width="16.5703125" style="14" customWidth="1"/>
    <col min="15109" max="15109" width="15.28515625" style="14" bestFit="1" customWidth="1"/>
    <col min="15110" max="15110" width="16.5703125" style="14" bestFit="1" customWidth="1"/>
    <col min="15111" max="15111" width="19" style="14" customWidth="1"/>
    <col min="15112" max="15113" width="12.85546875" style="14" bestFit="1" customWidth="1"/>
    <col min="15114" max="15360" width="11.42578125" style="14"/>
    <col min="15361" max="15361" width="45.28515625" style="14" customWidth="1"/>
    <col min="15362" max="15362" width="16.85546875" style="14" customWidth="1"/>
    <col min="15363" max="15364" width="16.5703125" style="14" customWidth="1"/>
    <col min="15365" max="15365" width="15.28515625" style="14" bestFit="1" customWidth="1"/>
    <col min="15366" max="15366" width="16.5703125" style="14" bestFit="1" customWidth="1"/>
    <col min="15367" max="15367" width="19" style="14" customWidth="1"/>
    <col min="15368" max="15369" width="12.85546875" style="14" bestFit="1" customWidth="1"/>
    <col min="15370" max="15616" width="11.42578125" style="14"/>
    <col min="15617" max="15617" width="45.28515625" style="14" customWidth="1"/>
    <col min="15618" max="15618" width="16.85546875" style="14" customWidth="1"/>
    <col min="15619" max="15620" width="16.5703125" style="14" customWidth="1"/>
    <col min="15621" max="15621" width="15.28515625" style="14" bestFit="1" customWidth="1"/>
    <col min="15622" max="15622" width="16.5703125" style="14" bestFit="1" customWidth="1"/>
    <col min="15623" max="15623" width="19" style="14" customWidth="1"/>
    <col min="15624" max="15625" width="12.85546875" style="14" bestFit="1" customWidth="1"/>
    <col min="15626" max="15872" width="11.42578125" style="14"/>
    <col min="15873" max="15873" width="45.28515625" style="14" customWidth="1"/>
    <col min="15874" max="15874" width="16.85546875" style="14" customWidth="1"/>
    <col min="15875" max="15876" width="16.5703125" style="14" customWidth="1"/>
    <col min="15877" max="15877" width="15.28515625" style="14" bestFit="1" customWidth="1"/>
    <col min="15878" max="15878" width="16.5703125" style="14" bestFit="1" customWidth="1"/>
    <col min="15879" max="15879" width="19" style="14" customWidth="1"/>
    <col min="15880" max="15881" width="12.85546875" style="14" bestFit="1" customWidth="1"/>
    <col min="15882" max="16128" width="11.42578125" style="14"/>
    <col min="16129" max="16129" width="45.28515625" style="14" customWidth="1"/>
    <col min="16130" max="16130" width="16.85546875" style="14" customWidth="1"/>
    <col min="16131" max="16132" width="16.5703125" style="14" customWidth="1"/>
    <col min="16133" max="16133" width="15.28515625" style="14" bestFit="1" customWidth="1"/>
    <col min="16134" max="16134" width="16.5703125" style="14" bestFit="1" customWidth="1"/>
    <col min="16135" max="16135" width="19" style="14" customWidth="1"/>
    <col min="16136" max="16137" width="12.85546875" style="14" bestFit="1" customWidth="1"/>
    <col min="16138" max="16384" width="11.42578125" style="14"/>
  </cols>
  <sheetData>
    <row r="2" spans="2:11" ht="12.75" customHeight="1">
      <c r="B2" s="647" t="s">
        <v>85</v>
      </c>
      <c r="C2" s="647"/>
      <c r="D2" s="647"/>
      <c r="E2" s="647"/>
      <c r="F2" s="647"/>
    </row>
    <row r="3" spans="2:11">
      <c r="B3" s="660" t="s">
        <v>86</v>
      </c>
      <c r="C3" s="660"/>
      <c r="D3" s="660"/>
      <c r="E3" s="660"/>
      <c r="F3" s="660"/>
    </row>
    <row r="4" spans="2:11">
      <c r="B4" s="136"/>
      <c r="C4" s="121"/>
      <c r="D4" s="121"/>
      <c r="E4" s="122"/>
      <c r="F4" s="123"/>
    </row>
    <row r="5" spans="2:11">
      <c r="B5" s="659" t="s">
        <v>275</v>
      </c>
      <c r="C5" s="659"/>
      <c r="D5" s="659"/>
      <c r="E5" s="659"/>
      <c r="F5" s="659"/>
    </row>
    <row r="6" spans="2:11">
      <c r="B6" s="650"/>
      <c r="C6" s="650"/>
      <c r="D6" s="120"/>
      <c r="E6" s="122"/>
      <c r="F6" s="123"/>
    </row>
    <row r="7" spans="2:11">
      <c r="B7" s="599"/>
      <c r="C7" s="600" t="s">
        <v>279</v>
      </c>
      <c r="D7" s="600" t="s">
        <v>276</v>
      </c>
      <c r="E7" s="600" t="s">
        <v>280</v>
      </c>
      <c r="F7" s="600" t="s">
        <v>281</v>
      </c>
    </row>
    <row r="8" spans="2:11">
      <c r="B8" s="137"/>
      <c r="C8" s="125"/>
      <c r="D8" s="122"/>
      <c r="E8" s="122"/>
      <c r="F8" s="123"/>
    </row>
    <row r="9" spans="2:11" ht="15" customHeight="1">
      <c r="B9" s="138" t="s">
        <v>89</v>
      </c>
      <c r="C9" s="240">
        <f>+'ER 2017'!C10</f>
        <v>1148878000</v>
      </c>
      <c r="D9" s="240">
        <f>+' ER 2016'!C10</f>
        <v>663086000</v>
      </c>
      <c r="E9" s="240">
        <f>+'ER 2015'!C11</f>
        <v>344142000</v>
      </c>
      <c r="F9" s="240">
        <f>+'ER 2014'!C9</f>
        <v>61980000</v>
      </c>
      <c r="G9" s="18"/>
      <c r="K9" s="451"/>
    </row>
    <row r="10" spans="2:11" ht="15" customHeight="1">
      <c r="B10" s="139"/>
      <c r="C10" s="241"/>
      <c r="D10" s="241"/>
      <c r="E10" s="241"/>
      <c r="F10" s="241"/>
      <c r="G10" s="18"/>
      <c r="H10" s="451"/>
      <c r="K10" s="456"/>
    </row>
    <row r="11" spans="2:11" ht="15" customHeight="1">
      <c r="B11" s="140" t="s">
        <v>92</v>
      </c>
      <c r="C11" s="240">
        <f>+'ER 2017'!C33</f>
        <v>1010660000</v>
      </c>
      <c r="D11" s="240">
        <v>569555000</v>
      </c>
      <c r="E11" s="240">
        <f>+'ER 2015'!C22</f>
        <v>243387000</v>
      </c>
      <c r="F11" s="240">
        <f>+'ER 2014'!C22</f>
        <v>51870000</v>
      </c>
      <c r="G11" s="18"/>
      <c r="H11" s="451"/>
      <c r="I11" s="20"/>
      <c r="K11" s="452"/>
    </row>
    <row r="12" spans="2:11" ht="15" customHeight="1">
      <c r="B12" s="141"/>
      <c r="C12" s="241"/>
      <c r="D12" s="241"/>
      <c r="E12" s="241"/>
      <c r="F12" s="241"/>
      <c r="G12" s="18"/>
    </row>
    <row r="13" spans="2:11" ht="30" customHeight="1">
      <c r="B13" s="149" t="s">
        <v>111</v>
      </c>
      <c r="C13" s="240">
        <f>+C9-C11</f>
        <v>138218000</v>
      </c>
      <c r="D13" s="240">
        <f>+D9-D11</f>
        <v>93531000</v>
      </c>
      <c r="E13" s="240">
        <f t="shared" ref="E13:F13" si="0">+E9-E11</f>
        <v>100755000</v>
      </c>
      <c r="F13" s="240">
        <f t="shared" si="0"/>
        <v>10110000</v>
      </c>
      <c r="G13" s="18"/>
    </row>
    <row r="14" spans="2:11" ht="15" customHeight="1">
      <c r="B14" s="142"/>
      <c r="C14" s="241"/>
      <c r="D14" s="241"/>
      <c r="E14" s="241"/>
      <c r="F14" s="241"/>
      <c r="G14" s="18"/>
      <c r="K14" s="451"/>
    </row>
    <row r="15" spans="2:11" ht="49.5" customHeight="1">
      <c r="B15" s="140" t="s">
        <v>43</v>
      </c>
      <c r="C15" s="240">
        <f>+'ER 2017'!C50</f>
        <v>76822000</v>
      </c>
      <c r="D15" s="240">
        <v>54863000</v>
      </c>
      <c r="E15" s="240">
        <f>+'ER 2015'!C32</f>
        <v>28543000</v>
      </c>
      <c r="F15" s="240">
        <f>+'ER 2014'!C32</f>
        <v>1936000</v>
      </c>
      <c r="G15" s="18"/>
      <c r="H15" s="7"/>
      <c r="I15" s="25"/>
      <c r="K15" s="456"/>
    </row>
    <row r="16" spans="2:11" ht="15" customHeight="1">
      <c r="B16" s="143"/>
      <c r="C16" s="242"/>
      <c r="D16" s="241"/>
      <c r="E16" s="241"/>
      <c r="F16" s="241"/>
      <c r="G16" s="18"/>
      <c r="H16" s="7"/>
      <c r="I16" s="453"/>
      <c r="K16" s="452"/>
    </row>
    <row r="17" spans="2:11" ht="44.25" customHeight="1">
      <c r="B17" s="144" t="s">
        <v>6</v>
      </c>
      <c r="C17" s="240">
        <f>+'ER 2017'!C56</f>
        <v>1225000</v>
      </c>
      <c r="D17" s="240">
        <v>285000</v>
      </c>
      <c r="E17" s="240">
        <v>0</v>
      </c>
      <c r="F17" s="240"/>
      <c r="G17" s="18"/>
    </row>
    <row r="18" spans="2:11" ht="15" customHeight="1">
      <c r="B18" s="145"/>
      <c r="C18" s="241"/>
      <c r="D18" s="241"/>
      <c r="E18" s="241"/>
      <c r="F18" s="241"/>
      <c r="G18" s="18"/>
      <c r="I18" s="20"/>
      <c r="K18" s="452"/>
    </row>
    <row r="19" spans="2:11" ht="15" customHeight="1">
      <c r="B19" s="144" t="s">
        <v>316</v>
      </c>
      <c r="C19" s="240">
        <f>+'ER 2017'!B77-'ER 2017'!C73</f>
        <v>2618000</v>
      </c>
      <c r="D19" s="240">
        <f>+' ER 2016'!B62</f>
        <v>2394000</v>
      </c>
      <c r="E19" s="240">
        <f>+'ER 2015'!B43-'ER 2015'!B39</f>
        <v>3431000</v>
      </c>
      <c r="F19" s="240"/>
      <c r="G19" s="18"/>
    </row>
    <row r="20" spans="2:11" ht="15" customHeight="1">
      <c r="B20" s="146"/>
      <c r="C20" s="242"/>
      <c r="D20" s="241"/>
      <c r="E20" s="241"/>
      <c r="F20" s="241"/>
      <c r="G20" s="18"/>
    </row>
    <row r="21" spans="2:11" ht="15" customHeight="1">
      <c r="B21" s="150" t="s">
        <v>277</v>
      </c>
      <c r="C21" s="240">
        <f>+C13-C15-C17-C19</f>
        <v>57553000</v>
      </c>
      <c r="D21" s="240">
        <f>+D13-D15-D17-D19</f>
        <v>35989000</v>
      </c>
      <c r="E21" s="240">
        <f>+E13-E15-E17-E19</f>
        <v>68781000</v>
      </c>
      <c r="F21" s="240">
        <f t="shared" ref="F21" si="1">+F13-F15-F17</f>
        <v>8174000</v>
      </c>
      <c r="G21" s="18"/>
      <c r="K21" s="452"/>
    </row>
    <row r="22" spans="2:11" ht="15" customHeight="1">
      <c r="B22" s="146"/>
      <c r="C22" s="242"/>
      <c r="D22" s="241"/>
      <c r="E22" s="241"/>
      <c r="F22" s="241"/>
      <c r="G22" s="18"/>
      <c r="K22" s="452"/>
    </row>
    <row r="23" spans="2:11" ht="15" customHeight="1">
      <c r="B23" s="144" t="s">
        <v>278</v>
      </c>
      <c r="C23" s="240">
        <f>+'ER 2017'!B32+'ER 2017'!B48</f>
        <v>150953000</v>
      </c>
      <c r="D23" s="240">
        <v>35110000</v>
      </c>
      <c r="E23" s="240"/>
      <c r="F23" s="240"/>
      <c r="G23" s="18"/>
      <c r="I23" s="20"/>
      <c r="K23" s="452"/>
    </row>
    <row r="24" spans="2:11" ht="15" customHeight="1">
      <c r="B24" s="146"/>
      <c r="C24" s="242"/>
      <c r="D24" s="241"/>
      <c r="E24" s="241"/>
      <c r="F24" s="241"/>
      <c r="G24" s="18"/>
    </row>
    <row r="25" spans="2:11" ht="15" customHeight="1">
      <c r="B25" s="144" t="s">
        <v>275</v>
      </c>
      <c r="C25" s="240">
        <f>+C21+C23</f>
        <v>208506000</v>
      </c>
      <c r="D25" s="240">
        <f>+D21+D23</f>
        <v>71099000</v>
      </c>
      <c r="E25" s="240">
        <f t="shared" ref="E25:F25" si="2">+E21+E23</f>
        <v>68781000</v>
      </c>
      <c r="F25" s="240">
        <f t="shared" si="2"/>
        <v>8174000</v>
      </c>
      <c r="G25" s="18"/>
    </row>
    <row r="26" spans="2:11">
      <c r="B26" s="146"/>
      <c r="C26" s="243"/>
      <c r="D26" s="243"/>
      <c r="E26" s="243"/>
      <c r="F26" s="244"/>
    </row>
    <row r="27" spans="2:11">
      <c r="B27" s="144" t="s">
        <v>282</v>
      </c>
      <c r="C27" s="208">
        <f>+C25/C9</f>
        <v>0.18148663304545826</v>
      </c>
      <c r="D27" s="208">
        <f t="shared" ref="D27:F27" si="3">+D25/D9</f>
        <v>0.10722440226456297</v>
      </c>
      <c r="E27" s="208">
        <f t="shared" si="3"/>
        <v>0.19986226615757449</v>
      </c>
      <c r="F27" s="208">
        <f t="shared" si="3"/>
        <v>0.13188125201677961</v>
      </c>
    </row>
    <row r="28" spans="2:11">
      <c r="B28" s="146"/>
      <c r="C28" s="122"/>
      <c r="D28" s="122"/>
      <c r="E28" s="122"/>
      <c r="F28" s="123"/>
    </row>
    <row r="29" spans="2:11">
      <c r="B29" s="147"/>
    </row>
    <row r="30" spans="2:11">
      <c r="C30" s="10"/>
      <c r="D30" s="10"/>
      <c r="E30" s="10"/>
      <c r="F30" s="10"/>
    </row>
    <row r="31" spans="2:11">
      <c r="C31" s="10"/>
    </row>
    <row r="32" spans="2:11">
      <c r="B32" s="30"/>
      <c r="C32" s="18"/>
      <c r="D32" s="18"/>
      <c r="E32" s="18"/>
      <c r="F32" s="18"/>
    </row>
    <row r="33" spans="2:7">
      <c r="B33" s="31"/>
      <c r="C33" s="18"/>
      <c r="D33" s="18"/>
      <c r="E33" s="18"/>
      <c r="F33" s="18"/>
    </row>
    <row r="34" spans="2:7">
      <c r="B34" s="22"/>
    </row>
    <row r="35" spans="2:7">
      <c r="B35" s="22"/>
      <c r="C35" s="10"/>
      <c r="D35" s="10"/>
    </row>
    <row r="36" spans="2:7">
      <c r="B36" s="23"/>
    </row>
    <row r="37" spans="2:7">
      <c r="B37" s="22"/>
      <c r="C37" s="10"/>
      <c r="D37" s="10"/>
    </row>
    <row r="38" spans="2:7">
      <c r="F38" s="26"/>
      <c r="G38" s="25"/>
    </row>
    <row r="39" spans="2:7">
      <c r="B39" s="22"/>
      <c r="C39" s="10"/>
      <c r="D39" s="10"/>
    </row>
    <row r="40" spans="2:7">
      <c r="B40" s="22"/>
      <c r="C40" s="10"/>
      <c r="D40" s="10"/>
      <c r="F40" s="26"/>
    </row>
    <row r="41" spans="2:7">
      <c r="B41" s="22"/>
      <c r="C41" s="10"/>
      <c r="D41" s="10"/>
    </row>
    <row r="42" spans="2:7">
      <c r="B42" s="24"/>
      <c r="C42" s="10"/>
      <c r="D42" s="10"/>
    </row>
    <row r="43" spans="2:7">
      <c r="B43" s="24"/>
      <c r="C43" s="10"/>
      <c r="D43" s="10"/>
    </row>
    <row r="44" spans="2:7">
      <c r="B44" s="31"/>
      <c r="C44" s="10"/>
      <c r="D44" s="10"/>
    </row>
    <row r="45" spans="2:7">
      <c r="B45" s="22"/>
      <c r="C45" s="10"/>
      <c r="D45" s="10"/>
    </row>
    <row r="47" spans="2:7">
      <c r="B47" s="23"/>
    </row>
    <row r="52" spans="2:7">
      <c r="B52" s="23" t="s">
        <v>360</v>
      </c>
    </row>
    <row r="53" spans="2:7" ht="15.75" customHeight="1">
      <c r="B53" s="651" t="s">
        <v>364</v>
      </c>
      <c r="C53" s="651"/>
      <c r="D53" s="651"/>
      <c r="E53" s="651"/>
      <c r="F53" s="651"/>
      <c r="G53" s="651"/>
    </row>
    <row r="54" spans="2:7">
      <c r="B54" s="651"/>
      <c r="C54" s="651"/>
      <c r="D54" s="651"/>
      <c r="E54" s="651"/>
      <c r="F54" s="651"/>
      <c r="G54" s="651"/>
    </row>
    <row r="55" spans="2:7">
      <c r="B55" s="651"/>
      <c r="C55" s="651"/>
      <c r="D55" s="651"/>
      <c r="E55" s="651"/>
      <c r="F55" s="651"/>
      <c r="G55" s="651"/>
    </row>
    <row r="56" spans="2:7">
      <c r="B56" s="651"/>
      <c r="C56" s="651"/>
      <c r="D56" s="651"/>
      <c r="E56" s="651"/>
      <c r="F56" s="651"/>
      <c r="G56" s="651"/>
    </row>
    <row r="57" spans="2:7">
      <c r="B57" s="651"/>
      <c r="C57" s="651"/>
      <c r="D57" s="651"/>
      <c r="E57" s="651"/>
      <c r="F57" s="651"/>
      <c r="G57" s="651"/>
    </row>
    <row r="58" spans="2:7">
      <c r="B58" s="651"/>
      <c r="C58" s="651"/>
      <c r="D58" s="651"/>
      <c r="E58" s="651"/>
      <c r="F58" s="651"/>
      <c r="G58" s="651"/>
    </row>
  </sheetData>
  <mergeCells count="5">
    <mergeCell ref="B6:C6"/>
    <mergeCell ref="B5:F5"/>
    <mergeCell ref="B2:F2"/>
    <mergeCell ref="B3:F3"/>
    <mergeCell ref="B53:G58"/>
  </mergeCells>
  <pageMargins left="0.25" right="0.25"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CF140"/>
  <sheetViews>
    <sheetView topLeftCell="A79" zoomScale="90" zoomScaleNormal="90" workbookViewId="0">
      <selection activeCell="D25" sqref="D25"/>
    </sheetView>
  </sheetViews>
  <sheetFormatPr baseColWidth="10" defaultRowHeight="15.75"/>
  <cols>
    <col min="1" max="1" width="2.85546875" style="11" customWidth="1"/>
    <col min="2" max="2" width="3.42578125" style="11" customWidth="1"/>
    <col min="3" max="3" width="7.42578125" style="11" customWidth="1"/>
    <col min="4" max="4" width="23.42578125" style="11" customWidth="1"/>
    <col min="5" max="5" width="2.140625" style="11" customWidth="1"/>
    <col min="6" max="6" width="3" style="11" customWidth="1"/>
    <col min="7" max="7" width="6.28515625" style="11" customWidth="1"/>
    <col min="8" max="8" width="18.28515625" style="11" customWidth="1"/>
    <col min="9" max="10" width="2.28515625" style="11" customWidth="1"/>
    <col min="11" max="11" width="8.42578125" style="11" customWidth="1"/>
    <col min="12" max="12" width="20.28515625" style="11" bestFit="1" customWidth="1"/>
    <col min="13" max="13" width="2.5703125" style="11" customWidth="1"/>
    <col min="14" max="14" width="2" style="11" customWidth="1"/>
    <col min="15" max="15" width="13.28515625" style="11" customWidth="1"/>
    <col min="16" max="16" width="19.28515625" style="11" bestFit="1" customWidth="1"/>
    <col min="17" max="17" width="2.5703125" style="11" customWidth="1"/>
    <col min="18" max="18" width="7.5703125" style="11" customWidth="1"/>
    <col min="19" max="19" width="12.140625" style="11" customWidth="1"/>
    <col min="20" max="20" width="19.28515625" style="11" bestFit="1" customWidth="1"/>
    <col min="21" max="21" width="4.28515625" style="11" customWidth="1"/>
    <col min="22" max="22" width="11.42578125" style="11"/>
    <col min="23" max="23" width="4.85546875" style="11" customWidth="1"/>
    <col min="24" max="24" width="11.42578125" style="11"/>
    <col min="25" max="25" width="16.5703125" style="11" customWidth="1"/>
    <col min="26" max="28" width="11.42578125" style="11"/>
    <col min="29" max="29" width="10.5703125" style="11" bestFit="1" customWidth="1"/>
    <col min="30" max="32" width="11.42578125" style="11"/>
    <col min="33" max="33" width="17.85546875" style="11" bestFit="1" customWidth="1"/>
    <col min="34" max="36" width="11.42578125" style="11"/>
    <col min="37" max="37" width="17.85546875" style="11" bestFit="1" customWidth="1"/>
    <col min="38" max="40" width="11.42578125" style="11"/>
    <col min="41" max="41" width="18.42578125" style="11" customWidth="1"/>
    <col min="42" max="42" width="4.85546875" style="11" customWidth="1"/>
    <col min="43" max="43" width="11.42578125" style="11"/>
    <col min="44" max="44" width="4.28515625" style="11" customWidth="1"/>
    <col min="45" max="45" width="11.42578125" style="11"/>
    <col min="46" max="46" width="13.5703125" style="11" customWidth="1"/>
    <col min="47" max="53" width="11.42578125" style="11"/>
    <col min="54" max="54" width="17.42578125" style="11" bestFit="1" customWidth="1"/>
    <col min="55" max="56" width="11.42578125" style="11"/>
    <col min="57" max="57" width="11.42578125" style="11" customWidth="1"/>
    <col min="58" max="58" width="17.85546875" style="11" bestFit="1" customWidth="1"/>
    <col min="59" max="61" width="11.42578125" style="11"/>
    <col min="62" max="62" width="17.85546875" style="11" customWidth="1"/>
    <col min="63" max="63" width="3.85546875" style="11" customWidth="1"/>
    <col min="64" max="64" width="11.28515625" style="11" customWidth="1"/>
    <col min="65" max="65" width="4.140625" style="11" customWidth="1"/>
    <col min="66" max="74" width="11.42578125" style="11"/>
    <col min="75" max="75" width="17.85546875" style="11" bestFit="1" customWidth="1"/>
    <col min="76" max="76" width="11.42578125" style="11" customWidth="1"/>
    <col min="77" max="78" width="11.42578125" style="11"/>
    <col min="79" max="79" width="17.85546875" style="11" bestFit="1" customWidth="1"/>
    <col min="80" max="82" width="11.42578125" style="11"/>
    <col min="83" max="83" width="17.85546875" style="11" bestFit="1" customWidth="1"/>
    <col min="84" max="84" width="3.7109375" style="11" customWidth="1"/>
    <col min="85" max="253" width="11.42578125" style="11"/>
    <col min="254" max="254" width="2.85546875" style="11" customWidth="1"/>
    <col min="255" max="255" width="3.42578125" style="11" customWidth="1"/>
    <col min="256" max="256" width="7.42578125" style="11" customWidth="1"/>
    <col min="257" max="257" width="14.28515625" style="11" customWidth="1"/>
    <col min="258" max="258" width="2.140625" style="11" customWidth="1"/>
    <col min="259" max="259" width="3" style="11" customWidth="1"/>
    <col min="260" max="260" width="6.28515625" style="11" customWidth="1"/>
    <col min="261" max="261" width="13.28515625" style="11" customWidth="1"/>
    <col min="262" max="263" width="2.28515625" style="11" customWidth="1"/>
    <col min="264" max="264" width="8.42578125" style="11" customWidth="1"/>
    <col min="265" max="265" width="10.85546875" style="11" customWidth="1"/>
    <col min="266" max="266" width="2.5703125" style="11" customWidth="1"/>
    <col min="267" max="267" width="2" style="11" customWidth="1"/>
    <col min="268" max="268" width="13.28515625" style="11" customWidth="1"/>
    <col min="269" max="269" width="14.7109375" style="11" customWidth="1"/>
    <col min="270" max="270" width="2.5703125" style="11" customWidth="1"/>
    <col min="271" max="271" width="7.5703125" style="11" customWidth="1"/>
    <col min="272" max="272" width="12.140625" style="11" customWidth="1"/>
    <col min="273" max="273" width="15.28515625" style="11" customWidth="1"/>
    <col min="274" max="275" width="2.5703125" style="11" customWidth="1"/>
    <col min="276" max="276" width="8.28515625" style="11" customWidth="1"/>
    <col min="277" max="277" width="15" style="11" customWidth="1"/>
    <col min="278" max="509" width="11.42578125" style="11"/>
    <col min="510" max="510" width="2.85546875" style="11" customWidth="1"/>
    <col min="511" max="511" width="3.42578125" style="11" customWidth="1"/>
    <col min="512" max="512" width="7.42578125" style="11" customWidth="1"/>
    <col min="513" max="513" width="14.28515625" style="11" customWidth="1"/>
    <col min="514" max="514" width="2.140625" style="11" customWidth="1"/>
    <col min="515" max="515" width="3" style="11" customWidth="1"/>
    <col min="516" max="516" width="6.28515625" style="11" customWidth="1"/>
    <col min="517" max="517" width="13.28515625" style="11" customWidth="1"/>
    <col min="518" max="519" width="2.28515625" style="11" customWidth="1"/>
    <col min="520" max="520" width="8.42578125" style="11" customWidth="1"/>
    <col min="521" max="521" width="10.85546875" style="11" customWidth="1"/>
    <col min="522" max="522" width="2.5703125" style="11" customWidth="1"/>
    <col min="523" max="523" width="2" style="11" customWidth="1"/>
    <col min="524" max="524" width="13.28515625" style="11" customWidth="1"/>
    <col min="525" max="525" width="14.7109375" style="11" customWidth="1"/>
    <col min="526" max="526" width="2.5703125" style="11" customWidth="1"/>
    <col min="527" max="527" width="7.5703125" style="11" customWidth="1"/>
    <col min="528" max="528" width="12.140625" style="11" customWidth="1"/>
    <col min="529" max="529" width="15.28515625" style="11" customWidth="1"/>
    <col min="530" max="531" width="2.5703125" style="11" customWidth="1"/>
    <col min="532" max="532" width="8.28515625" style="11" customWidth="1"/>
    <col min="533" max="533" width="15" style="11" customWidth="1"/>
    <col min="534" max="765" width="11.42578125" style="11"/>
    <col min="766" max="766" width="2.85546875" style="11" customWidth="1"/>
    <col min="767" max="767" width="3.42578125" style="11" customWidth="1"/>
    <col min="768" max="768" width="7.42578125" style="11" customWidth="1"/>
    <col min="769" max="769" width="14.28515625" style="11" customWidth="1"/>
    <col min="770" max="770" width="2.140625" style="11" customWidth="1"/>
    <col min="771" max="771" width="3" style="11" customWidth="1"/>
    <col min="772" max="772" width="6.28515625" style="11" customWidth="1"/>
    <col min="773" max="773" width="13.28515625" style="11" customWidth="1"/>
    <col min="774" max="775" width="2.28515625" style="11" customWidth="1"/>
    <col min="776" max="776" width="8.42578125" style="11" customWidth="1"/>
    <col min="777" max="777" width="10.85546875" style="11" customWidth="1"/>
    <col min="778" max="778" width="2.5703125" style="11" customWidth="1"/>
    <col min="779" max="779" width="2" style="11" customWidth="1"/>
    <col min="780" max="780" width="13.28515625" style="11" customWidth="1"/>
    <col min="781" max="781" width="14.7109375" style="11" customWidth="1"/>
    <col min="782" max="782" width="2.5703125" style="11" customWidth="1"/>
    <col min="783" max="783" width="7.5703125" style="11" customWidth="1"/>
    <col min="784" max="784" width="12.140625" style="11" customWidth="1"/>
    <col min="785" max="785" width="15.28515625" style="11" customWidth="1"/>
    <col min="786" max="787" width="2.5703125" style="11" customWidth="1"/>
    <col min="788" max="788" width="8.28515625" style="11" customWidth="1"/>
    <col min="789" max="789" width="15" style="11" customWidth="1"/>
    <col min="790" max="1021" width="11.42578125" style="11"/>
    <col min="1022" max="1022" width="2.85546875" style="11" customWidth="1"/>
    <col min="1023" max="1023" width="3.42578125" style="11" customWidth="1"/>
    <col min="1024" max="1024" width="7.42578125" style="11" customWidth="1"/>
    <col min="1025" max="1025" width="14.28515625" style="11" customWidth="1"/>
    <col min="1026" max="1026" width="2.140625" style="11" customWidth="1"/>
    <col min="1027" max="1027" width="3" style="11" customWidth="1"/>
    <col min="1028" max="1028" width="6.28515625" style="11" customWidth="1"/>
    <col min="1029" max="1029" width="13.28515625" style="11" customWidth="1"/>
    <col min="1030" max="1031" width="2.28515625" style="11" customWidth="1"/>
    <col min="1032" max="1032" width="8.42578125" style="11" customWidth="1"/>
    <col min="1033" max="1033" width="10.85546875" style="11" customWidth="1"/>
    <col min="1034" max="1034" width="2.5703125" style="11" customWidth="1"/>
    <col min="1035" max="1035" width="2" style="11" customWidth="1"/>
    <col min="1036" max="1036" width="13.28515625" style="11" customWidth="1"/>
    <col min="1037" max="1037" width="14.7109375" style="11" customWidth="1"/>
    <col min="1038" max="1038" width="2.5703125" style="11" customWidth="1"/>
    <col min="1039" max="1039" width="7.5703125" style="11" customWidth="1"/>
    <col min="1040" max="1040" width="12.140625" style="11" customWidth="1"/>
    <col min="1041" max="1041" width="15.28515625" style="11" customWidth="1"/>
    <col min="1042" max="1043" width="2.5703125" style="11" customWidth="1"/>
    <col min="1044" max="1044" width="8.28515625" style="11" customWidth="1"/>
    <col min="1045" max="1045" width="15" style="11" customWidth="1"/>
    <col min="1046" max="1277" width="11.42578125" style="11"/>
    <col min="1278" max="1278" width="2.85546875" style="11" customWidth="1"/>
    <col min="1279" max="1279" width="3.42578125" style="11" customWidth="1"/>
    <col min="1280" max="1280" width="7.42578125" style="11" customWidth="1"/>
    <col min="1281" max="1281" width="14.28515625" style="11" customWidth="1"/>
    <col min="1282" max="1282" width="2.140625" style="11" customWidth="1"/>
    <col min="1283" max="1283" width="3" style="11" customWidth="1"/>
    <col min="1284" max="1284" width="6.28515625" style="11" customWidth="1"/>
    <col min="1285" max="1285" width="13.28515625" style="11" customWidth="1"/>
    <col min="1286" max="1287" width="2.28515625" style="11" customWidth="1"/>
    <col min="1288" max="1288" width="8.42578125" style="11" customWidth="1"/>
    <col min="1289" max="1289" width="10.85546875" style="11" customWidth="1"/>
    <col min="1290" max="1290" width="2.5703125" style="11" customWidth="1"/>
    <col min="1291" max="1291" width="2" style="11" customWidth="1"/>
    <col min="1292" max="1292" width="13.28515625" style="11" customWidth="1"/>
    <col min="1293" max="1293" width="14.7109375" style="11" customWidth="1"/>
    <col min="1294" max="1294" width="2.5703125" style="11" customWidth="1"/>
    <col min="1295" max="1295" width="7.5703125" style="11" customWidth="1"/>
    <col min="1296" max="1296" width="12.140625" style="11" customWidth="1"/>
    <col min="1297" max="1297" width="15.28515625" style="11" customWidth="1"/>
    <col min="1298" max="1299" width="2.5703125" style="11" customWidth="1"/>
    <col min="1300" max="1300" width="8.28515625" style="11" customWidth="1"/>
    <col min="1301" max="1301" width="15" style="11" customWidth="1"/>
    <col min="1302" max="1533" width="11.42578125" style="11"/>
    <col min="1534" max="1534" width="2.85546875" style="11" customWidth="1"/>
    <col min="1535" max="1535" width="3.42578125" style="11" customWidth="1"/>
    <col min="1536" max="1536" width="7.42578125" style="11" customWidth="1"/>
    <col min="1537" max="1537" width="14.28515625" style="11" customWidth="1"/>
    <col min="1538" max="1538" width="2.140625" style="11" customWidth="1"/>
    <col min="1539" max="1539" width="3" style="11" customWidth="1"/>
    <col min="1540" max="1540" width="6.28515625" style="11" customWidth="1"/>
    <col min="1541" max="1541" width="13.28515625" style="11" customWidth="1"/>
    <col min="1542" max="1543" width="2.28515625" style="11" customWidth="1"/>
    <col min="1544" max="1544" width="8.42578125" style="11" customWidth="1"/>
    <col min="1545" max="1545" width="10.85546875" style="11" customWidth="1"/>
    <col min="1546" max="1546" width="2.5703125" style="11" customWidth="1"/>
    <col min="1547" max="1547" width="2" style="11" customWidth="1"/>
    <col min="1548" max="1548" width="13.28515625" style="11" customWidth="1"/>
    <col min="1549" max="1549" width="14.7109375" style="11" customWidth="1"/>
    <col min="1550" max="1550" width="2.5703125" style="11" customWidth="1"/>
    <col min="1551" max="1551" width="7.5703125" style="11" customWidth="1"/>
    <col min="1552" max="1552" width="12.140625" style="11" customWidth="1"/>
    <col min="1553" max="1553" width="15.28515625" style="11" customWidth="1"/>
    <col min="1554" max="1555" width="2.5703125" style="11" customWidth="1"/>
    <col min="1556" max="1556" width="8.28515625" style="11" customWidth="1"/>
    <col min="1557" max="1557" width="15" style="11" customWidth="1"/>
    <col min="1558" max="1789" width="11.42578125" style="11"/>
    <col min="1790" max="1790" width="2.85546875" style="11" customWidth="1"/>
    <col min="1791" max="1791" width="3.42578125" style="11" customWidth="1"/>
    <col min="1792" max="1792" width="7.42578125" style="11" customWidth="1"/>
    <col min="1793" max="1793" width="14.28515625" style="11" customWidth="1"/>
    <col min="1794" max="1794" width="2.140625" style="11" customWidth="1"/>
    <col min="1795" max="1795" width="3" style="11" customWidth="1"/>
    <col min="1796" max="1796" width="6.28515625" style="11" customWidth="1"/>
    <col min="1797" max="1797" width="13.28515625" style="11" customWidth="1"/>
    <col min="1798" max="1799" width="2.28515625" style="11" customWidth="1"/>
    <col min="1800" max="1800" width="8.42578125" style="11" customWidth="1"/>
    <col min="1801" max="1801" width="10.85546875" style="11" customWidth="1"/>
    <col min="1802" max="1802" width="2.5703125" style="11" customWidth="1"/>
    <col min="1803" max="1803" width="2" style="11" customWidth="1"/>
    <col min="1804" max="1804" width="13.28515625" style="11" customWidth="1"/>
    <col min="1805" max="1805" width="14.7109375" style="11" customWidth="1"/>
    <col min="1806" max="1806" width="2.5703125" style="11" customWidth="1"/>
    <col min="1807" max="1807" width="7.5703125" style="11" customWidth="1"/>
    <col min="1808" max="1808" width="12.140625" style="11" customWidth="1"/>
    <col min="1809" max="1809" width="15.28515625" style="11" customWidth="1"/>
    <col min="1810" max="1811" width="2.5703125" style="11" customWidth="1"/>
    <col min="1812" max="1812" width="8.28515625" style="11" customWidth="1"/>
    <col min="1813" max="1813" width="15" style="11" customWidth="1"/>
    <col min="1814" max="2045" width="11.42578125" style="11"/>
    <col min="2046" max="2046" width="2.85546875" style="11" customWidth="1"/>
    <col min="2047" max="2047" width="3.42578125" style="11" customWidth="1"/>
    <col min="2048" max="2048" width="7.42578125" style="11" customWidth="1"/>
    <col min="2049" max="2049" width="14.28515625" style="11" customWidth="1"/>
    <col min="2050" max="2050" width="2.140625" style="11" customWidth="1"/>
    <col min="2051" max="2051" width="3" style="11" customWidth="1"/>
    <col min="2052" max="2052" width="6.28515625" style="11" customWidth="1"/>
    <col min="2053" max="2053" width="13.28515625" style="11" customWidth="1"/>
    <col min="2054" max="2055" width="2.28515625" style="11" customWidth="1"/>
    <col min="2056" max="2056" width="8.42578125" style="11" customWidth="1"/>
    <col min="2057" max="2057" width="10.85546875" style="11" customWidth="1"/>
    <col min="2058" max="2058" width="2.5703125" style="11" customWidth="1"/>
    <col min="2059" max="2059" width="2" style="11" customWidth="1"/>
    <col min="2060" max="2060" width="13.28515625" style="11" customWidth="1"/>
    <col min="2061" max="2061" width="14.7109375" style="11" customWidth="1"/>
    <col min="2062" max="2062" width="2.5703125" style="11" customWidth="1"/>
    <col min="2063" max="2063" width="7.5703125" style="11" customWidth="1"/>
    <col min="2064" max="2064" width="12.140625" style="11" customWidth="1"/>
    <col min="2065" max="2065" width="15.28515625" style="11" customWidth="1"/>
    <col min="2066" max="2067" width="2.5703125" style="11" customWidth="1"/>
    <col min="2068" max="2068" width="8.28515625" style="11" customWidth="1"/>
    <col min="2069" max="2069" width="15" style="11" customWidth="1"/>
    <col min="2070" max="2301" width="11.42578125" style="11"/>
    <col min="2302" max="2302" width="2.85546875" style="11" customWidth="1"/>
    <col min="2303" max="2303" width="3.42578125" style="11" customWidth="1"/>
    <col min="2304" max="2304" width="7.42578125" style="11" customWidth="1"/>
    <col min="2305" max="2305" width="14.28515625" style="11" customWidth="1"/>
    <col min="2306" max="2306" width="2.140625" style="11" customWidth="1"/>
    <col min="2307" max="2307" width="3" style="11" customWidth="1"/>
    <col min="2308" max="2308" width="6.28515625" style="11" customWidth="1"/>
    <col min="2309" max="2309" width="13.28515625" style="11" customWidth="1"/>
    <col min="2310" max="2311" width="2.28515625" style="11" customWidth="1"/>
    <col min="2312" max="2312" width="8.42578125" style="11" customWidth="1"/>
    <col min="2313" max="2313" width="10.85546875" style="11" customWidth="1"/>
    <col min="2314" max="2314" width="2.5703125" style="11" customWidth="1"/>
    <col min="2315" max="2315" width="2" style="11" customWidth="1"/>
    <col min="2316" max="2316" width="13.28515625" style="11" customWidth="1"/>
    <col min="2317" max="2317" width="14.7109375" style="11" customWidth="1"/>
    <col min="2318" max="2318" width="2.5703125" style="11" customWidth="1"/>
    <col min="2319" max="2319" width="7.5703125" style="11" customWidth="1"/>
    <col min="2320" max="2320" width="12.140625" style="11" customWidth="1"/>
    <col min="2321" max="2321" width="15.28515625" style="11" customWidth="1"/>
    <col min="2322" max="2323" width="2.5703125" style="11" customWidth="1"/>
    <col min="2324" max="2324" width="8.28515625" style="11" customWidth="1"/>
    <col min="2325" max="2325" width="15" style="11" customWidth="1"/>
    <col min="2326" max="2557" width="11.42578125" style="11"/>
    <col min="2558" max="2558" width="2.85546875" style="11" customWidth="1"/>
    <col min="2559" max="2559" width="3.42578125" style="11" customWidth="1"/>
    <col min="2560" max="2560" width="7.42578125" style="11" customWidth="1"/>
    <col min="2561" max="2561" width="14.28515625" style="11" customWidth="1"/>
    <col min="2562" max="2562" width="2.140625" style="11" customWidth="1"/>
    <col min="2563" max="2563" width="3" style="11" customWidth="1"/>
    <col min="2564" max="2564" width="6.28515625" style="11" customWidth="1"/>
    <col min="2565" max="2565" width="13.28515625" style="11" customWidth="1"/>
    <col min="2566" max="2567" width="2.28515625" style="11" customWidth="1"/>
    <col min="2568" max="2568" width="8.42578125" style="11" customWidth="1"/>
    <col min="2569" max="2569" width="10.85546875" style="11" customWidth="1"/>
    <col min="2570" max="2570" width="2.5703125" style="11" customWidth="1"/>
    <col min="2571" max="2571" width="2" style="11" customWidth="1"/>
    <col min="2572" max="2572" width="13.28515625" style="11" customWidth="1"/>
    <col min="2573" max="2573" width="14.7109375" style="11" customWidth="1"/>
    <col min="2574" max="2574" width="2.5703125" style="11" customWidth="1"/>
    <col min="2575" max="2575" width="7.5703125" style="11" customWidth="1"/>
    <col min="2576" max="2576" width="12.140625" style="11" customWidth="1"/>
    <col min="2577" max="2577" width="15.28515625" style="11" customWidth="1"/>
    <col min="2578" max="2579" width="2.5703125" style="11" customWidth="1"/>
    <col min="2580" max="2580" width="8.28515625" style="11" customWidth="1"/>
    <col min="2581" max="2581" width="15" style="11" customWidth="1"/>
    <col min="2582" max="2813" width="11.42578125" style="11"/>
    <col min="2814" max="2814" width="2.85546875" style="11" customWidth="1"/>
    <col min="2815" max="2815" width="3.42578125" style="11" customWidth="1"/>
    <col min="2816" max="2816" width="7.42578125" style="11" customWidth="1"/>
    <col min="2817" max="2817" width="14.28515625" style="11" customWidth="1"/>
    <col min="2818" max="2818" width="2.140625" style="11" customWidth="1"/>
    <col min="2819" max="2819" width="3" style="11" customWidth="1"/>
    <col min="2820" max="2820" width="6.28515625" style="11" customWidth="1"/>
    <col min="2821" max="2821" width="13.28515625" style="11" customWidth="1"/>
    <col min="2822" max="2823" width="2.28515625" style="11" customWidth="1"/>
    <col min="2824" max="2824" width="8.42578125" style="11" customWidth="1"/>
    <col min="2825" max="2825" width="10.85546875" style="11" customWidth="1"/>
    <col min="2826" max="2826" width="2.5703125" style="11" customWidth="1"/>
    <col min="2827" max="2827" width="2" style="11" customWidth="1"/>
    <col min="2828" max="2828" width="13.28515625" style="11" customWidth="1"/>
    <col min="2829" max="2829" width="14.7109375" style="11" customWidth="1"/>
    <col min="2830" max="2830" width="2.5703125" style="11" customWidth="1"/>
    <col min="2831" max="2831" width="7.5703125" style="11" customWidth="1"/>
    <col min="2832" max="2832" width="12.140625" style="11" customWidth="1"/>
    <col min="2833" max="2833" width="15.28515625" style="11" customWidth="1"/>
    <col min="2834" max="2835" width="2.5703125" style="11" customWidth="1"/>
    <col min="2836" max="2836" width="8.28515625" style="11" customWidth="1"/>
    <col min="2837" max="2837" width="15" style="11" customWidth="1"/>
    <col min="2838" max="3069" width="11.42578125" style="11"/>
    <col min="3070" max="3070" width="2.85546875" style="11" customWidth="1"/>
    <col min="3071" max="3071" width="3.42578125" style="11" customWidth="1"/>
    <col min="3072" max="3072" width="7.42578125" style="11" customWidth="1"/>
    <col min="3073" max="3073" width="14.28515625" style="11" customWidth="1"/>
    <col min="3074" max="3074" width="2.140625" style="11" customWidth="1"/>
    <col min="3075" max="3075" width="3" style="11" customWidth="1"/>
    <col min="3076" max="3076" width="6.28515625" style="11" customWidth="1"/>
    <col min="3077" max="3077" width="13.28515625" style="11" customWidth="1"/>
    <col min="3078" max="3079" width="2.28515625" style="11" customWidth="1"/>
    <col min="3080" max="3080" width="8.42578125" style="11" customWidth="1"/>
    <col min="3081" max="3081" width="10.85546875" style="11" customWidth="1"/>
    <col min="3082" max="3082" width="2.5703125" style="11" customWidth="1"/>
    <col min="3083" max="3083" width="2" style="11" customWidth="1"/>
    <col min="3084" max="3084" width="13.28515625" style="11" customWidth="1"/>
    <col min="3085" max="3085" width="14.7109375" style="11" customWidth="1"/>
    <col min="3086" max="3086" width="2.5703125" style="11" customWidth="1"/>
    <col min="3087" max="3087" width="7.5703125" style="11" customWidth="1"/>
    <col min="3088" max="3088" width="12.140625" style="11" customWidth="1"/>
    <col min="3089" max="3089" width="15.28515625" style="11" customWidth="1"/>
    <col min="3090" max="3091" width="2.5703125" style="11" customWidth="1"/>
    <col min="3092" max="3092" width="8.28515625" style="11" customWidth="1"/>
    <col min="3093" max="3093" width="15" style="11" customWidth="1"/>
    <col min="3094" max="3325" width="11.42578125" style="11"/>
    <col min="3326" max="3326" width="2.85546875" style="11" customWidth="1"/>
    <col min="3327" max="3327" width="3.42578125" style="11" customWidth="1"/>
    <col min="3328" max="3328" width="7.42578125" style="11" customWidth="1"/>
    <col min="3329" max="3329" width="14.28515625" style="11" customWidth="1"/>
    <col min="3330" max="3330" width="2.140625" style="11" customWidth="1"/>
    <col min="3331" max="3331" width="3" style="11" customWidth="1"/>
    <col min="3332" max="3332" width="6.28515625" style="11" customWidth="1"/>
    <col min="3333" max="3333" width="13.28515625" style="11" customWidth="1"/>
    <col min="3334" max="3335" width="2.28515625" style="11" customWidth="1"/>
    <col min="3336" max="3336" width="8.42578125" style="11" customWidth="1"/>
    <col min="3337" max="3337" width="10.85546875" style="11" customWidth="1"/>
    <col min="3338" max="3338" width="2.5703125" style="11" customWidth="1"/>
    <col min="3339" max="3339" width="2" style="11" customWidth="1"/>
    <col min="3340" max="3340" width="13.28515625" style="11" customWidth="1"/>
    <col min="3341" max="3341" width="14.7109375" style="11" customWidth="1"/>
    <col min="3342" max="3342" width="2.5703125" style="11" customWidth="1"/>
    <col min="3343" max="3343" width="7.5703125" style="11" customWidth="1"/>
    <col min="3344" max="3344" width="12.140625" style="11" customWidth="1"/>
    <col min="3345" max="3345" width="15.28515625" style="11" customWidth="1"/>
    <col min="3346" max="3347" width="2.5703125" style="11" customWidth="1"/>
    <col min="3348" max="3348" width="8.28515625" style="11" customWidth="1"/>
    <col min="3349" max="3349" width="15" style="11" customWidth="1"/>
    <col min="3350" max="3581" width="11.42578125" style="11"/>
    <col min="3582" max="3582" width="2.85546875" style="11" customWidth="1"/>
    <col min="3583" max="3583" width="3.42578125" style="11" customWidth="1"/>
    <col min="3584" max="3584" width="7.42578125" style="11" customWidth="1"/>
    <col min="3585" max="3585" width="14.28515625" style="11" customWidth="1"/>
    <col min="3586" max="3586" width="2.140625" style="11" customWidth="1"/>
    <col min="3587" max="3587" width="3" style="11" customWidth="1"/>
    <col min="3588" max="3588" width="6.28515625" style="11" customWidth="1"/>
    <col min="3589" max="3589" width="13.28515625" style="11" customWidth="1"/>
    <col min="3590" max="3591" width="2.28515625" style="11" customWidth="1"/>
    <col min="3592" max="3592" width="8.42578125" style="11" customWidth="1"/>
    <col min="3593" max="3593" width="10.85546875" style="11" customWidth="1"/>
    <col min="3594" max="3594" width="2.5703125" style="11" customWidth="1"/>
    <col min="3595" max="3595" width="2" style="11" customWidth="1"/>
    <col min="3596" max="3596" width="13.28515625" style="11" customWidth="1"/>
    <col min="3597" max="3597" width="14.7109375" style="11" customWidth="1"/>
    <col min="3598" max="3598" width="2.5703125" style="11" customWidth="1"/>
    <col min="3599" max="3599" width="7.5703125" style="11" customWidth="1"/>
    <col min="3600" max="3600" width="12.140625" style="11" customWidth="1"/>
    <col min="3601" max="3601" width="15.28515625" style="11" customWidth="1"/>
    <col min="3602" max="3603" width="2.5703125" style="11" customWidth="1"/>
    <col min="3604" max="3604" width="8.28515625" style="11" customWidth="1"/>
    <col min="3605" max="3605" width="15" style="11" customWidth="1"/>
    <col min="3606" max="3837" width="11.42578125" style="11"/>
    <col min="3838" max="3838" width="2.85546875" style="11" customWidth="1"/>
    <col min="3839" max="3839" width="3.42578125" style="11" customWidth="1"/>
    <col min="3840" max="3840" width="7.42578125" style="11" customWidth="1"/>
    <col min="3841" max="3841" width="14.28515625" style="11" customWidth="1"/>
    <col min="3842" max="3842" width="2.140625" style="11" customWidth="1"/>
    <col min="3843" max="3843" width="3" style="11" customWidth="1"/>
    <col min="3844" max="3844" width="6.28515625" style="11" customWidth="1"/>
    <col min="3845" max="3845" width="13.28515625" style="11" customWidth="1"/>
    <col min="3846" max="3847" width="2.28515625" style="11" customWidth="1"/>
    <col min="3848" max="3848" width="8.42578125" style="11" customWidth="1"/>
    <col min="3849" max="3849" width="10.85546875" style="11" customWidth="1"/>
    <col min="3850" max="3850" width="2.5703125" style="11" customWidth="1"/>
    <col min="3851" max="3851" width="2" style="11" customWidth="1"/>
    <col min="3852" max="3852" width="13.28515625" style="11" customWidth="1"/>
    <col min="3853" max="3853" width="14.7109375" style="11" customWidth="1"/>
    <col min="3854" max="3854" width="2.5703125" style="11" customWidth="1"/>
    <col min="3855" max="3855" width="7.5703125" style="11" customWidth="1"/>
    <col min="3856" max="3856" width="12.140625" style="11" customWidth="1"/>
    <col min="3857" max="3857" width="15.28515625" style="11" customWidth="1"/>
    <col min="3858" max="3859" width="2.5703125" style="11" customWidth="1"/>
    <col min="3860" max="3860" width="8.28515625" style="11" customWidth="1"/>
    <col min="3861" max="3861" width="15" style="11" customWidth="1"/>
    <col min="3862" max="4093" width="11.42578125" style="11"/>
    <col min="4094" max="4094" width="2.85546875" style="11" customWidth="1"/>
    <col min="4095" max="4095" width="3.42578125" style="11" customWidth="1"/>
    <col min="4096" max="4096" width="7.42578125" style="11" customWidth="1"/>
    <col min="4097" max="4097" width="14.28515625" style="11" customWidth="1"/>
    <col min="4098" max="4098" width="2.140625" style="11" customWidth="1"/>
    <col min="4099" max="4099" width="3" style="11" customWidth="1"/>
    <col min="4100" max="4100" width="6.28515625" style="11" customWidth="1"/>
    <col min="4101" max="4101" width="13.28515625" style="11" customWidth="1"/>
    <col min="4102" max="4103" width="2.28515625" style="11" customWidth="1"/>
    <col min="4104" max="4104" width="8.42578125" style="11" customWidth="1"/>
    <col min="4105" max="4105" width="10.85546875" style="11" customWidth="1"/>
    <col min="4106" max="4106" width="2.5703125" style="11" customWidth="1"/>
    <col min="4107" max="4107" width="2" style="11" customWidth="1"/>
    <col min="4108" max="4108" width="13.28515625" style="11" customWidth="1"/>
    <col min="4109" max="4109" width="14.7109375" style="11" customWidth="1"/>
    <col min="4110" max="4110" width="2.5703125" style="11" customWidth="1"/>
    <col min="4111" max="4111" width="7.5703125" style="11" customWidth="1"/>
    <col min="4112" max="4112" width="12.140625" style="11" customWidth="1"/>
    <col min="4113" max="4113" width="15.28515625" style="11" customWidth="1"/>
    <col min="4114" max="4115" width="2.5703125" style="11" customWidth="1"/>
    <col min="4116" max="4116" width="8.28515625" style="11" customWidth="1"/>
    <col min="4117" max="4117" width="15" style="11" customWidth="1"/>
    <col min="4118" max="4349" width="11.42578125" style="11"/>
    <col min="4350" max="4350" width="2.85546875" style="11" customWidth="1"/>
    <col min="4351" max="4351" width="3.42578125" style="11" customWidth="1"/>
    <col min="4352" max="4352" width="7.42578125" style="11" customWidth="1"/>
    <col min="4353" max="4353" width="14.28515625" style="11" customWidth="1"/>
    <col min="4354" max="4354" width="2.140625" style="11" customWidth="1"/>
    <col min="4355" max="4355" width="3" style="11" customWidth="1"/>
    <col min="4356" max="4356" width="6.28515625" style="11" customWidth="1"/>
    <col min="4357" max="4357" width="13.28515625" style="11" customWidth="1"/>
    <col min="4358" max="4359" width="2.28515625" style="11" customWidth="1"/>
    <col min="4360" max="4360" width="8.42578125" style="11" customWidth="1"/>
    <col min="4361" max="4361" width="10.85546875" style="11" customWidth="1"/>
    <col min="4362" max="4362" width="2.5703125" style="11" customWidth="1"/>
    <col min="4363" max="4363" width="2" style="11" customWidth="1"/>
    <col min="4364" max="4364" width="13.28515625" style="11" customWidth="1"/>
    <col min="4365" max="4365" width="14.7109375" style="11" customWidth="1"/>
    <col min="4366" max="4366" width="2.5703125" style="11" customWidth="1"/>
    <col min="4367" max="4367" width="7.5703125" style="11" customWidth="1"/>
    <col min="4368" max="4368" width="12.140625" style="11" customWidth="1"/>
    <col min="4369" max="4369" width="15.28515625" style="11" customWidth="1"/>
    <col min="4370" max="4371" width="2.5703125" style="11" customWidth="1"/>
    <col min="4372" max="4372" width="8.28515625" style="11" customWidth="1"/>
    <col min="4373" max="4373" width="15" style="11" customWidth="1"/>
    <col min="4374" max="4605" width="11.42578125" style="11"/>
    <col min="4606" max="4606" width="2.85546875" style="11" customWidth="1"/>
    <col min="4607" max="4607" width="3.42578125" style="11" customWidth="1"/>
    <col min="4608" max="4608" width="7.42578125" style="11" customWidth="1"/>
    <col min="4609" max="4609" width="14.28515625" style="11" customWidth="1"/>
    <col min="4610" max="4610" width="2.140625" style="11" customWidth="1"/>
    <col min="4611" max="4611" width="3" style="11" customWidth="1"/>
    <col min="4612" max="4612" width="6.28515625" style="11" customWidth="1"/>
    <col min="4613" max="4613" width="13.28515625" style="11" customWidth="1"/>
    <col min="4614" max="4615" width="2.28515625" style="11" customWidth="1"/>
    <col min="4616" max="4616" width="8.42578125" style="11" customWidth="1"/>
    <col min="4617" max="4617" width="10.85546875" style="11" customWidth="1"/>
    <col min="4618" max="4618" width="2.5703125" style="11" customWidth="1"/>
    <col min="4619" max="4619" width="2" style="11" customWidth="1"/>
    <col min="4620" max="4620" width="13.28515625" style="11" customWidth="1"/>
    <col min="4621" max="4621" width="14.7109375" style="11" customWidth="1"/>
    <col min="4622" max="4622" width="2.5703125" style="11" customWidth="1"/>
    <col min="4623" max="4623" width="7.5703125" style="11" customWidth="1"/>
    <col min="4624" max="4624" width="12.140625" style="11" customWidth="1"/>
    <col min="4625" max="4625" width="15.28515625" style="11" customWidth="1"/>
    <col min="4626" max="4627" width="2.5703125" style="11" customWidth="1"/>
    <col min="4628" max="4628" width="8.28515625" style="11" customWidth="1"/>
    <col min="4629" max="4629" width="15" style="11" customWidth="1"/>
    <col min="4630" max="4861" width="11.42578125" style="11"/>
    <col min="4862" max="4862" width="2.85546875" style="11" customWidth="1"/>
    <col min="4863" max="4863" width="3.42578125" style="11" customWidth="1"/>
    <col min="4864" max="4864" width="7.42578125" style="11" customWidth="1"/>
    <col min="4865" max="4865" width="14.28515625" style="11" customWidth="1"/>
    <col min="4866" max="4866" width="2.140625" style="11" customWidth="1"/>
    <col min="4867" max="4867" width="3" style="11" customWidth="1"/>
    <col min="4868" max="4868" width="6.28515625" style="11" customWidth="1"/>
    <col min="4869" max="4869" width="13.28515625" style="11" customWidth="1"/>
    <col min="4870" max="4871" width="2.28515625" style="11" customWidth="1"/>
    <col min="4872" max="4872" width="8.42578125" style="11" customWidth="1"/>
    <col min="4873" max="4873" width="10.85546875" style="11" customWidth="1"/>
    <col min="4874" max="4874" width="2.5703125" style="11" customWidth="1"/>
    <col min="4875" max="4875" width="2" style="11" customWidth="1"/>
    <col min="4876" max="4876" width="13.28515625" style="11" customWidth="1"/>
    <col min="4877" max="4877" width="14.7109375" style="11" customWidth="1"/>
    <col min="4878" max="4878" width="2.5703125" style="11" customWidth="1"/>
    <col min="4879" max="4879" width="7.5703125" style="11" customWidth="1"/>
    <col min="4880" max="4880" width="12.140625" style="11" customWidth="1"/>
    <col min="4881" max="4881" width="15.28515625" style="11" customWidth="1"/>
    <col min="4882" max="4883" width="2.5703125" style="11" customWidth="1"/>
    <col min="4884" max="4884" width="8.28515625" style="11" customWidth="1"/>
    <col min="4885" max="4885" width="15" style="11" customWidth="1"/>
    <col min="4886" max="5117" width="11.42578125" style="11"/>
    <col min="5118" max="5118" width="2.85546875" style="11" customWidth="1"/>
    <col min="5119" max="5119" width="3.42578125" style="11" customWidth="1"/>
    <col min="5120" max="5120" width="7.42578125" style="11" customWidth="1"/>
    <col min="5121" max="5121" width="14.28515625" style="11" customWidth="1"/>
    <col min="5122" max="5122" width="2.140625" style="11" customWidth="1"/>
    <col min="5123" max="5123" width="3" style="11" customWidth="1"/>
    <col min="5124" max="5124" width="6.28515625" style="11" customWidth="1"/>
    <col min="5125" max="5125" width="13.28515625" style="11" customWidth="1"/>
    <col min="5126" max="5127" width="2.28515625" style="11" customWidth="1"/>
    <col min="5128" max="5128" width="8.42578125" style="11" customWidth="1"/>
    <col min="5129" max="5129" width="10.85546875" style="11" customWidth="1"/>
    <col min="5130" max="5130" width="2.5703125" style="11" customWidth="1"/>
    <col min="5131" max="5131" width="2" style="11" customWidth="1"/>
    <col min="5132" max="5132" width="13.28515625" style="11" customWidth="1"/>
    <col min="5133" max="5133" width="14.7109375" style="11" customWidth="1"/>
    <col min="5134" max="5134" width="2.5703125" style="11" customWidth="1"/>
    <col min="5135" max="5135" width="7.5703125" style="11" customWidth="1"/>
    <col min="5136" max="5136" width="12.140625" style="11" customWidth="1"/>
    <col min="5137" max="5137" width="15.28515625" style="11" customWidth="1"/>
    <col min="5138" max="5139" width="2.5703125" style="11" customWidth="1"/>
    <col min="5140" max="5140" width="8.28515625" style="11" customWidth="1"/>
    <col min="5141" max="5141" width="15" style="11" customWidth="1"/>
    <col min="5142" max="5373" width="11.42578125" style="11"/>
    <col min="5374" max="5374" width="2.85546875" style="11" customWidth="1"/>
    <col min="5375" max="5375" width="3.42578125" style="11" customWidth="1"/>
    <col min="5376" max="5376" width="7.42578125" style="11" customWidth="1"/>
    <col min="5377" max="5377" width="14.28515625" style="11" customWidth="1"/>
    <col min="5378" max="5378" width="2.140625" style="11" customWidth="1"/>
    <col min="5379" max="5379" width="3" style="11" customWidth="1"/>
    <col min="5380" max="5380" width="6.28515625" style="11" customWidth="1"/>
    <col min="5381" max="5381" width="13.28515625" style="11" customWidth="1"/>
    <col min="5382" max="5383" width="2.28515625" style="11" customWidth="1"/>
    <col min="5384" max="5384" width="8.42578125" style="11" customWidth="1"/>
    <col min="5385" max="5385" width="10.85546875" style="11" customWidth="1"/>
    <col min="5386" max="5386" width="2.5703125" style="11" customWidth="1"/>
    <col min="5387" max="5387" width="2" style="11" customWidth="1"/>
    <col min="5388" max="5388" width="13.28515625" style="11" customWidth="1"/>
    <col min="5389" max="5389" width="14.7109375" style="11" customWidth="1"/>
    <col min="5390" max="5390" width="2.5703125" style="11" customWidth="1"/>
    <col min="5391" max="5391" width="7.5703125" style="11" customWidth="1"/>
    <col min="5392" max="5392" width="12.140625" style="11" customWidth="1"/>
    <col min="5393" max="5393" width="15.28515625" style="11" customWidth="1"/>
    <col min="5394" max="5395" width="2.5703125" style="11" customWidth="1"/>
    <col min="5396" max="5396" width="8.28515625" style="11" customWidth="1"/>
    <col min="5397" max="5397" width="15" style="11" customWidth="1"/>
    <col min="5398" max="5629" width="11.42578125" style="11"/>
    <col min="5630" max="5630" width="2.85546875" style="11" customWidth="1"/>
    <col min="5631" max="5631" width="3.42578125" style="11" customWidth="1"/>
    <col min="5632" max="5632" width="7.42578125" style="11" customWidth="1"/>
    <col min="5633" max="5633" width="14.28515625" style="11" customWidth="1"/>
    <col min="5634" max="5634" width="2.140625" style="11" customWidth="1"/>
    <col min="5635" max="5635" width="3" style="11" customWidth="1"/>
    <col min="5636" max="5636" width="6.28515625" style="11" customWidth="1"/>
    <col min="5637" max="5637" width="13.28515625" style="11" customWidth="1"/>
    <col min="5638" max="5639" width="2.28515625" style="11" customWidth="1"/>
    <col min="5640" max="5640" width="8.42578125" style="11" customWidth="1"/>
    <col min="5641" max="5641" width="10.85546875" style="11" customWidth="1"/>
    <col min="5642" max="5642" width="2.5703125" style="11" customWidth="1"/>
    <col min="5643" max="5643" width="2" style="11" customWidth="1"/>
    <col min="5644" max="5644" width="13.28515625" style="11" customWidth="1"/>
    <col min="5645" max="5645" width="14.7109375" style="11" customWidth="1"/>
    <col min="5646" max="5646" width="2.5703125" style="11" customWidth="1"/>
    <col min="5647" max="5647" width="7.5703125" style="11" customWidth="1"/>
    <col min="5648" max="5648" width="12.140625" style="11" customWidth="1"/>
    <col min="5649" max="5649" width="15.28515625" style="11" customWidth="1"/>
    <col min="5650" max="5651" width="2.5703125" style="11" customWidth="1"/>
    <col min="5652" max="5652" width="8.28515625" style="11" customWidth="1"/>
    <col min="5653" max="5653" width="15" style="11" customWidth="1"/>
    <col min="5654" max="5885" width="11.42578125" style="11"/>
    <col min="5886" max="5886" width="2.85546875" style="11" customWidth="1"/>
    <col min="5887" max="5887" width="3.42578125" style="11" customWidth="1"/>
    <col min="5888" max="5888" width="7.42578125" style="11" customWidth="1"/>
    <col min="5889" max="5889" width="14.28515625" style="11" customWidth="1"/>
    <col min="5890" max="5890" width="2.140625" style="11" customWidth="1"/>
    <col min="5891" max="5891" width="3" style="11" customWidth="1"/>
    <col min="5892" max="5892" width="6.28515625" style="11" customWidth="1"/>
    <col min="5893" max="5893" width="13.28515625" style="11" customWidth="1"/>
    <col min="5894" max="5895" width="2.28515625" style="11" customWidth="1"/>
    <col min="5896" max="5896" width="8.42578125" style="11" customWidth="1"/>
    <col min="5897" max="5897" width="10.85546875" style="11" customWidth="1"/>
    <col min="5898" max="5898" width="2.5703125" style="11" customWidth="1"/>
    <col min="5899" max="5899" width="2" style="11" customWidth="1"/>
    <col min="5900" max="5900" width="13.28515625" style="11" customWidth="1"/>
    <col min="5901" max="5901" width="14.7109375" style="11" customWidth="1"/>
    <col min="5902" max="5902" width="2.5703125" style="11" customWidth="1"/>
    <col min="5903" max="5903" width="7.5703125" style="11" customWidth="1"/>
    <col min="5904" max="5904" width="12.140625" style="11" customWidth="1"/>
    <col min="5905" max="5905" width="15.28515625" style="11" customWidth="1"/>
    <col min="5906" max="5907" width="2.5703125" style="11" customWidth="1"/>
    <col min="5908" max="5908" width="8.28515625" style="11" customWidth="1"/>
    <col min="5909" max="5909" width="15" style="11" customWidth="1"/>
    <col min="5910" max="6141" width="11.42578125" style="11"/>
    <col min="6142" max="6142" width="2.85546875" style="11" customWidth="1"/>
    <col min="6143" max="6143" width="3.42578125" style="11" customWidth="1"/>
    <col min="6144" max="6144" width="7.42578125" style="11" customWidth="1"/>
    <col min="6145" max="6145" width="14.28515625" style="11" customWidth="1"/>
    <col min="6146" max="6146" width="2.140625" style="11" customWidth="1"/>
    <col min="6147" max="6147" width="3" style="11" customWidth="1"/>
    <col min="6148" max="6148" width="6.28515625" style="11" customWidth="1"/>
    <col min="6149" max="6149" width="13.28515625" style="11" customWidth="1"/>
    <col min="6150" max="6151" width="2.28515625" style="11" customWidth="1"/>
    <col min="6152" max="6152" width="8.42578125" style="11" customWidth="1"/>
    <col min="6153" max="6153" width="10.85546875" style="11" customWidth="1"/>
    <col min="6154" max="6154" width="2.5703125" style="11" customWidth="1"/>
    <col min="6155" max="6155" width="2" style="11" customWidth="1"/>
    <col min="6156" max="6156" width="13.28515625" style="11" customWidth="1"/>
    <col min="6157" max="6157" width="14.7109375" style="11" customWidth="1"/>
    <col min="6158" max="6158" width="2.5703125" style="11" customWidth="1"/>
    <col min="6159" max="6159" width="7.5703125" style="11" customWidth="1"/>
    <col min="6160" max="6160" width="12.140625" style="11" customWidth="1"/>
    <col min="6161" max="6161" width="15.28515625" style="11" customWidth="1"/>
    <col min="6162" max="6163" width="2.5703125" style="11" customWidth="1"/>
    <col min="6164" max="6164" width="8.28515625" style="11" customWidth="1"/>
    <col min="6165" max="6165" width="15" style="11" customWidth="1"/>
    <col min="6166" max="6397" width="11.42578125" style="11"/>
    <col min="6398" max="6398" width="2.85546875" style="11" customWidth="1"/>
    <col min="6399" max="6399" width="3.42578125" style="11" customWidth="1"/>
    <col min="6400" max="6400" width="7.42578125" style="11" customWidth="1"/>
    <col min="6401" max="6401" width="14.28515625" style="11" customWidth="1"/>
    <col min="6402" max="6402" width="2.140625" style="11" customWidth="1"/>
    <col min="6403" max="6403" width="3" style="11" customWidth="1"/>
    <col min="6404" max="6404" width="6.28515625" style="11" customWidth="1"/>
    <col min="6405" max="6405" width="13.28515625" style="11" customWidth="1"/>
    <col min="6406" max="6407" width="2.28515625" style="11" customWidth="1"/>
    <col min="6408" max="6408" width="8.42578125" style="11" customWidth="1"/>
    <col min="6409" max="6409" width="10.85546875" style="11" customWidth="1"/>
    <col min="6410" max="6410" width="2.5703125" style="11" customWidth="1"/>
    <col min="6411" max="6411" width="2" style="11" customWidth="1"/>
    <col min="6412" max="6412" width="13.28515625" style="11" customWidth="1"/>
    <col min="6413" max="6413" width="14.7109375" style="11" customWidth="1"/>
    <col min="6414" max="6414" width="2.5703125" style="11" customWidth="1"/>
    <col min="6415" max="6415" width="7.5703125" style="11" customWidth="1"/>
    <col min="6416" max="6416" width="12.140625" style="11" customWidth="1"/>
    <col min="6417" max="6417" width="15.28515625" style="11" customWidth="1"/>
    <col min="6418" max="6419" width="2.5703125" style="11" customWidth="1"/>
    <col min="6420" max="6420" width="8.28515625" style="11" customWidth="1"/>
    <col min="6421" max="6421" width="15" style="11" customWidth="1"/>
    <col min="6422" max="6653" width="11.42578125" style="11"/>
    <col min="6654" max="6654" width="2.85546875" style="11" customWidth="1"/>
    <col min="6655" max="6655" width="3.42578125" style="11" customWidth="1"/>
    <col min="6656" max="6656" width="7.42578125" style="11" customWidth="1"/>
    <col min="6657" max="6657" width="14.28515625" style="11" customWidth="1"/>
    <col min="6658" max="6658" width="2.140625" style="11" customWidth="1"/>
    <col min="6659" max="6659" width="3" style="11" customWidth="1"/>
    <col min="6660" max="6660" width="6.28515625" style="11" customWidth="1"/>
    <col min="6661" max="6661" width="13.28515625" style="11" customWidth="1"/>
    <col min="6662" max="6663" width="2.28515625" style="11" customWidth="1"/>
    <col min="6664" max="6664" width="8.42578125" style="11" customWidth="1"/>
    <col min="6665" max="6665" width="10.85546875" style="11" customWidth="1"/>
    <col min="6666" max="6666" width="2.5703125" style="11" customWidth="1"/>
    <col min="6667" max="6667" width="2" style="11" customWidth="1"/>
    <col min="6668" max="6668" width="13.28515625" style="11" customWidth="1"/>
    <col min="6669" max="6669" width="14.7109375" style="11" customWidth="1"/>
    <col min="6670" max="6670" width="2.5703125" style="11" customWidth="1"/>
    <col min="6671" max="6671" width="7.5703125" style="11" customWidth="1"/>
    <col min="6672" max="6672" width="12.140625" style="11" customWidth="1"/>
    <col min="6673" max="6673" width="15.28515625" style="11" customWidth="1"/>
    <col min="6674" max="6675" width="2.5703125" style="11" customWidth="1"/>
    <col min="6676" max="6676" width="8.28515625" style="11" customWidth="1"/>
    <col min="6677" max="6677" width="15" style="11" customWidth="1"/>
    <col min="6678" max="6909" width="11.42578125" style="11"/>
    <col min="6910" max="6910" width="2.85546875" style="11" customWidth="1"/>
    <col min="6911" max="6911" width="3.42578125" style="11" customWidth="1"/>
    <col min="6912" max="6912" width="7.42578125" style="11" customWidth="1"/>
    <col min="6913" max="6913" width="14.28515625" style="11" customWidth="1"/>
    <col min="6914" max="6914" width="2.140625" style="11" customWidth="1"/>
    <col min="6915" max="6915" width="3" style="11" customWidth="1"/>
    <col min="6916" max="6916" width="6.28515625" style="11" customWidth="1"/>
    <col min="6917" max="6917" width="13.28515625" style="11" customWidth="1"/>
    <col min="6918" max="6919" width="2.28515625" style="11" customWidth="1"/>
    <col min="6920" max="6920" width="8.42578125" style="11" customWidth="1"/>
    <col min="6921" max="6921" width="10.85546875" style="11" customWidth="1"/>
    <col min="6922" max="6922" width="2.5703125" style="11" customWidth="1"/>
    <col min="6923" max="6923" width="2" style="11" customWidth="1"/>
    <col min="6924" max="6924" width="13.28515625" style="11" customWidth="1"/>
    <col min="6925" max="6925" width="14.7109375" style="11" customWidth="1"/>
    <col min="6926" max="6926" width="2.5703125" style="11" customWidth="1"/>
    <col min="6927" max="6927" width="7.5703125" style="11" customWidth="1"/>
    <col min="6928" max="6928" width="12.140625" style="11" customWidth="1"/>
    <col min="6929" max="6929" width="15.28515625" style="11" customWidth="1"/>
    <col min="6930" max="6931" width="2.5703125" style="11" customWidth="1"/>
    <col min="6932" max="6932" width="8.28515625" style="11" customWidth="1"/>
    <col min="6933" max="6933" width="15" style="11" customWidth="1"/>
    <col min="6934" max="7165" width="11.42578125" style="11"/>
    <col min="7166" max="7166" width="2.85546875" style="11" customWidth="1"/>
    <col min="7167" max="7167" width="3.42578125" style="11" customWidth="1"/>
    <col min="7168" max="7168" width="7.42578125" style="11" customWidth="1"/>
    <col min="7169" max="7169" width="14.28515625" style="11" customWidth="1"/>
    <col min="7170" max="7170" width="2.140625" style="11" customWidth="1"/>
    <col min="7171" max="7171" width="3" style="11" customWidth="1"/>
    <col min="7172" max="7172" width="6.28515625" style="11" customWidth="1"/>
    <col min="7173" max="7173" width="13.28515625" style="11" customWidth="1"/>
    <col min="7174" max="7175" width="2.28515625" style="11" customWidth="1"/>
    <col min="7176" max="7176" width="8.42578125" style="11" customWidth="1"/>
    <col min="7177" max="7177" width="10.85546875" style="11" customWidth="1"/>
    <col min="7178" max="7178" width="2.5703125" style="11" customWidth="1"/>
    <col min="7179" max="7179" width="2" style="11" customWidth="1"/>
    <col min="7180" max="7180" width="13.28515625" style="11" customWidth="1"/>
    <col min="7181" max="7181" width="14.7109375" style="11" customWidth="1"/>
    <col min="7182" max="7182" width="2.5703125" style="11" customWidth="1"/>
    <col min="7183" max="7183" width="7.5703125" style="11" customWidth="1"/>
    <col min="7184" max="7184" width="12.140625" style="11" customWidth="1"/>
    <col min="7185" max="7185" width="15.28515625" style="11" customWidth="1"/>
    <col min="7186" max="7187" width="2.5703125" style="11" customWidth="1"/>
    <col min="7188" max="7188" width="8.28515625" style="11" customWidth="1"/>
    <col min="7189" max="7189" width="15" style="11" customWidth="1"/>
    <col min="7190" max="7421" width="11.42578125" style="11"/>
    <col min="7422" max="7422" width="2.85546875" style="11" customWidth="1"/>
    <col min="7423" max="7423" width="3.42578125" style="11" customWidth="1"/>
    <col min="7424" max="7424" width="7.42578125" style="11" customWidth="1"/>
    <col min="7425" max="7425" width="14.28515625" style="11" customWidth="1"/>
    <col min="7426" max="7426" width="2.140625" style="11" customWidth="1"/>
    <col min="7427" max="7427" width="3" style="11" customWidth="1"/>
    <col min="7428" max="7428" width="6.28515625" style="11" customWidth="1"/>
    <col min="7429" max="7429" width="13.28515625" style="11" customWidth="1"/>
    <col min="7430" max="7431" width="2.28515625" style="11" customWidth="1"/>
    <col min="7432" max="7432" width="8.42578125" style="11" customWidth="1"/>
    <col min="7433" max="7433" width="10.85546875" style="11" customWidth="1"/>
    <col min="7434" max="7434" width="2.5703125" style="11" customWidth="1"/>
    <col min="7435" max="7435" width="2" style="11" customWidth="1"/>
    <col min="7436" max="7436" width="13.28515625" style="11" customWidth="1"/>
    <col min="7437" max="7437" width="14.7109375" style="11" customWidth="1"/>
    <col min="7438" max="7438" width="2.5703125" style="11" customWidth="1"/>
    <col min="7439" max="7439" width="7.5703125" style="11" customWidth="1"/>
    <col min="7440" max="7440" width="12.140625" style="11" customWidth="1"/>
    <col min="7441" max="7441" width="15.28515625" style="11" customWidth="1"/>
    <col min="7442" max="7443" width="2.5703125" style="11" customWidth="1"/>
    <col min="7444" max="7444" width="8.28515625" style="11" customWidth="1"/>
    <col min="7445" max="7445" width="15" style="11" customWidth="1"/>
    <col min="7446" max="7677" width="11.42578125" style="11"/>
    <col min="7678" max="7678" width="2.85546875" style="11" customWidth="1"/>
    <col min="7679" max="7679" width="3.42578125" style="11" customWidth="1"/>
    <col min="7680" max="7680" width="7.42578125" style="11" customWidth="1"/>
    <col min="7681" max="7681" width="14.28515625" style="11" customWidth="1"/>
    <col min="7682" max="7682" width="2.140625" style="11" customWidth="1"/>
    <col min="7683" max="7683" width="3" style="11" customWidth="1"/>
    <col min="7684" max="7684" width="6.28515625" style="11" customWidth="1"/>
    <col min="7685" max="7685" width="13.28515625" style="11" customWidth="1"/>
    <col min="7686" max="7687" width="2.28515625" style="11" customWidth="1"/>
    <col min="7688" max="7688" width="8.42578125" style="11" customWidth="1"/>
    <col min="7689" max="7689" width="10.85546875" style="11" customWidth="1"/>
    <col min="7690" max="7690" width="2.5703125" style="11" customWidth="1"/>
    <col min="7691" max="7691" width="2" style="11" customWidth="1"/>
    <col min="7692" max="7692" width="13.28515625" style="11" customWidth="1"/>
    <col min="7693" max="7693" width="14.7109375" style="11" customWidth="1"/>
    <col min="7694" max="7694" width="2.5703125" style="11" customWidth="1"/>
    <col min="7695" max="7695" width="7.5703125" style="11" customWidth="1"/>
    <col min="7696" max="7696" width="12.140625" style="11" customWidth="1"/>
    <col min="7697" max="7697" width="15.28515625" style="11" customWidth="1"/>
    <col min="7698" max="7699" width="2.5703125" style="11" customWidth="1"/>
    <col min="7700" max="7700" width="8.28515625" style="11" customWidth="1"/>
    <col min="7701" max="7701" width="15" style="11" customWidth="1"/>
    <col min="7702" max="7933" width="11.42578125" style="11"/>
    <col min="7934" max="7934" width="2.85546875" style="11" customWidth="1"/>
    <col min="7935" max="7935" width="3.42578125" style="11" customWidth="1"/>
    <col min="7936" max="7936" width="7.42578125" style="11" customWidth="1"/>
    <col min="7937" max="7937" width="14.28515625" style="11" customWidth="1"/>
    <col min="7938" max="7938" width="2.140625" style="11" customWidth="1"/>
    <col min="7939" max="7939" width="3" style="11" customWidth="1"/>
    <col min="7940" max="7940" width="6.28515625" style="11" customWidth="1"/>
    <col min="7941" max="7941" width="13.28515625" style="11" customWidth="1"/>
    <col min="7942" max="7943" width="2.28515625" style="11" customWidth="1"/>
    <col min="7944" max="7944" width="8.42578125" style="11" customWidth="1"/>
    <col min="7945" max="7945" width="10.85546875" style="11" customWidth="1"/>
    <col min="7946" max="7946" width="2.5703125" style="11" customWidth="1"/>
    <col min="7947" max="7947" width="2" style="11" customWidth="1"/>
    <col min="7948" max="7948" width="13.28515625" style="11" customWidth="1"/>
    <col min="7949" max="7949" width="14.7109375" style="11" customWidth="1"/>
    <col min="7950" max="7950" width="2.5703125" style="11" customWidth="1"/>
    <col min="7951" max="7951" width="7.5703125" style="11" customWidth="1"/>
    <col min="7952" max="7952" width="12.140625" style="11" customWidth="1"/>
    <col min="7953" max="7953" width="15.28515625" style="11" customWidth="1"/>
    <col min="7954" max="7955" width="2.5703125" style="11" customWidth="1"/>
    <col min="7956" max="7956" width="8.28515625" style="11" customWidth="1"/>
    <col min="7957" max="7957" width="15" style="11" customWidth="1"/>
    <col min="7958" max="8189" width="11.42578125" style="11"/>
    <col min="8190" max="8190" width="2.85546875" style="11" customWidth="1"/>
    <col min="8191" max="8191" width="3.42578125" style="11" customWidth="1"/>
    <col min="8192" max="8192" width="7.42578125" style="11" customWidth="1"/>
    <col min="8193" max="8193" width="14.28515625" style="11" customWidth="1"/>
    <col min="8194" max="8194" width="2.140625" style="11" customWidth="1"/>
    <col min="8195" max="8195" width="3" style="11" customWidth="1"/>
    <col min="8196" max="8196" width="6.28515625" style="11" customWidth="1"/>
    <col min="8197" max="8197" width="13.28515625" style="11" customWidth="1"/>
    <col min="8198" max="8199" width="2.28515625" style="11" customWidth="1"/>
    <col min="8200" max="8200" width="8.42578125" style="11" customWidth="1"/>
    <col min="8201" max="8201" width="10.85546875" style="11" customWidth="1"/>
    <col min="8202" max="8202" width="2.5703125" style="11" customWidth="1"/>
    <col min="8203" max="8203" width="2" style="11" customWidth="1"/>
    <col min="8204" max="8204" width="13.28515625" style="11" customWidth="1"/>
    <col min="8205" max="8205" width="14.7109375" style="11" customWidth="1"/>
    <col min="8206" max="8206" width="2.5703125" style="11" customWidth="1"/>
    <col min="8207" max="8207" width="7.5703125" style="11" customWidth="1"/>
    <col min="8208" max="8208" width="12.140625" style="11" customWidth="1"/>
    <col min="8209" max="8209" width="15.28515625" style="11" customWidth="1"/>
    <col min="8210" max="8211" width="2.5703125" style="11" customWidth="1"/>
    <col min="8212" max="8212" width="8.28515625" style="11" customWidth="1"/>
    <col min="8213" max="8213" width="15" style="11" customWidth="1"/>
    <col min="8214" max="8445" width="11.42578125" style="11"/>
    <col min="8446" max="8446" width="2.85546875" style="11" customWidth="1"/>
    <col min="8447" max="8447" width="3.42578125" style="11" customWidth="1"/>
    <col min="8448" max="8448" width="7.42578125" style="11" customWidth="1"/>
    <col min="8449" max="8449" width="14.28515625" style="11" customWidth="1"/>
    <col min="8450" max="8450" width="2.140625" style="11" customWidth="1"/>
    <col min="8451" max="8451" width="3" style="11" customWidth="1"/>
    <col min="8452" max="8452" width="6.28515625" style="11" customWidth="1"/>
    <col min="8453" max="8453" width="13.28515625" style="11" customWidth="1"/>
    <col min="8454" max="8455" width="2.28515625" style="11" customWidth="1"/>
    <col min="8456" max="8456" width="8.42578125" style="11" customWidth="1"/>
    <col min="8457" max="8457" width="10.85546875" style="11" customWidth="1"/>
    <col min="8458" max="8458" width="2.5703125" style="11" customWidth="1"/>
    <col min="8459" max="8459" width="2" style="11" customWidth="1"/>
    <col min="8460" max="8460" width="13.28515625" style="11" customWidth="1"/>
    <col min="8461" max="8461" width="14.7109375" style="11" customWidth="1"/>
    <col min="8462" max="8462" width="2.5703125" style="11" customWidth="1"/>
    <col min="8463" max="8463" width="7.5703125" style="11" customWidth="1"/>
    <col min="8464" max="8464" width="12.140625" style="11" customWidth="1"/>
    <col min="8465" max="8465" width="15.28515625" style="11" customWidth="1"/>
    <col min="8466" max="8467" width="2.5703125" style="11" customWidth="1"/>
    <col min="8468" max="8468" width="8.28515625" style="11" customWidth="1"/>
    <col min="8469" max="8469" width="15" style="11" customWidth="1"/>
    <col min="8470" max="8701" width="11.42578125" style="11"/>
    <col min="8702" max="8702" width="2.85546875" style="11" customWidth="1"/>
    <col min="8703" max="8703" width="3.42578125" style="11" customWidth="1"/>
    <col min="8704" max="8704" width="7.42578125" style="11" customWidth="1"/>
    <col min="8705" max="8705" width="14.28515625" style="11" customWidth="1"/>
    <col min="8706" max="8706" width="2.140625" style="11" customWidth="1"/>
    <col min="8707" max="8707" width="3" style="11" customWidth="1"/>
    <col min="8708" max="8708" width="6.28515625" style="11" customWidth="1"/>
    <col min="8709" max="8709" width="13.28515625" style="11" customWidth="1"/>
    <col min="8710" max="8711" width="2.28515625" style="11" customWidth="1"/>
    <col min="8712" max="8712" width="8.42578125" style="11" customWidth="1"/>
    <col min="8713" max="8713" width="10.85546875" style="11" customWidth="1"/>
    <col min="8714" max="8714" width="2.5703125" style="11" customWidth="1"/>
    <col min="8715" max="8715" width="2" style="11" customWidth="1"/>
    <col min="8716" max="8716" width="13.28515625" style="11" customWidth="1"/>
    <col min="8717" max="8717" width="14.7109375" style="11" customWidth="1"/>
    <col min="8718" max="8718" width="2.5703125" style="11" customWidth="1"/>
    <col min="8719" max="8719" width="7.5703125" style="11" customWidth="1"/>
    <col min="8720" max="8720" width="12.140625" style="11" customWidth="1"/>
    <col min="8721" max="8721" width="15.28515625" style="11" customWidth="1"/>
    <col min="8722" max="8723" width="2.5703125" style="11" customWidth="1"/>
    <col min="8724" max="8724" width="8.28515625" style="11" customWidth="1"/>
    <col min="8725" max="8725" width="15" style="11" customWidth="1"/>
    <col min="8726" max="8957" width="11.42578125" style="11"/>
    <col min="8958" max="8958" width="2.85546875" style="11" customWidth="1"/>
    <col min="8959" max="8959" width="3.42578125" style="11" customWidth="1"/>
    <col min="8960" max="8960" width="7.42578125" style="11" customWidth="1"/>
    <col min="8961" max="8961" width="14.28515625" style="11" customWidth="1"/>
    <col min="8962" max="8962" width="2.140625" style="11" customWidth="1"/>
    <col min="8963" max="8963" width="3" style="11" customWidth="1"/>
    <col min="8964" max="8964" width="6.28515625" style="11" customWidth="1"/>
    <col min="8965" max="8965" width="13.28515625" style="11" customWidth="1"/>
    <col min="8966" max="8967" width="2.28515625" style="11" customWidth="1"/>
    <col min="8968" max="8968" width="8.42578125" style="11" customWidth="1"/>
    <col min="8969" max="8969" width="10.85546875" style="11" customWidth="1"/>
    <col min="8970" max="8970" width="2.5703125" style="11" customWidth="1"/>
    <col min="8971" max="8971" width="2" style="11" customWidth="1"/>
    <col min="8972" max="8972" width="13.28515625" style="11" customWidth="1"/>
    <col min="8973" max="8973" width="14.7109375" style="11" customWidth="1"/>
    <col min="8974" max="8974" width="2.5703125" style="11" customWidth="1"/>
    <col min="8975" max="8975" width="7.5703125" style="11" customWidth="1"/>
    <col min="8976" max="8976" width="12.140625" style="11" customWidth="1"/>
    <col min="8977" max="8977" width="15.28515625" style="11" customWidth="1"/>
    <col min="8978" max="8979" width="2.5703125" style="11" customWidth="1"/>
    <col min="8980" max="8980" width="8.28515625" style="11" customWidth="1"/>
    <col min="8981" max="8981" width="15" style="11" customWidth="1"/>
    <col min="8982" max="9213" width="11.42578125" style="11"/>
    <col min="9214" max="9214" width="2.85546875" style="11" customWidth="1"/>
    <col min="9215" max="9215" width="3.42578125" style="11" customWidth="1"/>
    <col min="9216" max="9216" width="7.42578125" style="11" customWidth="1"/>
    <col min="9217" max="9217" width="14.28515625" style="11" customWidth="1"/>
    <col min="9218" max="9218" width="2.140625" style="11" customWidth="1"/>
    <col min="9219" max="9219" width="3" style="11" customWidth="1"/>
    <col min="9220" max="9220" width="6.28515625" style="11" customWidth="1"/>
    <col min="9221" max="9221" width="13.28515625" style="11" customWidth="1"/>
    <col min="9222" max="9223" width="2.28515625" style="11" customWidth="1"/>
    <col min="9224" max="9224" width="8.42578125" style="11" customWidth="1"/>
    <col min="9225" max="9225" width="10.85546875" style="11" customWidth="1"/>
    <col min="9226" max="9226" width="2.5703125" style="11" customWidth="1"/>
    <col min="9227" max="9227" width="2" style="11" customWidth="1"/>
    <col min="9228" max="9228" width="13.28515625" style="11" customWidth="1"/>
    <col min="9229" max="9229" width="14.7109375" style="11" customWidth="1"/>
    <col min="9230" max="9230" width="2.5703125" style="11" customWidth="1"/>
    <col min="9231" max="9231" width="7.5703125" style="11" customWidth="1"/>
    <col min="9232" max="9232" width="12.140625" style="11" customWidth="1"/>
    <col min="9233" max="9233" width="15.28515625" style="11" customWidth="1"/>
    <col min="9234" max="9235" width="2.5703125" style="11" customWidth="1"/>
    <col min="9236" max="9236" width="8.28515625" style="11" customWidth="1"/>
    <col min="9237" max="9237" width="15" style="11" customWidth="1"/>
    <col min="9238" max="9469" width="11.42578125" style="11"/>
    <col min="9470" max="9470" width="2.85546875" style="11" customWidth="1"/>
    <col min="9471" max="9471" width="3.42578125" style="11" customWidth="1"/>
    <col min="9472" max="9472" width="7.42578125" style="11" customWidth="1"/>
    <col min="9473" max="9473" width="14.28515625" style="11" customWidth="1"/>
    <col min="9474" max="9474" width="2.140625" style="11" customWidth="1"/>
    <col min="9475" max="9475" width="3" style="11" customWidth="1"/>
    <col min="9476" max="9476" width="6.28515625" style="11" customWidth="1"/>
    <col min="9477" max="9477" width="13.28515625" style="11" customWidth="1"/>
    <col min="9478" max="9479" width="2.28515625" style="11" customWidth="1"/>
    <col min="9480" max="9480" width="8.42578125" style="11" customWidth="1"/>
    <col min="9481" max="9481" width="10.85546875" style="11" customWidth="1"/>
    <col min="9482" max="9482" width="2.5703125" style="11" customWidth="1"/>
    <col min="9483" max="9483" width="2" style="11" customWidth="1"/>
    <col min="9484" max="9484" width="13.28515625" style="11" customWidth="1"/>
    <col min="9485" max="9485" width="14.7109375" style="11" customWidth="1"/>
    <col min="9486" max="9486" width="2.5703125" style="11" customWidth="1"/>
    <col min="9487" max="9487" width="7.5703125" style="11" customWidth="1"/>
    <col min="9488" max="9488" width="12.140625" style="11" customWidth="1"/>
    <col min="9489" max="9489" width="15.28515625" style="11" customWidth="1"/>
    <col min="9490" max="9491" width="2.5703125" style="11" customWidth="1"/>
    <col min="9492" max="9492" width="8.28515625" style="11" customWidth="1"/>
    <col min="9493" max="9493" width="15" style="11" customWidth="1"/>
    <col min="9494" max="9725" width="11.42578125" style="11"/>
    <col min="9726" max="9726" width="2.85546875" style="11" customWidth="1"/>
    <col min="9727" max="9727" width="3.42578125" style="11" customWidth="1"/>
    <col min="9728" max="9728" width="7.42578125" style="11" customWidth="1"/>
    <col min="9729" max="9729" width="14.28515625" style="11" customWidth="1"/>
    <col min="9730" max="9730" width="2.140625" style="11" customWidth="1"/>
    <col min="9731" max="9731" width="3" style="11" customWidth="1"/>
    <col min="9732" max="9732" width="6.28515625" style="11" customWidth="1"/>
    <col min="9733" max="9733" width="13.28515625" style="11" customWidth="1"/>
    <col min="9734" max="9735" width="2.28515625" style="11" customWidth="1"/>
    <col min="9736" max="9736" width="8.42578125" style="11" customWidth="1"/>
    <col min="9737" max="9737" width="10.85546875" style="11" customWidth="1"/>
    <col min="9738" max="9738" width="2.5703125" style="11" customWidth="1"/>
    <col min="9739" max="9739" width="2" style="11" customWidth="1"/>
    <col min="9740" max="9740" width="13.28515625" style="11" customWidth="1"/>
    <col min="9741" max="9741" width="14.7109375" style="11" customWidth="1"/>
    <col min="9742" max="9742" width="2.5703125" style="11" customWidth="1"/>
    <col min="9743" max="9743" width="7.5703125" style="11" customWidth="1"/>
    <col min="9744" max="9744" width="12.140625" style="11" customWidth="1"/>
    <col min="9745" max="9745" width="15.28515625" style="11" customWidth="1"/>
    <col min="9746" max="9747" width="2.5703125" style="11" customWidth="1"/>
    <col min="9748" max="9748" width="8.28515625" style="11" customWidth="1"/>
    <col min="9749" max="9749" width="15" style="11" customWidth="1"/>
    <col min="9750" max="9981" width="11.42578125" style="11"/>
    <col min="9982" max="9982" width="2.85546875" style="11" customWidth="1"/>
    <col min="9983" max="9983" width="3.42578125" style="11" customWidth="1"/>
    <col min="9984" max="9984" width="7.42578125" style="11" customWidth="1"/>
    <col min="9985" max="9985" width="14.28515625" style="11" customWidth="1"/>
    <col min="9986" max="9986" width="2.140625" style="11" customWidth="1"/>
    <col min="9987" max="9987" width="3" style="11" customWidth="1"/>
    <col min="9988" max="9988" width="6.28515625" style="11" customWidth="1"/>
    <col min="9989" max="9989" width="13.28515625" style="11" customWidth="1"/>
    <col min="9990" max="9991" width="2.28515625" style="11" customWidth="1"/>
    <col min="9992" max="9992" width="8.42578125" style="11" customWidth="1"/>
    <col min="9993" max="9993" width="10.85546875" style="11" customWidth="1"/>
    <col min="9994" max="9994" width="2.5703125" style="11" customWidth="1"/>
    <col min="9995" max="9995" width="2" style="11" customWidth="1"/>
    <col min="9996" max="9996" width="13.28515625" style="11" customWidth="1"/>
    <col min="9997" max="9997" width="14.7109375" style="11" customWidth="1"/>
    <col min="9998" max="9998" width="2.5703125" style="11" customWidth="1"/>
    <col min="9999" max="9999" width="7.5703125" style="11" customWidth="1"/>
    <col min="10000" max="10000" width="12.140625" style="11" customWidth="1"/>
    <col min="10001" max="10001" width="15.28515625" style="11" customWidth="1"/>
    <col min="10002" max="10003" width="2.5703125" style="11" customWidth="1"/>
    <col min="10004" max="10004" width="8.28515625" style="11" customWidth="1"/>
    <col min="10005" max="10005" width="15" style="11" customWidth="1"/>
    <col min="10006" max="10237" width="11.42578125" style="11"/>
    <col min="10238" max="10238" width="2.85546875" style="11" customWidth="1"/>
    <col min="10239" max="10239" width="3.42578125" style="11" customWidth="1"/>
    <col min="10240" max="10240" width="7.42578125" style="11" customWidth="1"/>
    <col min="10241" max="10241" width="14.28515625" style="11" customWidth="1"/>
    <col min="10242" max="10242" width="2.140625" style="11" customWidth="1"/>
    <col min="10243" max="10243" width="3" style="11" customWidth="1"/>
    <col min="10244" max="10244" width="6.28515625" style="11" customWidth="1"/>
    <col min="10245" max="10245" width="13.28515625" style="11" customWidth="1"/>
    <col min="10246" max="10247" width="2.28515625" style="11" customWidth="1"/>
    <col min="10248" max="10248" width="8.42578125" style="11" customWidth="1"/>
    <col min="10249" max="10249" width="10.85546875" style="11" customWidth="1"/>
    <col min="10250" max="10250" width="2.5703125" style="11" customWidth="1"/>
    <col min="10251" max="10251" width="2" style="11" customWidth="1"/>
    <col min="10252" max="10252" width="13.28515625" style="11" customWidth="1"/>
    <col min="10253" max="10253" width="14.7109375" style="11" customWidth="1"/>
    <col min="10254" max="10254" width="2.5703125" style="11" customWidth="1"/>
    <col min="10255" max="10255" width="7.5703125" style="11" customWidth="1"/>
    <col min="10256" max="10256" width="12.140625" style="11" customWidth="1"/>
    <col min="10257" max="10257" width="15.28515625" style="11" customWidth="1"/>
    <col min="10258" max="10259" width="2.5703125" style="11" customWidth="1"/>
    <col min="10260" max="10260" width="8.28515625" style="11" customWidth="1"/>
    <col min="10261" max="10261" width="15" style="11" customWidth="1"/>
    <col min="10262" max="10493" width="11.42578125" style="11"/>
    <col min="10494" max="10494" width="2.85546875" style="11" customWidth="1"/>
    <col min="10495" max="10495" width="3.42578125" style="11" customWidth="1"/>
    <col min="10496" max="10496" width="7.42578125" style="11" customWidth="1"/>
    <col min="10497" max="10497" width="14.28515625" style="11" customWidth="1"/>
    <col min="10498" max="10498" width="2.140625" style="11" customWidth="1"/>
    <col min="10499" max="10499" width="3" style="11" customWidth="1"/>
    <col min="10500" max="10500" width="6.28515625" style="11" customWidth="1"/>
    <col min="10501" max="10501" width="13.28515625" style="11" customWidth="1"/>
    <col min="10502" max="10503" width="2.28515625" style="11" customWidth="1"/>
    <col min="10504" max="10504" width="8.42578125" style="11" customWidth="1"/>
    <col min="10505" max="10505" width="10.85546875" style="11" customWidth="1"/>
    <col min="10506" max="10506" width="2.5703125" style="11" customWidth="1"/>
    <col min="10507" max="10507" width="2" style="11" customWidth="1"/>
    <col min="10508" max="10508" width="13.28515625" style="11" customWidth="1"/>
    <col min="10509" max="10509" width="14.7109375" style="11" customWidth="1"/>
    <col min="10510" max="10510" width="2.5703125" style="11" customWidth="1"/>
    <col min="10511" max="10511" width="7.5703125" style="11" customWidth="1"/>
    <col min="10512" max="10512" width="12.140625" style="11" customWidth="1"/>
    <col min="10513" max="10513" width="15.28515625" style="11" customWidth="1"/>
    <col min="10514" max="10515" width="2.5703125" style="11" customWidth="1"/>
    <col min="10516" max="10516" width="8.28515625" style="11" customWidth="1"/>
    <col min="10517" max="10517" width="15" style="11" customWidth="1"/>
    <col min="10518" max="10749" width="11.42578125" style="11"/>
    <col min="10750" max="10750" width="2.85546875" style="11" customWidth="1"/>
    <col min="10751" max="10751" width="3.42578125" style="11" customWidth="1"/>
    <col min="10752" max="10752" width="7.42578125" style="11" customWidth="1"/>
    <col min="10753" max="10753" width="14.28515625" style="11" customWidth="1"/>
    <col min="10754" max="10754" width="2.140625" style="11" customWidth="1"/>
    <col min="10755" max="10755" width="3" style="11" customWidth="1"/>
    <col min="10756" max="10756" width="6.28515625" style="11" customWidth="1"/>
    <col min="10757" max="10757" width="13.28515625" style="11" customWidth="1"/>
    <col min="10758" max="10759" width="2.28515625" style="11" customWidth="1"/>
    <col min="10760" max="10760" width="8.42578125" style="11" customWidth="1"/>
    <col min="10761" max="10761" width="10.85546875" style="11" customWidth="1"/>
    <col min="10762" max="10762" width="2.5703125" style="11" customWidth="1"/>
    <col min="10763" max="10763" width="2" style="11" customWidth="1"/>
    <col min="10764" max="10764" width="13.28515625" style="11" customWidth="1"/>
    <col min="10765" max="10765" width="14.7109375" style="11" customWidth="1"/>
    <col min="10766" max="10766" width="2.5703125" style="11" customWidth="1"/>
    <col min="10767" max="10767" width="7.5703125" style="11" customWidth="1"/>
    <col min="10768" max="10768" width="12.140625" style="11" customWidth="1"/>
    <col min="10769" max="10769" width="15.28515625" style="11" customWidth="1"/>
    <col min="10770" max="10771" width="2.5703125" style="11" customWidth="1"/>
    <col min="10772" max="10772" width="8.28515625" style="11" customWidth="1"/>
    <col min="10773" max="10773" width="15" style="11" customWidth="1"/>
    <col min="10774" max="11005" width="11.42578125" style="11"/>
    <col min="11006" max="11006" width="2.85546875" style="11" customWidth="1"/>
    <col min="11007" max="11007" width="3.42578125" style="11" customWidth="1"/>
    <col min="11008" max="11008" width="7.42578125" style="11" customWidth="1"/>
    <col min="11009" max="11009" width="14.28515625" style="11" customWidth="1"/>
    <col min="11010" max="11010" width="2.140625" style="11" customWidth="1"/>
    <col min="11011" max="11011" width="3" style="11" customWidth="1"/>
    <col min="11012" max="11012" width="6.28515625" style="11" customWidth="1"/>
    <col min="11013" max="11013" width="13.28515625" style="11" customWidth="1"/>
    <col min="11014" max="11015" width="2.28515625" style="11" customWidth="1"/>
    <col min="11016" max="11016" width="8.42578125" style="11" customWidth="1"/>
    <col min="11017" max="11017" width="10.85546875" style="11" customWidth="1"/>
    <col min="11018" max="11018" width="2.5703125" style="11" customWidth="1"/>
    <col min="11019" max="11019" width="2" style="11" customWidth="1"/>
    <col min="11020" max="11020" width="13.28515625" style="11" customWidth="1"/>
    <col min="11021" max="11021" width="14.7109375" style="11" customWidth="1"/>
    <col min="11022" max="11022" width="2.5703125" style="11" customWidth="1"/>
    <col min="11023" max="11023" width="7.5703125" style="11" customWidth="1"/>
    <col min="11024" max="11024" width="12.140625" style="11" customWidth="1"/>
    <col min="11025" max="11025" width="15.28515625" style="11" customWidth="1"/>
    <col min="11026" max="11027" width="2.5703125" style="11" customWidth="1"/>
    <col min="11028" max="11028" width="8.28515625" style="11" customWidth="1"/>
    <col min="11029" max="11029" width="15" style="11" customWidth="1"/>
    <col min="11030" max="11261" width="11.42578125" style="11"/>
    <col min="11262" max="11262" width="2.85546875" style="11" customWidth="1"/>
    <col min="11263" max="11263" width="3.42578125" style="11" customWidth="1"/>
    <col min="11264" max="11264" width="7.42578125" style="11" customWidth="1"/>
    <col min="11265" max="11265" width="14.28515625" style="11" customWidth="1"/>
    <col min="11266" max="11266" width="2.140625" style="11" customWidth="1"/>
    <col min="11267" max="11267" width="3" style="11" customWidth="1"/>
    <col min="11268" max="11268" width="6.28515625" style="11" customWidth="1"/>
    <col min="11269" max="11269" width="13.28515625" style="11" customWidth="1"/>
    <col min="11270" max="11271" width="2.28515625" style="11" customWidth="1"/>
    <col min="11272" max="11272" width="8.42578125" style="11" customWidth="1"/>
    <col min="11273" max="11273" width="10.85546875" style="11" customWidth="1"/>
    <col min="11274" max="11274" width="2.5703125" style="11" customWidth="1"/>
    <col min="11275" max="11275" width="2" style="11" customWidth="1"/>
    <col min="11276" max="11276" width="13.28515625" style="11" customWidth="1"/>
    <col min="11277" max="11277" width="14.7109375" style="11" customWidth="1"/>
    <col min="11278" max="11278" width="2.5703125" style="11" customWidth="1"/>
    <col min="11279" max="11279" width="7.5703125" style="11" customWidth="1"/>
    <col min="11280" max="11280" width="12.140625" style="11" customWidth="1"/>
    <col min="11281" max="11281" width="15.28515625" style="11" customWidth="1"/>
    <col min="11282" max="11283" width="2.5703125" style="11" customWidth="1"/>
    <col min="11284" max="11284" width="8.28515625" style="11" customWidth="1"/>
    <col min="11285" max="11285" width="15" style="11" customWidth="1"/>
    <col min="11286" max="11517" width="11.42578125" style="11"/>
    <col min="11518" max="11518" width="2.85546875" style="11" customWidth="1"/>
    <col min="11519" max="11519" width="3.42578125" style="11" customWidth="1"/>
    <col min="11520" max="11520" width="7.42578125" style="11" customWidth="1"/>
    <col min="11521" max="11521" width="14.28515625" style="11" customWidth="1"/>
    <col min="11522" max="11522" width="2.140625" style="11" customWidth="1"/>
    <col min="11523" max="11523" width="3" style="11" customWidth="1"/>
    <col min="11524" max="11524" width="6.28515625" style="11" customWidth="1"/>
    <col min="11525" max="11525" width="13.28515625" style="11" customWidth="1"/>
    <col min="11526" max="11527" width="2.28515625" style="11" customWidth="1"/>
    <col min="11528" max="11528" width="8.42578125" style="11" customWidth="1"/>
    <col min="11529" max="11529" width="10.85546875" style="11" customWidth="1"/>
    <col min="11530" max="11530" width="2.5703125" style="11" customWidth="1"/>
    <col min="11531" max="11531" width="2" style="11" customWidth="1"/>
    <col min="11532" max="11532" width="13.28515625" style="11" customWidth="1"/>
    <col min="11533" max="11533" width="14.7109375" style="11" customWidth="1"/>
    <col min="11534" max="11534" width="2.5703125" style="11" customWidth="1"/>
    <col min="11535" max="11535" width="7.5703125" style="11" customWidth="1"/>
    <col min="11536" max="11536" width="12.140625" style="11" customWidth="1"/>
    <col min="11537" max="11537" width="15.28515625" style="11" customWidth="1"/>
    <col min="11538" max="11539" width="2.5703125" style="11" customWidth="1"/>
    <col min="11540" max="11540" width="8.28515625" style="11" customWidth="1"/>
    <col min="11541" max="11541" width="15" style="11" customWidth="1"/>
    <col min="11542" max="11773" width="11.42578125" style="11"/>
    <col min="11774" max="11774" width="2.85546875" style="11" customWidth="1"/>
    <col min="11775" max="11775" width="3.42578125" style="11" customWidth="1"/>
    <col min="11776" max="11776" width="7.42578125" style="11" customWidth="1"/>
    <col min="11777" max="11777" width="14.28515625" style="11" customWidth="1"/>
    <col min="11778" max="11778" width="2.140625" style="11" customWidth="1"/>
    <col min="11779" max="11779" width="3" style="11" customWidth="1"/>
    <col min="11780" max="11780" width="6.28515625" style="11" customWidth="1"/>
    <col min="11781" max="11781" width="13.28515625" style="11" customWidth="1"/>
    <col min="11782" max="11783" width="2.28515625" style="11" customWidth="1"/>
    <col min="11784" max="11784" width="8.42578125" style="11" customWidth="1"/>
    <col min="11785" max="11785" width="10.85546875" style="11" customWidth="1"/>
    <col min="11786" max="11786" width="2.5703125" style="11" customWidth="1"/>
    <col min="11787" max="11787" width="2" style="11" customWidth="1"/>
    <col min="11788" max="11788" width="13.28515625" style="11" customWidth="1"/>
    <col min="11789" max="11789" width="14.7109375" style="11" customWidth="1"/>
    <col min="11790" max="11790" width="2.5703125" style="11" customWidth="1"/>
    <col min="11791" max="11791" width="7.5703125" style="11" customWidth="1"/>
    <col min="11792" max="11792" width="12.140625" style="11" customWidth="1"/>
    <col min="11793" max="11793" width="15.28515625" style="11" customWidth="1"/>
    <col min="11794" max="11795" width="2.5703125" style="11" customWidth="1"/>
    <col min="11796" max="11796" width="8.28515625" style="11" customWidth="1"/>
    <col min="11797" max="11797" width="15" style="11" customWidth="1"/>
    <col min="11798" max="12029" width="11.42578125" style="11"/>
    <col min="12030" max="12030" width="2.85546875" style="11" customWidth="1"/>
    <col min="12031" max="12031" width="3.42578125" style="11" customWidth="1"/>
    <col min="12032" max="12032" width="7.42578125" style="11" customWidth="1"/>
    <col min="12033" max="12033" width="14.28515625" style="11" customWidth="1"/>
    <col min="12034" max="12034" width="2.140625" style="11" customWidth="1"/>
    <col min="12035" max="12035" width="3" style="11" customWidth="1"/>
    <col min="12036" max="12036" width="6.28515625" style="11" customWidth="1"/>
    <col min="12037" max="12037" width="13.28515625" style="11" customWidth="1"/>
    <col min="12038" max="12039" width="2.28515625" style="11" customWidth="1"/>
    <col min="12040" max="12040" width="8.42578125" style="11" customWidth="1"/>
    <col min="12041" max="12041" width="10.85546875" style="11" customWidth="1"/>
    <col min="12042" max="12042" width="2.5703125" style="11" customWidth="1"/>
    <col min="12043" max="12043" width="2" style="11" customWidth="1"/>
    <col min="12044" max="12044" width="13.28515625" style="11" customWidth="1"/>
    <col min="12045" max="12045" width="14.7109375" style="11" customWidth="1"/>
    <col min="12046" max="12046" width="2.5703125" style="11" customWidth="1"/>
    <col min="12047" max="12047" width="7.5703125" style="11" customWidth="1"/>
    <col min="12048" max="12048" width="12.140625" style="11" customWidth="1"/>
    <col min="12049" max="12049" width="15.28515625" style="11" customWidth="1"/>
    <col min="12050" max="12051" width="2.5703125" style="11" customWidth="1"/>
    <col min="12052" max="12052" width="8.28515625" style="11" customWidth="1"/>
    <col min="12053" max="12053" width="15" style="11" customWidth="1"/>
    <col min="12054" max="12285" width="11.42578125" style="11"/>
    <col min="12286" max="12286" width="2.85546875" style="11" customWidth="1"/>
    <col min="12287" max="12287" width="3.42578125" style="11" customWidth="1"/>
    <col min="12288" max="12288" width="7.42578125" style="11" customWidth="1"/>
    <col min="12289" max="12289" width="14.28515625" style="11" customWidth="1"/>
    <col min="12290" max="12290" width="2.140625" style="11" customWidth="1"/>
    <col min="12291" max="12291" width="3" style="11" customWidth="1"/>
    <col min="12292" max="12292" width="6.28515625" style="11" customWidth="1"/>
    <col min="12293" max="12293" width="13.28515625" style="11" customWidth="1"/>
    <col min="12294" max="12295" width="2.28515625" style="11" customWidth="1"/>
    <col min="12296" max="12296" width="8.42578125" style="11" customWidth="1"/>
    <col min="12297" max="12297" width="10.85546875" style="11" customWidth="1"/>
    <col min="12298" max="12298" width="2.5703125" style="11" customWidth="1"/>
    <col min="12299" max="12299" width="2" style="11" customWidth="1"/>
    <col min="12300" max="12300" width="13.28515625" style="11" customWidth="1"/>
    <col min="12301" max="12301" width="14.7109375" style="11" customWidth="1"/>
    <col min="12302" max="12302" width="2.5703125" style="11" customWidth="1"/>
    <col min="12303" max="12303" width="7.5703125" style="11" customWidth="1"/>
    <col min="12304" max="12304" width="12.140625" style="11" customWidth="1"/>
    <col min="12305" max="12305" width="15.28515625" style="11" customWidth="1"/>
    <col min="12306" max="12307" width="2.5703125" style="11" customWidth="1"/>
    <col min="12308" max="12308" width="8.28515625" style="11" customWidth="1"/>
    <col min="12309" max="12309" width="15" style="11" customWidth="1"/>
    <col min="12310" max="12541" width="11.42578125" style="11"/>
    <col min="12542" max="12542" width="2.85546875" style="11" customWidth="1"/>
    <col min="12543" max="12543" width="3.42578125" style="11" customWidth="1"/>
    <col min="12544" max="12544" width="7.42578125" style="11" customWidth="1"/>
    <col min="12545" max="12545" width="14.28515625" style="11" customWidth="1"/>
    <col min="12546" max="12546" width="2.140625" style="11" customWidth="1"/>
    <col min="12547" max="12547" width="3" style="11" customWidth="1"/>
    <col min="12548" max="12548" width="6.28515625" style="11" customWidth="1"/>
    <col min="12549" max="12549" width="13.28515625" style="11" customWidth="1"/>
    <col min="12550" max="12551" width="2.28515625" style="11" customWidth="1"/>
    <col min="12552" max="12552" width="8.42578125" style="11" customWidth="1"/>
    <col min="12553" max="12553" width="10.85546875" style="11" customWidth="1"/>
    <col min="12554" max="12554" width="2.5703125" style="11" customWidth="1"/>
    <col min="12555" max="12555" width="2" style="11" customWidth="1"/>
    <col min="12556" max="12556" width="13.28515625" style="11" customWidth="1"/>
    <col min="12557" max="12557" width="14.7109375" style="11" customWidth="1"/>
    <col min="12558" max="12558" width="2.5703125" style="11" customWidth="1"/>
    <col min="12559" max="12559" width="7.5703125" style="11" customWidth="1"/>
    <col min="12560" max="12560" width="12.140625" style="11" customWidth="1"/>
    <col min="12561" max="12561" width="15.28515625" style="11" customWidth="1"/>
    <col min="12562" max="12563" width="2.5703125" style="11" customWidth="1"/>
    <col min="12564" max="12564" width="8.28515625" style="11" customWidth="1"/>
    <col min="12565" max="12565" width="15" style="11" customWidth="1"/>
    <col min="12566" max="12797" width="11.42578125" style="11"/>
    <col min="12798" max="12798" width="2.85546875" style="11" customWidth="1"/>
    <col min="12799" max="12799" width="3.42578125" style="11" customWidth="1"/>
    <col min="12800" max="12800" width="7.42578125" style="11" customWidth="1"/>
    <col min="12801" max="12801" width="14.28515625" style="11" customWidth="1"/>
    <col min="12802" max="12802" width="2.140625" style="11" customWidth="1"/>
    <col min="12803" max="12803" width="3" style="11" customWidth="1"/>
    <col min="12804" max="12804" width="6.28515625" style="11" customWidth="1"/>
    <col min="12805" max="12805" width="13.28515625" style="11" customWidth="1"/>
    <col min="12806" max="12807" width="2.28515625" style="11" customWidth="1"/>
    <col min="12808" max="12808" width="8.42578125" style="11" customWidth="1"/>
    <col min="12809" max="12809" width="10.85546875" style="11" customWidth="1"/>
    <col min="12810" max="12810" width="2.5703125" style="11" customWidth="1"/>
    <col min="12811" max="12811" width="2" style="11" customWidth="1"/>
    <col min="12812" max="12812" width="13.28515625" style="11" customWidth="1"/>
    <col min="12813" max="12813" width="14.7109375" style="11" customWidth="1"/>
    <col min="12814" max="12814" width="2.5703125" style="11" customWidth="1"/>
    <col min="12815" max="12815" width="7.5703125" style="11" customWidth="1"/>
    <col min="12816" max="12816" width="12.140625" style="11" customWidth="1"/>
    <col min="12817" max="12817" width="15.28515625" style="11" customWidth="1"/>
    <col min="12818" max="12819" width="2.5703125" style="11" customWidth="1"/>
    <col min="12820" max="12820" width="8.28515625" style="11" customWidth="1"/>
    <col min="12821" max="12821" width="15" style="11" customWidth="1"/>
    <col min="12822" max="13053" width="11.42578125" style="11"/>
    <col min="13054" max="13054" width="2.85546875" style="11" customWidth="1"/>
    <col min="13055" max="13055" width="3.42578125" style="11" customWidth="1"/>
    <col min="13056" max="13056" width="7.42578125" style="11" customWidth="1"/>
    <col min="13057" max="13057" width="14.28515625" style="11" customWidth="1"/>
    <col min="13058" max="13058" width="2.140625" style="11" customWidth="1"/>
    <col min="13059" max="13059" width="3" style="11" customWidth="1"/>
    <col min="13060" max="13060" width="6.28515625" style="11" customWidth="1"/>
    <col min="13061" max="13061" width="13.28515625" style="11" customWidth="1"/>
    <col min="13062" max="13063" width="2.28515625" style="11" customWidth="1"/>
    <col min="13064" max="13064" width="8.42578125" style="11" customWidth="1"/>
    <col min="13065" max="13065" width="10.85546875" style="11" customWidth="1"/>
    <col min="13066" max="13066" width="2.5703125" style="11" customWidth="1"/>
    <col min="13067" max="13067" width="2" style="11" customWidth="1"/>
    <col min="13068" max="13068" width="13.28515625" style="11" customWidth="1"/>
    <col min="13069" max="13069" width="14.7109375" style="11" customWidth="1"/>
    <col min="13070" max="13070" width="2.5703125" style="11" customWidth="1"/>
    <col min="13071" max="13071" width="7.5703125" style="11" customWidth="1"/>
    <col min="13072" max="13072" width="12.140625" style="11" customWidth="1"/>
    <col min="13073" max="13073" width="15.28515625" style="11" customWidth="1"/>
    <col min="13074" max="13075" width="2.5703125" style="11" customWidth="1"/>
    <col min="13076" max="13076" width="8.28515625" style="11" customWidth="1"/>
    <col min="13077" max="13077" width="15" style="11" customWidth="1"/>
    <col min="13078" max="13309" width="11.42578125" style="11"/>
    <col min="13310" max="13310" width="2.85546875" style="11" customWidth="1"/>
    <col min="13311" max="13311" width="3.42578125" style="11" customWidth="1"/>
    <col min="13312" max="13312" width="7.42578125" style="11" customWidth="1"/>
    <col min="13313" max="13313" width="14.28515625" style="11" customWidth="1"/>
    <col min="13314" max="13314" width="2.140625" style="11" customWidth="1"/>
    <col min="13315" max="13315" width="3" style="11" customWidth="1"/>
    <col min="13316" max="13316" width="6.28515625" style="11" customWidth="1"/>
    <col min="13317" max="13317" width="13.28515625" style="11" customWidth="1"/>
    <col min="13318" max="13319" width="2.28515625" style="11" customWidth="1"/>
    <col min="13320" max="13320" width="8.42578125" style="11" customWidth="1"/>
    <col min="13321" max="13321" width="10.85546875" style="11" customWidth="1"/>
    <col min="13322" max="13322" width="2.5703125" style="11" customWidth="1"/>
    <col min="13323" max="13323" width="2" style="11" customWidth="1"/>
    <col min="13324" max="13324" width="13.28515625" style="11" customWidth="1"/>
    <col min="13325" max="13325" width="14.7109375" style="11" customWidth="1"/>
    <col min="13326" max="13326" width="2.5703125" style="11" customWidth="1"/>
    <col min="13327" max="13327" width="7.5703125" style="11" customWidth="1"/>
    <col min="13328" max="13328" width="12.140625" style="11" customWidth="1"/>
    <col min="13329" max="13329" width="15.28515625" style="11" customWidth="1"/>
    <col min="13330" max="13331" width="2.5703125" style="11" customWidth="1"/>
    <col min="13332" max="13332" width="8.28515625" style="11" customWidth="1"/>
    <col min="13333" max="13333" width="15" style="11" customWidth="1"/>
    <col min="13334" max="13565" width="11.42578125" style="11"/>
    <col min="13566" max="13566" width="2.85546875" style="11" customWidth="1"/>
    <col min="13567" max="13567" width="3.42578125" style="11" customWidth="1"/>
    <col min="13568" max="13568" width="7.42578125" style="11" customWidth="1"/>
    <col min="13569" max="13569" width="14.28515625" style="11" customWidth="1"/>
    <col min="13570" max="13570" width="2.140625" style="11" customWidth="1"/>
    <col min="13571" max="13571" width="3" style="11" customWidth="1"/>
    <col min="13572" max="13572" width="6.28515625" style="11" customWidth="1"/>
    <col min="13573" max="13573" width="13.28515625" style="11" customWidth="1"/>
    <col min="13574" max="13575" width="2.28515625" style="11" customWidth="1"/>
    <col min="13576" max="13576" width="8.42578125" style="11" customWidth="1"/>
    <col min="13577" max="13577" width="10.85546875" style="11" customWidth="1"/>
    <col min="13578" max="13578" width="2.5703125" style="11" customWidth="1"/>
    <col min="13579" max="13579" width="2" style="11" customWidth="1"/>
    <col min="13580" max="13580" width="13.28515625" style="11" customWidth="1"/>
    <col min="13581" max="13581" width="14.7109375" style="11" customWidth="1"/>
    <col min="13582" max="13582" width="2.5703125" style="11" customWidth="1"/>
    <col min="13583" max="13583" width="7.5703125" style="11" customWidth="1"/>
    <col min="13584" max="13584" width="12.140625" style="11" customWidth="1"/>
    <col min="13585" max="13585" width="15.28515625" style="11" customWidth="1"/>
    <col min="13586" max="13587" width="2.5703125" style="11" customWidth="1"/>
    <col min="13588" max="13588" width="8.28515625" style="11" customWidth="1"/>
    <col min="13589" max="13589" width="15" style="11" customWidth="1"/>
    <col min="13590" max="13821" width="11.42578125" style="11"/>
    <col min="13822" max="13822" width="2.85546875" style="11" customWidth="1"/>
    <col min="13823" max="13823" width="3.42578125" style="11" customWidth="1"/>
    <col min="13824" max="13824" width="7.42578125" style="11" customWidth="1"/>
    <col min="13825" max="13825" width="14.28515625" style="11" customWidth="1"/>
    <col min="13826" max="13826" width="2.140625" style="11" customWidth="1"/>
    <col min="13827" max="13827" width="3" style="11" customWidth="1"/>
    <col min="13828" max="13828" width="6.28515625" style="11" customWidth="1"/>
    <col min="13829" max="13829" width="13.28515625" style="11" customWidth="1"/>
    <col min="13830" max="13831" width="2.28515625" style="11" customWidth="1"/>
    <col min="13832" max="13832" width="8.42578125" style="11" customWidth="1"/>
    <col min="13833" max="13833" width="10.85546875" style="11" customWidth="1"/>
    <col min="13834" max="13834" width="2.5703125" style="11" customWidth="1"/>
    <col min="13835" max="13835" width="2" style="11" customWidth="1"/>
    <col min="13836" max="13836" width="13.28515625" style="11" customWidth="1"/>
    <col min="13837" max="13837" width="14.7109375" style="11" customWidth="1"/>
    <col min="13838" max="13838" width="2.5703125" style="11" customWidth="1"/>
    <col min="13839" max="13839" width="7.5703125" style="11" customWidth="1"/>
    <col min="13840" max="13840" width="12.140625" style="11" customWidth="1"/>
    <col min="13841" max="13841" width="15.28515625" style="11" customWidth="1"/>
    <col min="13842" max="13843" width="2.5703125" style="11" customWidth="1"/>
    <col min="13844" max="13844" width="8.28515625" style="11" customWidth="1"/>
    <col min="13845" max="13845" width="15" style="11" customWidth="1"/>
    <col min="13846" max="14077" width="11.42578125" style="11"/>
    <col min="14078" max="14078" width="2.85546875" style="11" customWidth="1"/>
    <col min="14079" max="14079" width="3.42578125" style="11" customWidth="1"/>
    <col min="14080" max="14080" width="7.42578125" style="11" customWidth="1"/>
    <col min="14081" max="14081" width="14.28515625" style="11" customWidth="1"/>
    <col min="14082" max="14082" width="2.140625" style="11" customWidth="1"/>
    <col min="14083" max="14083" width="3" style="11" customWidth="1"/>
    <col min="14084" max="14084" width="6.28515625" style="11" customWidth="1"/>
    <col min="14085" max="14085" width="13.28515625" style="11" customWidth="1"/>
    <col min="14086" max="14087" width="2.28515625" style="11" customWidth="1"/>
    <col min="14088" max="14088" width="8.42578125" style="11" customWidth="1"/>
    <col min="14089" max="14089" width="10.85546875" style="11" customWidth="1"/>
    <col min="14090" max="14090" width="2.5703125" style="11" customWidth="1"/>
    <col min="14091" max="14091" width="2" style="11" customWidth="1"/>
    <col min="14092" max="14092" width="13.28515625" style="11" customWidth="1"/>
    <col min="14093" max="14093" width="14.7109375" style="11" customWidth="1"/>
    <col min="14094" max="14094" width="2.5703125" style="11" customWidth="1"/>
    <col min="14095" max="14095" width="7.5703125" style="11" customWidth="1"/>
    <col min="14096" max="14096" width="12.140625" style="11" customWidth="1"/>
    <col min="14097" max="14097" width="15.28515625" style="11" customWidth="1"/>
    <col min="14098" max="14099" width="2.5703125" style="11" customWidth="1"/>
    <col min="14100" max="14100" width="8.28515625" style="11" customWidth="1"/>
    <col min="14101" max="14101" width="15" style="11" customWidth="1"/>
    <col min="14102" max="14333" width="11.42578125" style="11"/>
    <col min="14334" max="14334" width="2.85546875" style="11" customWidth="1"/>
    <col min="14335" max="14335" width="3.42578125" style="11" customWidth="1"/>
    <col min="14336" max="14336" width="7.42578125" style="11" customWidth="1"/>
    <col min="14337" max="14337" width="14.28515625" style="11" customWidth="1"/>
    <col min="14338" max="14338" width="2.140625" style="11" customWidth="1"/>
    <col min="14339" max="14339" width="3" style="11" customWidth="1"/>
    <col min="14340" max="14340" width="6.28515625" style="11" customWidth="1"/>
    <col min="14341" max="14341" width="13.28515625" style="11" customWidth="1"/>
    <col min="14342" max="14343" width="2.28515625" style="11" customWidth="1"/>
    <col min="14344" max="14344" width="8.42578125" style="11" customWidth="1"/>
    <col min="14345" max="14345" width="10.85546875" style="11" customWidth="1"/>
    <col min="14346" max="14346" width="2.5703125" style="11" customWidth="1"/>
    <col min="14347" max="14347" width="2" style="11" customWidth="1"/>
    <col min="14348" max="14348" width="13.28515625" style="11" customWidth="1"/>
    <col min="14349" max="14349" width="14.7109375" style="11" customWidth="1"/>
    <col min="14350" max="14350" width="2.5703125" style="11" customWidth="1"/>
    <col min="14351" max="14351" width="7.5703125" style="11" customWidth="1"/>
    <col min="14352" max="14352" width="12.140625" style="11" customWidth="1"/>
    <col min="14353" max="14353" width="15.28515625" style="11" customWidth="1"/>
    <col min="14354" max="14355" width="2.5703125" style="11" customWidth="1"/>
    <col min="14356" max="14356" width="8.28515625" style="11" customWidth="1"/>
    <col min="14357" max="14357" width="15" style="11" customWidth="1"/>
    <col min="14358" max="14589" width="11.42578125" style="11"/>
    <col min="14590" max="14590" width="2.85546875" style="11" customWidth="1"/>
    <col min="14591" max="14591" width="3.42578125" style="11" customWidth="1"/>
    <col min="14592" max="14592" width="7.42578125" style="11" customWidth="1"/>
    <col min="14593" max="14593" width="14.28515625" style="11" customWidth="1"/>
    <col min="14594" max="14594" width="2.140625" style="11" customWidth="1"/>
    <col min="14595" max="14595" width="3" style="11" customWidth="1"/>
    <col min="14596" max="14596" width="6.28515625" style="11" customWidth="1"/>
    <col min="14597" max="14597" width="13.28515625" style="11" customWidth="1"/>
    <col min="14598" max="14599" width="2.28515625" style="11" customWidth="1"/>
    <col min="14600" max="14600" width="8.42578125" style="11" customWidth="1"/>
    <col min="14601" max="14601" width="10.85546875" style="11" customWidth="1"/>
    <col min="14602" max="14602" width="2.5703125" style="11" customWidth="1"/>
    <col min="14603" max="14603" width="2" style="11" customWidth="1"/>
    <col min="14604" max="14604" width="13.28515625" style="11" customWidth="1"/>
    <col min="14605" max="14605" width="14.7109375" style="11" customWidth="1"/>
    <col min="14606" max="14606" width="2.5703125" style="11" customWidth="1"/>
    <col min="14607" max="14607" width="7.5703125" style="11" customWidth="1"/>
    <col min="14608" max="14608" width="12.140625" style="11" customWidth="1"/>
    <col min="14609" max="14609" width="15.28515625" style="11" customWidth="1"/>
    <col min="14610" max="14611" width="2.5703125" style="11" customWidth="1"/>
    <col min="14612" max="14612" width="8.28515625" style="11" customWidth="1"/>
    <col min="14613" max="14613" width="15" style="11" customWidth="1"/>
    <col min="14614" max="14845" width="11.42578125" style="11"/>
    <col min="14846" max="14846" width="2.85546875" style="11" customWidth="1"/>
    <col min="14847" max="14847" width="3.42578125" style="11" customWidth="1"/>
    <col min="14848" max="14848" width="7.42578125" style="11" customWidth="1"/>
    <col min="14849" max="14849" width="14.28515625" style="11" customWidth="1"/>
    <col min="14850" max="14850" width="2.140625" style="11" customWidth="1"/>
    <col min="14851" max="14851" width="3" style="11" customWidth="1"/>
    <col min="14852" max="14852" width="6.28515625" style="11" customWidth="1"/>
    <col min="14853" max="14853" width="13.28515625" style="11" customWidth="1"/>
    <col min="14854" max="14855" width="2.28515625" style="11" customWidth="1"/>
    <col min="14856" max="14856" width="8.42578125" style="11" customWidth="1"/>
    <col min="14857" max="14857" width="10.85546875" style="11" customWidth="1"/>
    <col min="14858" max="14858" width="2.5703125" style="11" customWidth="1"/>
    <col min="14859" max="14859" width="2" style="11" customWidth="1"/>
    <col min="14860" max="14860" width="13.28515625" style="11" customWidth="1"/>
    <col min="14861" max="14861" width="14.7109375" style="11" customWidth="1"/>
    <col min="14862" max="14862" width="2.5703125" style="11" customWidth="1"/>
    <col min="14863" max="14863" width="7.5703125" style="11" customWidth="1"/>
    <col min="14864" max="14864" width="12.140625" style="11" customWidth="1"/>
    <col min="14865" max="14865" width="15.28515625" style="11" customWidth="1"/>
    <col min="14866" max="14867" width="2.5703125" style="11" customWidth="1"/>
    <col min="14868" max="14868" width="8.28515625" style="11" customWidth="1"/>
    <col min="14869" max="14869" width="15" style="11" customWidth="1"/>
    <col min="14870" max="15101" width="11.42578125" style="11"/>
    <col min="15102" max="15102" width="2.85546875" style="11" customWidth="1"/>
    <col min="15103" max="15103" width="3.42578125" style="11" customWidth="1"/>
    <col min="15104" max="15104" width="7.42578125" style="11" customWidth="1"/>
    <col min="15105" max="15105" width="14.28515625" style="11" customWidth="1"/>
    <col min="15106" max="15106" width="2.140625" style="11" customWidth="1"/>
    <col min="15107" max="15107" width="3" style="11" customWidth="1"/>
    <col min="15108" max="15108" width="6.28515625" style="11" customWidth="1"/>
    <col min="15109" max="15109" width="13.28515625" style="11" customWidth="1"/>
    <col min="15110" max="15111" width="2.28515625" style="11" customWidth="1"/>
    <col min="15112" max="15112" width="8.42578125" style="11" customWidth="1"/>
    <col min="15113" max="15113" width="10.85546875" style="11" customWidth="1"/>
    <col min="15114" max="15114" width="2.5703125" style="11" customWidth="1"/>
    <col min="15115" max="15115" width="2" style="11" customWidth="1"/>
    <col min="15116" max="15116" width="13.28515625" style="11" customWidth="1"/>
    <col min="15117" max="15117" width="14.7109375" style="11" customWidth="1"/>
    <col min="15118" max="15118" width="2.5703125" style="11" customWidth="1"/>
    <col min="15119" max="15119" width="7.5703125" style="11" customWidth="1"/>
    <col min="15120" max="15120" width="12.140625" style="11" customWidth="1"/>
    <col min="15121" max="15121" width="15.28515625" style="11" customWidth="1"/>
    <col min="15122" max="15123" width="2.5703125" style="11" customWidth="1"/>
    <col min="15124" max="15124" width="8.28515625" style="11" customWidth="1"/>
    <col min="15125" max="15125" width="15" style="11" customWidth="1"/>
    <col min="15126" max="15357" width="11.42578125" style="11"/>
    <col min="15358" max="15358" width="2.85546875" style="11" customWidth="1"/>
    <col min="15359" max="15359" width="3.42578125" style="11" customWidth="1"/>
    <col min="15360" max="15360" width="7.42578125" style="11" customWidth="1"/>
    <col min="15361" max="15361" width="14.28515625" style="11" customWidth="1"/>
    <col min="15362" max="15362" width="2.140625" style="11" customWidth="1"/>
    <col min="15363" max="15363" width="3" style="11" customWidth="1"/>
    <col min="15364" max="15364" width="6.28515625" style="11" customWidth="1"/>
    <col min="15365" max="15365" width="13.28515625" style="11" customWidth="1"/>
    <col min="15366" max="15367" width="2.28515625" style="11" customWidth="1"/>
    <col min="15368" max="15368" width="8.42578125" style="11" customWidth="1"/>
    <col min="15369" max="15369" width="10.85546875" style="11" customWidth="1"/>
    <col min="15370" max="15370" width="2.5703125" style="11" customWidth="1"/>
    <col min="15371" max="15371" width="2" style="11" customWidth="1"/>
    <col min="15372" max="15372" width="13.28515625" style="11" customWidth="1"/>
    <col min="15373" max="15373" width="14.7109375" style="11" customWidth="1"/>
    <col min="15374" max="15374" width="2.5703125" style="11" customWidth="1"/>
    <col min="15375" max="15375" width="7.5703125" style="11" customWidth="1"/>
    <col min="15376" max="15376" width="12.140625" style="11" customWidth="1"/>
    <col min="15377" max="15377" width="15.28515625" style="11" customWidth="1"/>
    <col min="15378" max="15379" width="2.5703125" style="11" customWidth="1"/>
    <col min="15380" max="15380" width="8.28515625" style="11" customWidth="1"/>
    <col min="15381" max="15381" width="15" style="11" customWidth="1"/>
    <col min="15382" max="15613" width="11.42578125" style="11"/>
    <col min="15614" max="15614" width="2.85546875" style="11" customWidth="1"/>
    <col min="15615" max="15615" width="3.42578125" style="11" customWidth="1"/>
    <col min="15616" max="15616" width="7.42578125" style="11" customWidth="1"/>
    <col min="15617" max="15617" width="14.28515625" style="11" customWidth="1"/>
    <col min="15618" max="15618" width="2.140625" style="11" customWidth="1"/>
    <col min="15619" max="15619" width="3" style="11" customWidth="1"/>
    <col min="15620" max="15620" width="6.28515625" style="11" customWidth="1"/>
    <col min="15621" max="15621" width="13.28515625" style="11" customWidth="1"/>
    <col min="15622" max="15623" width="2.28515625" style="11" customWidth="1"/>
    <col min="15624" max="15624" width="8.42578125" style="11" customWidth="1"/>
    <col min="15625" max="15625" width="10.85546875" style="11" customWidth="1"/>
    <col min="15626" max="15626" width="2.5703125" style="11" customWidth="1"/>
    <col min="15627" max="15627" width="2" style="11" customWidth="1"/>
    <col min="15628" max="15628" width="13.28515625" style="11" customWidth="1"/>
    <col min="15629" max="15629" width="14.7109375" style="11" customWidth="1"/>
    <col min="15630" max="15630" width="2.5703125" style="11" customWidth="1"/>
    <col min="15631" max="15631" width="7.5703125" style="11" customWidth="1"/>
    <col min="15632" max="15632" width="12.140625" style="11" customWidth="1"/>
    <col min="15633" max="15633" width="15.28515625" style="11" customWidth="1"/>
    <col min="15634" max="15635" width="2.5703125" style="11" customWidth="1"/>
    <col min="15636" max="15636" width="8.28515625" style="11" customWidth="1"/>
    <col min="15637" max="15637" width="15" style="11" customWidth="1"/>
    <col min="15638" max="15869" width="11.42578125" style="11"/>
    <col min="15870" max="15870" width="2.85546875" style="11" customWidth="1"/>
    <col min="15871" max="15871" width="3.42578125" style="11" customWidth="1"/>
    <col min="15872" max="15872" width="7.42578125" style="11" customWidth="1"/>
    <col min="15873" max="15873" width="14.28515625" style="11" customWidth="1"/>
    <col min="15874" max="15874" width="2.140625" style="11" customWidth="1"/>
    <col min="15875" max="15875" width="3" style="11" customWidth="1"/>
    <col min="15876" max="15876" width="6.28515625" style="11" customWidth="1"/>
    <col min="15877" max="15877" width="13.28515625" style="11" customWidth="1"/>
    <col min="15878" max="15879" width="2.28515625" style="11" customWidth="1"/>
    <col min="15880" max="15880" width="8.42578125" style="11" customWidth="1"/>
    <col min="15881" max="15881" width="10.85546875" style="11" customWidth="1"/>
    <col min="15882" max="15882" width="2.5703125" style="11" customWidth="1"/>
    <col min="15883" max="15883" width="2" style="11" customWidth="1"/>
    <col min="15884" max="15884" width="13.28515625" style="11" customWidth="1"/>
    <col min="15885" max="15885" width="14.7109375" style="11" customWidth="1"/>
    <col min="15886" max="15886" width="2.5703125" style="11" customWidth="1"/>
    <col min="15887" max="15887" width="7.5703125" style="11" customWidth="1"/>
    <col min="15888" max="15888" width="12.140625" style="11" customWidth="1"/>
    <col min="15889" max="15889" width="15.28515625" style="11" customWidth="1"/>
    <col min="15890" max="15891" width="2.5703125" style="11" customWidth="1"/>
    <col min="15892" max="15892" width="8.28515625" style="11" customWidth="1"/>
    <col min="15893" max="15893" width="15" style="11" customWidth="1"/>
    <col min="15894" max="16125" width="11.42578125" style="11"/>
    <col min="16126" max="16126" width="2.85546875" style="11" customWidth="1"/>
    <col min="16127" max="16127" width="3.42578125" style="11" customWidth="1"/>
    <col min="16128" max="16128" width="7.42578125" style="11" customWidth="1"/>
    <col min="16129" max="16129" width="14.28515625" style="11" customWidth="1"/>
    <col min="16130" max="16130" width="2.140625" style="11" customWidth="1"/>
    <col min="16131" max="16131" width="3" style="11" customWidth="1"/>
    <col min="16132" max="16132" width="6.28515625" style="11" customWidth="1"/>
    <col min="16133" max="16133" width="13.28515625" style="11" customWidth="1"/>
    <col min="16134" max="16135" width="2.28515625" style="11" customWidth="1"/>
    <col min="16136" max="16136" width="8.42578125" style="11" customWidth="1"/>
    <col min="16137" max="16137" width="10.85546875" style="11" customWidth="1"/>
    <col min="16138" max="16138" width="2.5703125" style="11" customWidth="1"/>
    <col min="16139" max="16139" width="2" style="11" customWidth="1"/>
    <col min="16140" max="16140" width="13.28515625" style="11" customWidth="1"/>
    <col min="16141" max="16141" width="14.7109375" style="11" customWidth="1"/>
    <col min="16142" max="16142" width="2.5703125" style="11" customWidth="1"/>
    <col min="16143" max="16143" width="7.5703125" style="11" customWidth="1"/>
    <col min="16144" max="16144" width="12.140625" style="11" customWidth="1"/>
    <col min="16145" max="16145" width="15.28515625" style="11" customWidth="1"/>
    <col min="16146" max="16147" width="2.5703125" style="11" customWidth="1"/>
    <col min="16148" max="16148" width="8.28515625" style="11" customWidth="1"/>
    <col min="16149" max="16149" width="15" style="11" customWidth="1"/>
    <col min="16150" max="16384" width="11.42578125" style="11"/>
  </cols>
  <sheetData>
    <row r="2" spans="2:84">
      <c r="B2" s="662" t="s">
        <v>85</v>
      </c>
      <c r="C2" s="662"/>
      <c r="D2" s="662"/>
      <c r="E2" s="662"/>
      <c r="F2" s="662"/>
      <c r="G2" s="662"/>
      <c r="H2" s="662"/>
      <c r="I2" s="662"/>
      <c r="J2" s="662"/>
      <c r="K2" s="662"/>
      <c r="L2" s="662"/>
      <c r="M2" s="662"/>
      <c r="N2" s="662"/>
      <c r="O2" s="662"/>
      <c r="P2" s="662"/>
      <c r="Q2" s="662"/>
      <c r="R2" s="662"/>
      <c r="S2" s="662"/>
      <c r="T2" s="662"/>
      <c r="U2" s="662"/>
      <c r="W2" s="662" t="s">
        <v>85</v>
      </c>
      <c r="X2" s="662"/>
      <c r="Y2" s="662"/>
      <c r="Z2" s="662"/>
      <c r="AA2" s="662"/>
      <c r="AB2" s="662"/>
      <c r="AC2" s="662"/>
      <c r="AD2" s="662"/>
      <c r="AE2" s="662"/>
      <c r="AF2" s="662"/>
      <c r="AG2" s="662"/>
      <c r="AH2" s="662"/>
      <c r="AI2" s="662"/>
      <c r="AJ2" s="662"/>
      <c r="AK2" s="662"/>
      <c r="AL2" s="662"/>
      <c r="AM2" s="662"/>
      <c r="AN2" s="662"/>
      <c r="AO2" s="662"/>
      <c r="AP2" s="662"/>
      <c r="AR2" s="662" t="s">
        <v>85</v>
      </c>
      <c r="AS2" s="662"/>
      <c r="AT2" s="662"/>
      <c r="AU2" s="662"/>
      <c r="AV2" s="662"/>
      <c r="AW2" s="662"/>
      <c r="AX2" s="662"/>
      <c r="AY2" s="662"/>
      <c r="AZ2" s="662"/>
      <c r="BA2" s="662"/>
      <c r="BB2" s="662"/>
      <c r="BC2" s="662"/>
      <c r="BD2" s="662"/>
      <c r="BE2" s="662"/>
      <c r="BF2" s="662"/>
      <c r="BG2" s="662"/>
      <c r="BH2" s="662"/>
      <c r="BI2" s="662"/>
      <c r="BJ2" s="662"/>
      <c r="BK2" s="662"/>
      <c r="BM2" s="682" t="s">
        <v>85</v>
      </c>
      <c r="BN2" s="682"/>
      <c r="BO2" s="682"/>
      <c r="BP2" s="682"/>
      <c r="BQ2" s="682"/>
      <c r="BR2" s="682"/>
      <c r="BS2" s="682"/>
      <c r="BT2" s="682"/>
      <c r="BU2" s="682"/>
      <c r="BV2" s="682"/>
      <c r="BW2" s="682"/>
      <c r="BX2" s="682"/>
      <c r="BY2" s="682"/>
      <c r="BZ2" s="682"/>
      <c r="CA2" s="682"/>
      <c r="CB2" s="682"/>
      <c r="CC2" s="682"/>
      <c r="CD2" s="682"/>
      <c r="CE2" s="682"/>
      <c r="CF2" s="682"/>
    </row>
    <row r="3" spans="2:84">
      <c r="B3" s="662" t="s">
        <v>86</v>
      </c>
      <c r="C3" s="662"/>
      <c r="D3" s="662"/>
      <c r="E3" s="662"/>
      <c r="F3" s="662"/>
      <c r="G3" s="662"/>
      <c r="H3" s="662"/>
      <c r="I3" s="662"/>
      <c r="J3" s="662"/>
      <c r="K3" s="662"/>
      <c r="L3" s="662"/>
      <c r="M3" s="662"/>
      <c r="N3" s="662"/>
      <c r="O3" s="662"/>
      <c r="P3" s="662"/>
      <c r="Q3" s="662"/>
      <c r="R3" s="662"/>
      <c r="S3" s="662"/>
      <c r="T3" s="662"/>
      <c r="U3" s="662"/>
      <c r="W3" s="662" t="s">
        <v>86</v>
      </c>
      <c r="X3" s="662"/>
      <c r="Y3" s="662"/>
      <c r="Z3" s="662"/>
      <c r="AA3" s="662"/>
      <c r="AB3" s="662"/>
      <c r="AC3" s="662"/>
      <c r="AD3" s="662"/>
      <c r="AE3" s="662"/>
      <c r="AF3" s="662"/>
      <c r="AG3" s="662"/>
      <c r="AH3" s="662"/>
      <c r="AI3" s="662"/>
      <c r="AJ3" s="662"/>
      <c r="AK3" s="662"/>
      <c r="AL3" s="662"/>
      <c r="AM3" s="662"/>
      <c r="AN3" s="662"/>
      <c r="AO3" s="662"/>
      <c r="AP3" s="662"/>
      <c r="AR3" s="662" t="s">
        <v>86</v>
      </c>
      <c r="AS3" s="662"/>
      <c r="AT3" s="662"/>
      <c r="AU3" s="662"/>
      <c r="AV3" s="662"/>
      <c r="AW3" s="662"/>
      <c r="AX3" s="662"/>
      <c r="AY3" s="662"/>
      <c r="AZ3" s="662"/>
      <c r="BA3" s="662"/>
      <c r="BB3" s="662"/>
      <c r="BC3" s="662"/>
      <c r="BD3" s="662"/>
      <c r="BE3" s="662"/>
      <c r="BF3" s="662"/>
      <c r="BG3" s="662"/>
      <c r="BH3" s="662"/>
      <c r="BI3" s="662"/>
      <c r="BJ3" s="662"/>
      <c r="BK3" s="662"/>
      <c r="BM3" s="682" t="s">
        <v>86</v>
      </c>
      <c r="BN3" s="682"/>
      <c r="BO3" s="682"/>
      <c r="BP3" s="682"/>
      <c r="BQ3" s="682"/>
      <c r="BR3" s="682"/>
      <c r="BS3" s="682"/>
      <c r="BT3" s="682"/>
      <c r="BU3" s="682"/>
      <c r="BV3" s="682"/>
      <c r="BW3" s="682"/>
      <c r="BX3" s="682"/>
      <c r="BY3" s="682"/>
      <c r="BZ3" s="682"/>
      <c r="CA3" s="682"/>
      <c r="CB3" s="682"/>
      <c r="CC3" s="682"/>
      <c r="CD3" s="682"/>
      <c r="CE3" s="682"/>
      <c r="CF3" s="682"/>
    </row>
    <row r="4" spans="2:84" ht="16.5" thickBot="1"/>
    <row r="5" spans="2:84">
      <c r="B5" s="469"/>
      <c r="C5" s="671"/>
      <c r="D5" s="671"/>
      <c r="E5" s="671"/>
      <c r="F5" s="671"/>
      <c r="G5" s="671"/>
      <c r="H5" s="671"/>
      <c r="I5" s="671"/>
      <c r="J5" s="671"/>
      <c r="K5" s="671"/>
      <c r="L5" s="671"/>
      <c r="M5" s="671"/>
      <c r="N5" s="671"/>
      <c r="O5" s="671"/>
      <c r="P5" s="671"/>
      <c r="Q5" s="671"/>
      <c r="R5" s="671"/>
      <c r="S5" s="671"/>
      <c r="T5" s="671"/>
      <c r="U5" s="470"/>
      <c r="W5" s="469"/>
      <c r="X5" s="471"/>
      <c r="Y5" s="471"/>
      <c r="Z5" s="471"/>
      <c r="AA5" s="471"/>
      <c r="AB5" s="471"/>
      <c r="AC5" s="471"/>
      <c r="AD5" s="471"/>
      <c r="AE5" s="471"/>
      <c r="AF5" s="471"/>
      <c r="AG5" s="471"/>
      <c r="AH5" s="471"/>
      <c r="AI5" s="471"/>
      <c r="AJ5" s="471"/>
      <c r="AK5" s="471"/>
      <c r="AL5" s="471"/>
      <c r="AM5" s="471"/>
      <c r="AN5" s="471"/>
      <c r="AO5" s="471"/>
      <c r="AP5" s="470"/>
      <c r="AR5" s="469"/>
      <c r="AS5" s="471"/>
      <c r="AT5" s="471"/>
      <c r="AU5" s="471"/>
      <c r="AV5" s="471"/>
      <c r="AW5" s="471"/>
      <c r="AX5" s="471"/>
      <c r="AY5" s="471"/>
      <c r="AZ5" s="471"/>
      <c r="BA5" s="471"/>
      <c r="BB5" s="471"/>
      <c r="BC5" s="471"/>
      <c r="BD5" s="471"/>
      <c r="BE5" s="471"/>
      <c r="BF5" s="471"/>
      <c r="BG5" s="471"/>
      <c r="BH5" s="471"/>
      <c r="BI5" s="471"/>
      <c r="BJ5" s="471"/>
      <c r="BK5" s="470"/>
      <c r="BM5" s="469"/>
      <c r="BN5" s="471"/>
      <c r="BO5" s="471"/>
      <c r="BP5" s="471"/>
      <c r="BQ5" s="471"/>
      <c r="BR5" s="471"/>
      <c r="BS5" s="471"/>
      <c r="BT5" s="471"/>
      <c r="BU5" s="471"/>
      <c r="BV5" s="471"/>
      <c r="BW5" s="471"/>
      <c r="BX5" s="471"/>
      <c r="BY5" s="471"/>
      <c r="BZ5" s="471"/>
      <c r="CA5" s="471"/>
      <c r="CB5" s="471"/>
      <c r="CC5" s="471"/>
      <c r="CD5" s="471"/>
      <c r="CE5" s="471"/>
      <c r="CF5" s="470"/>
    </row>
    <row r="6" spans="2:84">
      <c r="B6" s="472"/>
      <c r="C6" s="672" t="s">
        <v>400</v>
      </c>
      <c r="D6" s="672"/>
      <c r="E6" s="672"/>
      <c r="F6" s="672"/>
      <c r="G6" s="672"/>
      <c r="H6" s="672"/>
      <c r="I6" s="672"/>
      <c r="J6" s="672"/>
      <c r="K6" s="672"/>
      <c r="L6" s="672"/>
      <c r="M6" s="672"/>
      <c r="N6" s="672"/>
      <c r="O6" s="672"/>
      <c r="P6" s="672"/>
      <c r="Q6" s="672"/>
      <c r="R6" s="672"/>
      <c r="S6" s="672"/>
      <c r="T6" s="672"/>
      <c r="U6" s="473"/>
      <c r="W6" s="472"/>
      <c r="X6" s="672" t="s">
        <v>401</v>
      </c>
      <c r="Y6" s="672"/>
      <c r="Z6" s="672"/>
      <c r="AA6" s="672"/>
      <c r="AB6" s="672"/>
      <c r="AC6" s="672"/>
      <c r="AD6" s="672"/>
      <c r="AE6" s="672"/>
      <c r="AF6" s="672"/>
      <c r="AG6" s="672"/>
      <c r="AH6" s="672"/>
      <c r="AI6" s="672"/>
      <c r="AJ6" s="672"/>
      <c r="AK6" s="672"/>
      <c r="AL6" s="672"/>
      <c r="AM6" s="672"/>
      <c r="AN6" s="672"/>
      <c r="AO6" s="672"/>
      <c r="AP6" s="473"/>
      <c r="AR6" s="472"/>
      <c r="AS6" s="681" t="s">
        <v>402</v>
      </c>
      <c r="AT6" s="681"/>
      <c r="AU6" s="681"/>
      <c r="AV6" s="681"/>
      <c r="AW6" s="681"/>
      <c r="AX6" s="681"/>
      <c r="AY6" s="681"/>
      <c r="AZ6" s="681"/>
      <c r="BA6" s="681"/>
      <c r="BB6" s="681"/>
      <c r="BC6" s="681"/>
      <c r="BD6" s="681"/>
      <c r="BE6" s="681"/>
      <c r="BF6" s="681"/>
      <c r="BG6" s="681"/>
      <c r="BH6" s="681"/>
      <c r="BI6" s="681"/>
      <c r="BJ6" s="681"/>
      <c r="BK6" s="473"/>
      <c r="BM6" s="472"/>
      <c r="BN6" s="681" t="s">
        <v>403</v>
      </c>
      <c r="BO6" s="681"/>
      <c r="BP6" s="681"/>
      <c r="BQ6" s="681"/>
      <c r="BR6" s="681"/>
      <c r="BS6" s="681"/>
      <c r="BT6" s="681"/>
      <c r="BU6" s="681"/>
      <c r="BV6" s="681"/>
      <c r="BW6" s="681"/>
      <c r="BX6" s="681"/>
      <c r="BY6" s="681"/>
      <c r="BZ6" s="681"/>
      <c r="CA6" s="681"/>
      <c r="CB6" s="681"/>
      <c r="CC6" s="681"/>
      <c r="CD6" s="681"/>
      <c r="CE6" s="681"/>
      <c r="CF6" s="473"/>
    </row>
    <row r="7" spans="2:84">
      <c r="B7" s="472"/>
      <c r="C7" s="474"/>
      <c r="D7" s="20"/>
      <c r="E7" s="20"/>
      <c r="F7" s="20"/>
      <c r="G7" s="20"/>
      <c r="H7" s="20"/>
      <c r="I7" s="20"/>
      <c r="J7" s="20"/>
      <c r="K7" s="20"/>
      <c r="L7" s="20"/>
      <c r="M7" s="20"/>
      <c r="N7" s="20"/>
      <c r="O7" s="20"/>
      <c r="P7" s="20"/>
      <c r="Q7" s="20"/>
      <c r="R7" s="20"/>
      <c r="S7" s="20"/>
      <c r="T7" s="20"/>
      <c r="U7" s="473"/>
      <c r="W7" s="472"/>
      <c r="X7" s="474"/>
      <c r="Y7" s="20"/>
      <c r="Z7" s="20"/>
      <c r="AA7" s="20"/>
      <c r="AB7" s="20"/>
      <c r="AC7" s="20"/>
      <c r="AD7" s="20"/>
      <c r="AE7" s="20"/>
      <c r="AF7" s="20"/>
      <c r="AG7" s="20"/>
      <c r="AH7" s="20"/>
      <c r="AI7" s="20"/>
      <c r="AJ7" s="20"/>
      <c r="AK7" s="20"/>
      <c r="AL7" s="20"/>
      <c r="AM7" s="20"/>
      <c r="AN7" s="20"/>
      <c r="AO7" s="20"/>
      <c r="AP7" s="473"/>
      <c r="AR7" s="472"/>
      <c r="AS7" s="474"/>
      <c r="AT7" s="20"/>
      <c r="AU7" s="20"/>
      <c r="AV7" s="20"/>
      <c r="AW7" s="20"/>
      <c r="AX7" s="20"/>
      <c r="AY7" s="20"/>
      <c r="AZ7" s="20"/>
      <c r="BA7" s="20"/>
      <c r="BB7" s="20"/>
      <c r="BC7" s="20"/>
      <c r="BD7" s="20"/>
      <c r="BE7" s="20"/>
      <c r="BF7" s="20"/>
      <c r="BG7" s="20"/>
      <c r="BH7" s="20"/>
      <c r="BI7" s="20"/>
      <c r="BJ7" s="20"/>
      <c r="BK7" s="473"/>
      <c r="BM7" s="472"/>
      <c r="BN7" s="474"/>
      <c r="BO7" s="20"/>
      <c r="BP7" s="20"/>
      <c r="BQ7" s="20"/>
      <c r="BR7" s="20"/>
      <c r="BS7" s="20"/>
      <c r="BT7" s="20"/>
      <c r="BU7" s="20"/>
      <c r="BV7" s="20"/>
      <c r="BW7" s="20"/>
      <c r="BX7" s="20"/>
      <c r="BY7" s="20"/>
      <c r="BZ7" s="20"/>
      <c r="CA7" s="20"/>
      <c r="CB7" s="20"/>
      <c r="CC7" s="20"/>
      <c r="CD7" s="20"/>
      <c r="CE7" s="20"/>
      <c r="CF7" s="473"/>
    </row>
    <row r="8" spans="2:84">
      <c r="B8" s="472"/>
      <c r="C8" s="20"/>
      <c r="D8" s="474"/>
      <c r="E8" s="474"/>
      <c r="F8" s="474"/>
      <c r="G8" s="474"/>
      <c r="H8" s="474"/>
      <c r="I8" s="474"/>
      <c r="J8" s="474"/>
      <c r="K8" s="474"/>
      <c r="L8" s="475"/>
      <c r="M8" s="474"/>
      <c r="N8" s="474"/>
      <c r="O8" s="474"/>
      <c r="P8" s="474"/>
      <c r="Q8" s="474"/>
      <c r="R8" s="474"/>
      <c r="S8" s="476" t="s">
        <v>4</v>
      </c>
      <c r="T8" s="477"/>
      <c r="U8" s="473"/>
      <c r="W8" s="472"/>
      <c r="X8" s="20"/>
      <c r="Y8" s="474"/>
      <c r="Z8" s="474"/>
      <c r="AA8" s="474"/>
      <c r="AB8" s="474"/>
      <c r="AC8" s="474"/>
      <c r="AD8" s="474"/>
      <c r="AE8" s="474"/>
      <c r="AF8" s="474"/>
      <c r="AG8" s="475"/>
      <c r="AH8" s="474"/>
      <c r="AI8" s="474"/>
      <c r="AJ8" s="474"/>
      <c r="AK8" s="474"/>
      <c r="AL8" s="474"/>
      <c r="AM8" s="474"/>
      <c r="AN8" s="476" t="s">
        <v>4</v>
      </c>
      <c r="AO8" s="477"/>
      <c r="AP8" s="473"/>
      <c r="AR8" s="472"/>
      <c r="AS8" s="20"/>
      <c r="AT8" s="474"/>
      <c r="AU8" s="474"/>
      <c r="AV8" s="474"/>
      <c r="AW8" s="474"/>
      <c r="AX8" s="474"/>
      <c r="AY8" s="474"/>
      <c r="AZ8" s="474"/>
      <c r="BA8" s="474"/>
      <c r="BB8" s="475"/>
      <c r="BC8" s="474"/>
      <c r="BD8" s="474"/>
      <c r="BE8" s="474"/>
      <c r="BF8" s="474"/>
      <c r="BG8" s="474"/>
      <c r="BH8" s="474"/>
      <c r="BI8" s="476" t="s">
        <v>4</v>
      </c>
      <c r="BJ8" s="477"/>
      <c r="BK8" s="473"/>
      <c r="BM8" s="472"/>
      <c r="BN8" s="20"/>
      <c r="BO8" s="474"/>
      <c r="BP8" s="474"/>
      <c r="BQ8" s="474"/>
      <c r="BR8" s="474"/>
      <c r="BS8" s="474"/>
      <c r="BT8" s="474"/>
      <c r="BU8" s="474"/>
      <c r="BV8" s="474"/>
      <c r="BW8" s="475"/>
      <c r="BX8" s="474"/>
      <c r="BY8" s="474"/>
      <c r="BZ8" s="474"/>
      <c r="CA8" s="474"/>
      <c r="CB8" s="474"/>
      <c r="CC8" s="474"/>
      <c r="CD8" s="476" t="s">
        <v>4</v>
      </c>
      <c r="CE8" s="477"/>
      <c r="CF8" s="473"/>
    </row>
    <row r="9" spans="2:84">
      <c r="B9" s="472"/>
      <c r="C9" s="474"/>
      <c r="D9" s="474"/>
      <c r="E9" s="474"/>
      <c r="F9" s="474"/>
      <c r="G9" s="474"/>
      <c r="H9" s="474"/>
      <c r="I9" s="474"/>
      <c r="J9" s="474"/>
      <c r="K9" s="474"/>
      <c r="L9" s="475"/>
      <c r="M9" s="474"/>
      <c r="N9" s="474"/>
      <c r="O9" s="474"/>
      <c r="P9" s="474"/>
      <c r="Q9" s="474"/>
      <c r="R9" s="474"/>
      <c r="S9" s="478"/>
      <c r="T9" s="479">
        <f>'INDICADORES BASICOS'!C9</f>
        <v>1010660000</v>
      </c>
      <c r="U9" s="473"/>
      <c r="W9" s="472"/>
      <c r="X9" s="474"/>
      <c r="Y9" s="474"/>
      <c r="Z9" s="474"/>
      <c r="AA9" s="474"/>
      <c r="AB9" s="474"/>
      <c r="AC9" s="474"/>
      <c r="AD9" s="474"/>
      <c r="AE9" s="474"/>
      <c r="AF9" s="474"/>
      <c r="AG9" s="475"/>
      <c r="AH9" s="474"/>
      <c r="AI9" s="474"/>
      <c r="AJ9" s="474"/>
      <c r="AK9" s="474"/>
      <c r="AL9" s="474"/>
      <c r="AM9" s="474"/>
      <c r="AN9" s="478"/>
      <c r="AO9" s="479">
        <f>'INDICADORES BASICOS'!F9</f>
        <v>569555000</v>
      </c>
      <c r="AP9" s="473"/>
      <c r="AR9" s="472"/>
      <c r="AS9" s="474"/>
      <c r="AT9" s="474"/>
      <c r="AU9" s="474"/>
      <c r="AV9" s="474"/>
      <c r="AW9" s="474"/>
      <c r="AX9" s="474"/>
      <c r="AY9" s="474"/>
      <c r="AZ9" s="474"/>
      <c r="BA9" s="474"/>
      <c r="BB9" s="475"/>
      <c r="BC9" s="474"/>
      <c r="BD9" s="474"/>
      <c r="BE9" s="474"/>
      <c r="BF9" s="474"/>
      <c r="BG9" s="474"/>
      <c r="BH9" s="474"/>
      <c r="BI9" s="478"/>
      <c r="BJ9" s="479">
        <f>'INDICADORES BASICOS'!F27</f>
        <v>243387000</v>
      </c>
      <c r="BK9" s="473"/>
      <c r="BM9" s="472"/>
      <c r="BN9" s="474"/>
      <c r="BO9" s="474"/>
      <c r="BP9" s="474"/>
      <c r="BQ9" s="474"/>
      <c r="BR9" s="474"/>
      <c r="BS9" s="474"/>
      <c r="BT9" s="474"/>
      <c r="BU9" s="474"/>
      <c r="BV9" s="474"/>
      <c r="BW9" s="475"/>
      <c r="BX9" s="474"/>
      <c r="BY9" s="474"/>
      <c r="BZ9" s="474"/>
      <c r="CA9" s="474"/>
      <c r="CB9" s="474"/>
      <c r="CC9" s="474"/>
      <c r="CD9" s="478"/>
      <c r="CE9" s="479">
        <f>'INDICADORES BASICOS'!F43</f>
        <v>51870000</v>
      </c>
      <c r="CF9" s="473"/>
    </row>
    <row r="10" spans="2:84">
      <c r="B10" s="472"/>
      <c r="C10" s="480"/>
      <c r="D10" s="474"/>
      <c r="E10" s="474"/>
      <c r="F10" s="474"/>
      <c r="G10" s="474"/>
      <c r="H10" s="474"/>
      <c r="I10" s="474"/>
      <c r="J10" s="474"/>
      <c r="K10" s="474"/>
      <c r="L10" s="474"/>
      <c r="M10" s="474"/>
      <c r="N10" s="474"/>
      <c r="O10" s="476" t="s">
        <v>374</v>
      </c>
      <c r="P10" s="477"/>
      <c r="Q10" s="474"/>
      <c r="R10" s="481"/>
      <c r="S10" s="482"/>
      <c r="T10" s="483"/>
      <c r="U10" s="473"/>
      <c r="W10" s="472"/>
      <c r="X10" s="480"/>
      <c r="Y10" s="474"/>
      <c r="Z10" s="474"/>
      <c r="AA10" s="474"/>
      <c r="AB10" s="474"/>
      <c r="AC10" s="474"/>
      <c r="AD10" s="474"/>
      <c r="AE10" s="474"/>
      <c r="AF10" s="474"/>
      <c r="AG10" s="474"/>
      <c r="AH10" s="474"/>
      <c r="AI10" s="474"/>
      <c r="AJ10" s="476" t="s">
        <v>374</v>
      </c>
      <c r="AK10" s="477"/>
      <c r="AL10" s="474"/>
      <c r="AM10" s="481"/>
      <c r="AN10" s="482"/>
      <c r="AO10" s="483"/>
      <c r="AP10" s="473"/>
      <c r="AR10" s="472"/>
      <c r="AS10" s="480"/>
      <c r="AT10" s="474"/>
      <c r="AU10" s="474"/>
      <c r="AV10" s="474"/>
      <c r="AW10" s="474"/>
      <c r="AX10" s="474"/>
      <c r="AY10" s="474"/>
      <c r="AZ10" s="474"/>
      <c r="BA10" s="474"/>
      <c r="BB10" s="474"/>
      <c r="BC10" s="474"/>
      <c r="BD10" s="474"/>
      <c r="BE10" s="476" t="s">
        <v>374</v>
      </c>
      <c r="BF10" s="477"/>
      <c r="BG10" s="474"/>
      <c r="BH10" s="481"/>
      <c r="BI10" s="482"/>
      <c r="BJ10" s="483"/>
      <c r="BK10" s="473"/>
      <c r="BM10" s="472"/>
      <c r="BN10" s="480"/>
      <c r="BO10" s="474"/>
      <c r="BP10" s="474"/>
      <c r="BQ10" s="474"/>
      <c r="BR10" s="474"/>
      <c r="BS10" s="474"/>
      <c r="BT10" s="474"/>
      <c r="BU10" s="474"/>
      <c r="BV10" s="474"/>
      <c r="BW10" s="474"/>
      <c r="BX10" s="474"/>
      <c r="BY10" s="474"/>
      <c r="BZ10" s="476" t="s">
        <v>374</v>
      </c>
      <c r="CA10" s="477"/>
      <c r="CB10" s="474"/>
      <c r="CC10" s="481"/>
      <c r="CD10" s="482"/>
      <c r="CE10" s="483"/>
      <c r="CF10" s="473"/>
    </row>
    <row r="11" spans="2:84">
      <c r="B11" s="472"/>
      <c r="C11" s="484"/>
      <c r="D11" s="20"/>
      <c r="E11" s="474"/>
      <c r="F11" s="474"/>
      <c r="G11" s="474"/>
      <c r="H11" s="474"/>
      <c r="I11" s="474"/>
      <c r="J11" s="474"/>
      <c r="K11" s="474"/>
      <c r="L11" s="474"/>
      <c r="M11" s="474"/>
      <c r="N11" s="474"/>
      <c r="O11" s="478"/>
      <c r="P11" s="479">
        <f>'INDICADORES BASICOS'!C8+'INDICADORES BASICOS'!C14</f>
        <v>1149634000</v>
      </c>
      <c r="Q11" s="474"/>
      <c r="R11" s="485"/>
      <c r="S11" s="486"/>
      <c r="T11" s="487"/>
      <c r="U11" s="473"/>
      <c r="W11" s="472"/>
      <c r="X11" s="484"/>
      <c r="Y11" s="20"/>
      <c r="Z11" s="474"/>
      <c r="AA11" s="474"/>
      <c r="AB11" s="474"/>
      <c r="AC11" s="474"/>
      <c r="AD11" s="474"/>
      <c r="AE11" s="474"/>
      <c r="AF11" s="474"/>
      <c r="AG11" s="474"/>
      <c r="AH11" s="474"/>
      <c r="AI11" s="474"/>
      <c r="AJ11" s="478"/>
      <c r="AK11" s="479">
        <f>'INDICADORES BASICOS'!F8+'INDICADORES BASICOS'!F14</f>
        <v>663086000</v>
      </c>
      <c r="AL11" s="474"/>
      <c r="AM11" s="485"/>
      <c r="AN11" s="486"/>
      <c r="AO11" s="487"/>
      <c r="AP11" s="473"/>
      <c r="AR11" s="472"/>
      <c r="AS11" s="484"/>
      <c r="AT11" s="20"/>
      <c r="AU11" s="474"/>
      <c r="AV11" s="474"/>
      <c r="AW11" s="474"/>
      <c r="AX11" s="474"/>
      <c r="AY11" s="474"/>
      <c r="AZ11" s="474"/>
      <c r="BA11" s="474"/>
      <c r="BB11" s="474"/>
      <c r="BC11" s="474"/>
      <c r="BD11" s="474"/>
      <c r="BE11" s="478"/>
      <c r="BF11" s="479">
        <f>'INDICADORES BASICOS'!F26+'INDICADORES BASICOS'!F32</f>
        <v>344167000</v>
      </c>
      <c r="BG11" s="474"/>
      <c r="BH11" s="485"/>
      <c r="BI11" s="486"/>
      <c r="BJ11" s="487"/>
      <c r="BK11" s="473"/>
      <c r="BM11" s="472"/>
      <c r="BN11" s="484"/>
      <c r="BO11" s="20"/>
      <c r="BP11" s="474"/>
      <c r="BQ11" s="474"/>
      <c r="BR11" s="474"/>
      <c r="BS11" s="474"/>
      <c r="BT11" s="474"/>
      <c r="BU11" s="474"/>
      <c r="BV11" s="474"/>
      <c r="BW11" s="474"/>
      <c r="BX11" s="474"/>
      <c r="BY11" s="474"/>
      <c r="BZ11" s="478"/>
      <c r="CA11" s="479">
        <f>'INDICADORES BASICOS'!F42+'INDICADORES BASICOS'!F47</f>
        <v>61980000</v>
      </c>
      <c r="CB11" s="474"/>
      <c r="CC11" s="485"/>
      <c r="CD11" s="486"/>
      <c r="CE11" s="487"/>
      <c r="CF11" s="473"/>
    </row>
    <row r="12" spans="2:84">
      <c r="B12" s="472"/>
      <c r="C12" s="474"/>
      <c r="D12" s="474"/>
      <c r="E12" s="474"/>
      <c r="F12" s="474"/>
      <c r="G12" s="474"/>
      <c r="H12" s="474"/>
      <c r="I12" s="474"/>
      <c r="J12" s="474"/>
      <c r="K12" s="488"/>
      <c r="L12" s="488"/>
      <c r="M12" s="474"/>
      <c r="N12" s="481"/>
      <c r="O12" s="482"/>
      <c r="P12" s="483"/>
      <c r="Q12" s="474"/>
      <c r="R12" s="485"/>
      <c r="S12" s="488"/>
      <c r="T12" s="489"/>
      <c r="U12" s="473"/>
      <c r="W12" s="472"/>
      <c r="X12" s="474"/>
      <c r="Y12" s="474"/>
      <c r="Z12" s="474"/>
      <c r="AA12" s="474"/>
      <c r="AB12" s="474"/>
      <c r="AC12" s="474"/>
      <c r="AD12" s="474"/>
      <c r="AE12" s="474"/>
      <c r="AF12" s="488"/>
      <c r="AG12" s="488"/>
      <c r="AH12" s="474"/>
      <c r="AI12" s="481"/>
      <c r="AJ12" s="482"/>
      <c r="AK12" s="483"/>
      <c r="AL12" s="474"/>
      <c r="AM12" s="485"/>
      <c r="AN12" s="488"/>
      <c r="AO12" s="489"/>
      <c r="AP12" s="473"/>
      <c r="AR12" s="472"/>
      <c r="AS12" s="474"/>
      <c r="AT12" s="474"/>
      <c r="AU12" s="474"/>
      <c r="AV12" s="474"/>
      <c r="AW12" s="474"/>
      <c r="AX12" s="474"/>
      <c r="AY12" s="474"/>
      <c r="AZ12" s="474"/>
      <c r="BA12" s="488"/>
      <c r="BB12" s="488"/>
      <c r="BC12" s="474"/>
      <c r="BD12" s="481"/>
      <c r="BE12" s="482"/>
      <c r="BF12" s="483"/>
      <c r="BG12" s="474"/>
      <c r="BH12" s="485"/>
      <c r="BI12" s="488"/>
      <c r="BJ12" s="489"/>
      <c r="BK12" s="473"/>
      <c r="BM12" s="472"/>
      <c r="BN12" s="474"/>
      <c r="BO12" s="474"/>
      <c r="BP12" s="474"/>
      <c r="BQ12" s="474"/>
      <c r="BR12" s="474"/>
      <c r="BS12" s="474"/>
      <c r="BT12" s="474"/>
      <c r="BU12" s="474"/>
      <c r="BV12" s="488"/>
      <c r="BW12" s="488"/>
      <c r="BX12" s="474"/>
      <c r="BY12" s="481"/>
      <c r="BZ12" s="482"/>
      <c r="CA12" s="483"/>
      <c r="CB12" s="474"/>
      <c r="CC12" s="485"/>
      <c r="CD12" s="488"/>
      <c r="CE12" s="489"/>
      <c r="CF12" s="473"/>
    </row>
    <row r="13" spans="2:84">
      <c r="B13" s="472"/>
      <c r="C13" s="474"/>
      <c r="D13" s="474"/>
      <c r="E13" s="474"/>
      <c r="F13" s="474"/>
      <c r="G13" s="474"/>
      <c r="H13" s="474"/>
      <c r="I13" s="474"/>
      <c r="J13" s="474"/>
      <c r="K13" s="476" t="s">
        <v>14</v>
      </c>
      <c r="L13" s="477"/>
      <c r="M13" s="474"/>
      <c r="N13" s="485"/>
      <c r="O13" s="486"/>
      <c r="P13" s="487"/>
      <c r="Q13" s="474"/>
      <c r="R13" s="485"/>
      <c r="S13" s="476" t="s">
        <v>375</v>
      </c>
      <c r="T13" s="477"/>
      <c r="U13" s="473"/>
      <c r="W13" s="472"/>
      <c r="X13" s="474"/>
      <c r="Y13" s="474"/>
      <c r="Z13" s="474"/>
      <c r="AA13" s="474"/>
      <c r="AB13" s="474"/>
      <c r="AC13" s="474"/>
      <c r="AD13" s="474"/>
      <c r="AE13" s="474"/>
      <c r="AF13" s="476" t="s">
        <v>14</v>
      </c>
      <c r="AG13" s="477"/>
      <c r="AH13" s="474"/>
      <c r="AI13" s="485"/>
      <c r="AJ13" s="486"/>
      <c r="AK13" s="487"/>
      <c r="AL13" s="474"/>
      <c r="AM13" s="485"/>
      <c r="AN13" s="476" t="s">
        <v>375</v>
      </c>
      <c r="AO13" s="477"/>
      <c r="AP13" s="473"/>
      <c r="AR13" s="472"/>
      <c r="AS13" s="474"/>
      <c r="AT13" s="474"/>
      <c r="AU13" s="474"/>
      <c r="AV13" s="474"/>
      <c r="AW13" s="474"/>
      <c r="AX13" s="474"/>
      <c r="AY13" s="474"/>
      <c r="AZ13" s="474"/>
      <c r="BA13" s="476" t="s">
        <v>14</v>
      </c>
      <c r="BB13" s="477"/>
      <c r="BC13" s="474"/>
      <c r="BD13" s="485"/>
      <c r="BE13" s="486"/>
      <c r="BF13" s="487"/>
      <c r="BG13" s="474"/>
      <c r="BH13" s="485"/>
      <c r="BI13" s="476" t="s">
        <v>375</v>
      </c>
      <c r="BJ13" s="477"/>
      <c r="BK13" s="473"/>
      <c r="BM13" s="472"/>
      <c r="BN13" s="474"/>
      <c r="BO13" s="474"/>
      <c r="BP13" s="474"/>
      <c r="BQ13" s="474"/>
      <c r="BR13" s="474"/>
      <c r="BS13" s="474"/>
      <c r="BT13" s="474"/>
      <c r="BU13" s="474"/>
      <c r="BV13" s="476" t="s">
        <v>14</v>
      </c>
      <c r="BW13" s="477"/>
      <c r="BX13" s="474"/>
      <c r="BY13" s="485"/>
      <c r="BZ13" s="486"/>
      <c r="CA13" s="487"/>
      <c r="CB13" s="474"/>
      <c r="CC13" s="485"/>
      <c r="CD13" s="476" t="s">
        <v>375</v>
      </c>
      <c r="CE13" s="477"/>
      <c r="CF13" s="473"/>
    </row>
    <row r="14" spans="2:84">
      <c r="B14" s="472"/>
      <c r="C14" s="474"/>
      <c r="D14" s="474"/>
      <c r="E14" s="474"/>
      <c r="F14" s="474"/>
      <c r="G14" s="474"/>
      <c r="H14" s="474"/>
      <c r="I14" s="474"/>
      <c r="J14" s="474"/>
      <c r="K14" s="478"/>
      <c r="L14" s="479">
        <f>P11-P17</f>
        <v>31577000</v>
      </c>
      <c r="M14" s="490"/>
      <c r="N14" s="485"/>
      <c r="O14" s="488"/>
      <c r="P14" s="489"/>
      <c r="Q14" s="474"/>
      <c r="R14" s="491"/>
      <c r="S14" s="478"/>
      <c r="T14" s="479">
        <f>'INDICADORES BASICOS'!C11+'INDICADORES BASICOS'!C12</f>
        <v>78047000</v>
      </c>
      <c r="U14" s="473"/>
      <c r="W14" s="472"/>
      <c r="X14" s="474"/>
      <c r="Y14" s="474"/>
      <c r="Z14" s="474"/>
      <c r="AA14" s="474"/>
      <c r="AB14" s="474"/>
      <c r="AC14" s="474"/>
      <c r="AD14" s="474"/>
      <c r="AE14" s="474"/>
      <c r="AF14" s="478"/>
      <c r="AG14" s="479">
        <f>AK11-AK17</f>
        <v>23753000</v>
      </c>
      <c r="AH14" s="490"/>
      <c r="AI14" s="485"/>
      <c r="AJ14" s="488"/>
      <c r="AK14" s="489"/>
      <c r="AL14" s="474"/>
      <c r="AM14" s="491"/>
      <c r="AN14" s="478"/>
      <c r="AO14" s="479">
        <f>'INDICADORES BASICOS'!F11+'INDICADORES BASICOS'!F12</f>
        <v>55148000</v>
      </c>
      <c r="AP14" s="473"/>
      <c r="AR14" s="472"/>
      <c r="AS14" s="474"/>
      <c r="AT14" s="474"/>
      <c r="AU14" s="474"/>
      <c r="AV14" s="474"/>
      <c r="AW14" s="474"/>
      <c r="AX14" s="474"/>
      <c r="AY14" s="474"/>
      <c r="AZ14" s="474"/>
      <c r="BA14" s="478"/>
      <c r="BB14" s="479">
        <f>BF11-BF17</f>
        <v>47818000</v>
      </c>
      <c r="BC14" s="490"/>
      <c r="BD14" s="485"/>
      <c r="BE14" s="488"/>
      <c r="BF14" s="489"/>
      <c r="BG14" s="474"/>
      <c r="BH14" s="491"/>
      <c r="BI14" s="478"/>
      <c r="BJ14" s="479">
        <f>'INDICADORES BASICOS'!F29+'INDICADORES BASICOS'!F30+'INDICADORES BASICOS'!F33</f>
        <v>31999000</v>
      </c>
      <c r="BK14" s="473"/>
      <c r="BM14" s="472"/>
      <c r="BN14" s="474"/>
      <c r="BO14" s="474"/>
      <c r="BP14" s="474"/>
      <c r="BQ14" s="474"/>
      <c r="BR14" s="474"/>
      <c r="BS14" s="474"/>
      <c r="BT14" s="474"/>
      <c r="BU14" s="474"/>
      <c r="BV14" s="478"/>
      <c r="BW14" s="479">
        <f>CA11-CA17</f>
        <v>8174000</v>
      </c>
      <c r="BX14" s="490"/>
      <c r="BY14" s="485"/>
      <c r="BZ14" s="488"/>
      <c r="CA14" s="489"/>
      <c r="CB14" s="474"/>
      <c r="CC14" s="491"/>
      <c r="CD14" s="478"/>
      <c r="CE14" s="479">
        <f>'INDICADORES BASICOS'!F45+'INDICADORES BASICOS'!F48</f>
        <v>1936000</v>
      </c>
      <c r="CF14" s="473"/>
    </row>
    <row r="15" spans="2:84">
      <c r="B15" s="472"/>
      <c r="C15" s="474"/>
      <c r="D15" s="474"/>
      <c r="E15" s="474"/>
      <c r="F15" s="474"/>
      <c r="G15" s="474"/>
      <c r="H15" s="474"/>
      <c r="I15" s="474"/>
      <c r="J15" s="481"/>
      <c r="K15" s="482"/>
      <c r="L15" s="483"/>
      <c r="M15" s="474"/>
      <c r="N15" s="492"/>
      <c r="O15" s="493"/>
      <c r="P15" s="493"/>
      <c r="Q15" s="474"/>
      <c r="R15" s="481"/>
      <c r="S15" s="482"/>
      <c r="T15" s="483"/>
      <c r="U15" s="473"/>
      <c r="W15" s="472"/>
      <c r="X15" s="474"/>
      <c r="Y15" s="474"/>
      <c r="Z15" s="474"/>
      <c r="AA15" s="474"/>
      <c r="AB15" s="474"/>
      <c r="AC15" s="474"/>
      <c r="AD15" s="474"/>
      <c r="AE15" s="481"/>
      <c r="AF15" s="482"/>
      <c r="AG15" s="483"/>
      <c r="AH15" s="474"/>
      <c r="AI15" s="492"/>
      <c r="AJ15" s="493"/>
      <c r="AK15" s="493"/>
      <c r="AL15" s="474"/>
      <c r="AM15" s="481"/>
      <c r="AN15" s="482"/>
      <c r="AO15" s="483"/>
      <c r="AP15" s="473"/>
      <c r="AR15" s="472"/>
      <c r="AS15" s="474"/>
      <c r="AT15" s="474"/>
      <c r="AU15" s="474"/>
      <c r="AV15" s="474"/>
      <c r="AW15" s="474"/>
      <c r="AX15" s="474"/>
      <c r="AY15" s="474"/>
      <c r="AZ15" s="481"/>
      <c r="BA15" s="482"/>
      <c r="BB15" s="483"/>
      <c r="BC15" s="474"/>
      <c r="BD15" s="492"/>
      <c r="BE15" s="493"/>
      <c r="BF15" s="493"/>
      <c r="BG15" s="474"/>
      <c r="BH15" s="481"/>
      <c r="BI15" s="482"/>
      <c r="BJ15" s="483"/>
      <c r="BK15" s="473"/>
      <c r="BM15" s="472"/>
      <c r="BN15" s="474"/>
      <c r="BO15" s="474"/>
      <c r="BP15" s="474"/>
      <c r="BQ15" s="474"/>
      <c r="BR15" s="474"/>
      <c r="BS15" s="474"/>
      <c r="BT15" s="474"/>
      <c r="BU15" s="481"/>
      <c r="BV15" s="482"/>
      <c r="BW15" s="483"/>
      <c r="BX15" s="474"/>
      <c r="BY15" s="492"/>
      <c r="BZ15" s="493"/>
      <c r="CA15" s="493"/>
      <c r="CB15" s="474"/>
      <c r="CC15" s="481"/>
      <c r="CD15" s="482"/>
      <c r="CE15" s="483"/>
      <c r="CF15" s="473"/>
    </row>
    <row r="16" spans="2:84">
      <c r="B16" s="472"/>
      <c r="C16" s="474"/>
      <c r="D16" s="474"/>
      <c r="E16" s="474"/>
      <c r="F16" s="474"/>
      <c r="G16" s="494" t="s">
        <v>376</v>
      </c>
      <c r="H16" s="495"/>
      <c r="I16" s="474"/>
      <c r="J16" s="485"/>
      <c r="K16" s="486"/>
      <c r="L16" s="496"/>
      <c r="M16" s="474"/>
      <c r="N16" s="485"/>
      <c r="O16" s="476" t="s">
        <v>377</v>
      </c>
      <c r="P16" s="477"/>
      <c r="Q16" s="474"/>
      <c r="R16" s="485"/>
      <c r="S16" s="486"/>
      <c r="T16" s="487"/>
      <c r="U16" s="473"/>
      <c r="W16" s="472"/>
      <c r="X16" s="474"/>
      <c r="Y16" s="474"/>
      <c r="Z16" s="474"/>
      <c r="AA16" s="474"/>
      <c r="AB16" s="494" t="s">
        <v>376</v>
      </c>
      <c r="AC16" s="495"/>
      <c r="AD16" s="474"/>
      <c r="AE16" s="485"/>
      <c r="AF16" s="486"/>
      <c r="AG16" s="496"/>
      <c r="AH16" s="474"/>
      <c r="AI16" s="485"/>
      <c r="AJ16" s="476" t="s">
        <v>377</v>
      </c>
      <c r="AK16" s="477"/>
      <c r="AL16" s="474"/>
      <c r="AM16" s="485"/>
      <c r="AN16" s="486"/>
      <c r="AO16" s="487"/>
      <c r="AP16" s="473"/>
      <c r="AR16" s="472"/>
      <c r="AS16" s="474"/>
      <c r="AT16" s="474"/>
      <c r="AU16" s="474"/>
      <c r="AV16" s="474"/>
      <c r="AW16" s="494" t="s">
        <v>376</v>
      </c>
      <c r="AX16" s="495"/>
      <c r="AY16" s="474"/>
      <c r="AZ16" s="485"/>
      <c r="BA16" s="486"/>
      <c r="BB16" s="496"/>
      <c r="BC16" s="474"/>
      <c r="BD16" s="485"/>
      <c r="BE16" s="476" t="s">
        <v>377</v>
      </c>
      <c r="BF16" s="477"/>
      <c r="BG16" s="474"/>
      <c r="BH16" s="485"/>
      <c r="BI16" s="486"/>
      <c r="BJ16" s="487"/>
      <c r="BK16" s="473"/>
      <c r="BM16" s="472"/>
      <c r="BN16" s="474"/>
      <c r="BO16" s="474"/>
      <c r="BP16" s="474"/>
      <c r="BQ16" s="474"/>
      <c r="BR16" s="494" t="s">
        <v>376</v>
      </c>
      <c r="BS16" s="495"/>
      <c r="BT16" s="474"/>
      <c r="BU16" s="485"/>
      <c r="BV16" s="486"/>
      <c r="BW16" s="496"/>
      <c r="BX16" s="474"/>
      <c r="BY16" s="485"/>
      <c r="BZ16" s="476" t="s">
        <v>377</v>
      </c>
      <c r="CA16" s="477"/>
      <c r="CB16" s="474"/>
      <c r="CC16" s="485"/>
      <c r="CD16" s="486"/>
      <c r="CE16" s="487"/>
      <c r="CF16" s="473"/>
    </row>
    <row r="17" spans="1:84">
      <c r="B17" s="472"/>
      <c r="C17" s="474"/>
      <c r="D17" s="474"/>
      <c r="E17" s="474"/>
      <c r="F17" s="474"/>
      <c r="G17" s="497" t="s">
        <v>378</v>
      </c>
      <c r="H17" s="498"/>
      <c r="I17" s="474"/>
      <c r="J17" s="485"/>
      <c r="K17" s="488"/>
      <c r="L17" s="489"/>
      <c r="M17" s="20"/>
      <c r="N17" s="491"/>
      <c r="O17" s="478"/>
      <c r="P17" s="479">
        <f>T9+T14+T19+T24</f>
        <v>1118057000</v>
      </c>
      <c r="Q17" s="499"/>
      <c r="R17" s="485"/>
      <c r="S17" s="488"/>
      <c r="T17" s="489"/>
      <c r="U17" s="473"/>
      <c r="W17" s="472"/>
      <c r="X17" s="474"/>
      <c r="Y17" s="474"/>
      <c r="Z17" s="474"/>
      <c r="AA17" s="474"/>
      <c r="AB17" s="497" t="s">
        <v>378</v>
      </c>
      <c r="AC17" s="498"/>
      <c r="AD17" s="474"/>
      <c r="AE17" s="485"/>
      <c r="AF17" s="488"/>
      <c r="AG17" s="489"/>
      <c r="AH17" s="20"/>
      <c r="AI17" s="491"/>
      <c r="AJ17" s="478"/>
      <c r="AK17" s="479">
        <f>AO9+AO14+AO19+AO24</f>
        <v>639333000</v>
      </c>
      <c r="AL17" s="499"/>
      <c r="AM17" s="485"/>
      <c r="AN17" s="488"/>
      <c r="AO17" s="489"/>
      <c r="AP17" s="473"/>
      <c r="AR17" s="472"/>
      <c r="AS17" s="474"/>
      <c r="AT17" s="474"/>
      <c r="AU17" s="474"/>
      <c r="AV17" s="474"/>
      <c r="AW17" s="497" t="s">
        <v>378</v>
      </c>
      <c r="AX17" s="498"/>
      <c r="AY17" s="474"/>
      <c r="AZ17" s="485"/>
      <c r="BA17" s="488"/>
      <c r="BB17" s="489"/>
      <c r="BC17" s="20"/>
      <c r="BD17" s="491"/>
      <c r="BE17" s="478"/>
      <c r="BF17" s="479">
        <f>BJ9+BJ14+BJ19+BJ24</f>
        <v>296349000</v>
      </c>
      <c r="BG17" s="499"/>
      <c r="BH17" s="485"/>
      <c r="BI17" s="488"/>
      <c r="BJ17" s="489"/>
      <c r="BK17" s="473"/>
      <c r="BM17" s="472"/>
      <c r="BN17" s="474"/>
      <c r="BO17" s="474"/>
      <c r="BP17" s="474"/>
      <c r="BQ17" s="474"/>
      <c r="BR17" s="497" t="s">
        <v>378</v>
      </c>
      <c r="BS17" s="498"/>
      <c r="BT17" s="474"/>
      <c r="BU17" s="485"/>
      <c r="BV17" s="488"/>
      <c r="BW17" s="489"/>
      <c r="BX17" s="20"/>
      <c r="BY17" s="491"/>
      <c r="BZ17" s="478"/>
      <c r="CA17" s="479">
        <f>CE9+CE14+CE19+CE24</f>
        <v>53806000</v>
      </c>
      <c r="CB17" s="499"/>
      <c r="CC17" s="485"/>
      <c r="CD17" s="488"/>
      <c r="CE17" s="489"/>
      <c r="CF17" s="473"/>
    </row>
    <row r="18" spans="1:84">
      <c r="B18" s="472"/>
      <c r="C18" s="474"/>
      <c r="D18" s="474"/>
      <c r="E18" s="474"/>
      <c r="F18" s="474"/>
      <c r="G18" s="478"/>
      <c r="H18" s="500">
        <f>L14/L26</f>
        <v>2.7467002541678481E-2</v>
      </c>
      <c r="I18" s="491"/>
      <c r="J18" s="485"/>
      <c r="K18" s="493"/>
      <c r="L18" s="493"/>
      <c r="M18" s="474"/>
      <c r="N18" s="20"/>
      <c r="O18" s="482"/>
      <c r="P18" s="483"/>
      <c r="Q18" s="474"/>
      <c r="R18" s="492"/>
      <c r="S18" s="476" t="s">
        <v>379</v>
      </c>
      <c r="T18" s="477"/>
      <c r="U18" s="473"/>
      <c r="W18" s="472"/>
      <c r="X18" s="474"/>
      <c r="Y18" s="474"/>
      <c r="Z18" s="474"/>
      <c r="AA18" s="474"/>
      <c r="AB18" s="478"/>
      <c r="AC18" s="500">
        <f>AG14/AG26</f>
        <v>3.5821899421794458E-2</v>
      </c>
      <c r="AD18" s="491"/>
      <c r="AE18" s="485"/>
      <c r="AF18" s="493"/>
      <c r="AG18" s="493"/>
      <c r="AH18" s="474"/>
      <c r="AI18" s="20"/>
      <c r="AJ18" s="482"/>
      <c r="AK18" s="483"/>
      <c r="AL18" s="474"/>
      <c r="AM18" s="492"/>
      <c r="AN18" s="476" t="s">
        <v>379</v>
      </c>
      <c r="AO18" s="477"/>
      <c r="AP18" s="473"/>
      <c r="AR18" s="472"/>
      <c r="AS18" s="474"/>
      <c r="AT18" s="474"/>
      <c r="AU18" s="474"/>
      <c r="AV18" s="474"/>
      <c r="AW18" s="478"/>
      <c r="AX18" s="500">
        <f>BB14/BB26</f>
        <v>0.13893836422434458</v>
      </c>
      <c r="AY18" s="491"/>
      <c r="AZ18" s="485"/>
      <c r="BA18" s="493"/>
      <c r="BB18" s="493"/>
      <c r="BC18" s="474"/>
      <c r="BD18" s="20"/>
      <c r="BE18" s="482"/>
      <c r="BF18" s="483"/>
      <c r="BG18" s="474"/>
      <c r="BH18" s="492"/>
      <c r="BI18" s="476" t="s">
        <v>379</v>
      </c>
      <c r="BJ18" s="477"/>
      <c r="BK18" s="473"/>
      <c r="BM18" s="472"/>
      <c r="BN18" s="474"/>
      <c r="BO18" s="474"/>
      <c r="BP18" s="474"/>
      <c r="BQ18" s="474"/>
      <c r="BR18" s="478"/>
      <c r="BS18" s="500">
        <f>BW14/BW26</f>
        <v>0.13188125201677961</v>
      </c>
      <c r="BT18" s="491"/>
      <c r="BU18" s="485"/>
      <c r="BV18" s="493"/>
      <c r="BW18" s="493"/>
      <c r="BX18" s="474"/>
      <c r="BY18" s="20"/>
      <c r="BZ18" s="482"/>
      <c r="CA18" s="483"/>
      <c r="CB18" s="474"/>
      <c r="CC18" s="492"/>
      <c r="CD18" s="476" t="s">
        <v>379</v>
      </c>
      <c r="CE18" s="477"/>
      <c r="CF18" s="473"/>
    </row>
    <row r="19" spans="1:84">
      <c r="B19" s="472"/>
      <c r="C19" s="474"/>
      <c r="D19" s="474"/>
      <c r="E19" s="474"/>
      <c r="F19" s="481"/>
      <c r="G19" s="482"/>
      <c r="H19" s="501"/>
      <c r="I19" s="474"/>
      <c r="J19" s="485"/>
      <c r="K19" s="493"/>
      <c r="L19" s="493"/>
      <c r="M19" s="474"/>
      <c r="N19" s="20"/>
      <c r="O19" s="486"/>
      <c r="P19" s="487"/>
      <c r="Q19" s="474"/>
      <c r="R19" s="491"/>
      <c r="S19" s="478"/>
      <c r="T19" s="479">
        <f>'[1]ER 2017'!$C$78</f>
        <v>13083000</v>
      </c>
      <c r="U19" s="473"/>
      <c r="W19" s="472"/>
      <c r="X19" s="474"/>
      <c r="Y19" s="474"/>
      <c r="Z19" s="474"/>
      <c r="AA19" s="481"/>
      <c r="AB19" s="482"/>
      <c r="AC19" s="501"/>
      <c r="AD19" s="474"/>
      <c r="AE19" s="485"/>
      <c r="AF19" s="493"/>
      <c r="AG19" s="493"/>
      <c r="AH19" s="474"/>
      <c r="AI19" s="20"/>
      <c r="AJ19" s="486"/>
      <c r="AK19" s="487"/>
      <c r="AL19" s="474"/>
      <c r="AM19" s="491"/>
      <c r="AN19" s="478"/>
      <c r="AO19" s="479">
        <f>'[1] ER 2016'!$C$63</f>
        <v>2394000</v>
      </c>
      <c r="AP19" s="473"/>
      <c r="AR19" s="472"/>
      <c r="AS19" s="474"/>
      <c r="AT19" s="474"/>
      <c r="AU19" s="474"/>
      <c r="AV19" s="481"/>
      <c r="AW19" s="482"/>
      <c r="AX19" s="501"/>
      <c r="AY19" s="474"/>
      <c r="AZ19" s="485"/>
      <c r="BA19" s="493"/>
      <c r="BB19" s="493"/>
      <c r="BC19" s="474"/>
      <c r="BD19" s="20"/>
      <c r="BE19" s="486"/>
      <c r="BF19" s="487"/>
      <c r="BG19" s="474"/>
      <c r="BH19" s="491"/>
      <c r="BI19" s="478"/>
      <c r="BJ19" s="479">
        <v>0</v>
      </c>
      <c r="BK19" s="473"/>
      <c r="BM19" s="472"/>
      <c r="BN19" s="474"/>
      <c r="BO19" s="474"/>
      <c r="BP19" s="474"/>
      <c r="BQ19" s="481"/>
      <c r="BR19" s="482"/>
      <c r="BS19" s="501"/>
      <c r="BT19" s="474"/>
      <c r="BU19" s="485"/>
      <c r="BV19" s="493"/>
      <c r="BW19" s="493"/>
      <c r="BX19" s="474"/>
      <c r="BY19" s="20"/>
      <c r="BZ19" s="486"/>
      <c r="CA19" s="487"/>
      <c r="CB19" s="474"/>
      <c r="CC19" s="491"/>
      <c r="CD19" s="478"/>
      <c r="CE19" s="479">
        <v>0</v>
      </c>
      <c r="CF19" s="473"/>
    </row>
    <row r="20" spans="1:84">
      <c r="B20" s="502"/>
      <c r="C20" s="474"/>
      <c r="D20" s="474"/>
      <c r="E20" s="474"/>
      <c r="F20" s="485"/>
      <c r="G20" s="486"/>
      <c r="H20" s="503"/>
      <c r="I20" s="474"/>
      <c r="J20" s="485"/>
      <c r="K20" s="493"/>
      <c r="L20" s="493"/>
      <c r="M20" s="20"/>
      <c r="N20" s="20"/>
      <c r="O20" s="488"/>
      <c r="P20" s="489"/>
      <c r="Q20" s="474"/>
      <c r="R20" s="481"/>
      <c r="S20" s="482"/>
      <c r="T20" s="483"/>
      <c r="U20" s="473"/>
      <c r="W20" s="472"/>
      <c r="X20" s="474"/>
      <c r="Y20" s="474"/>
      <c r="Z20" s="474"/>
      <c r="AA20" s="485"/>
      <c r="AB20" s="486"/>
      <c r="AC20" s="503"/>
      <c r="AD20" s="474"/>
      <c r="AE20" s="485"/>
      <c r="AF20" s="493"/>
      <c r="AG20" s="493"/>
      <c r="AH20" s="20"/>
      <c r="AI20" s="20"/>
      <c r="AJ20" s="488"/>
      <c r="AK20" s="489"/>
      <c r="AL20" s="474"/>
      <c r="AM20" s="481"/>
      <c r="AN20" s="482"/>
      <c r="AO20" s="483"/>
      <c r="AP20" s="473"/>
      <c r="AR20" s="472"/>
      <c r="AS20" s="474"/>
      <c r="AT20" s="474"/>
      <c r="AU20" s="474"/>
      <c r="AV20" s="485"/>
      <c r="AW20" s="486"/>
      <c r="AX20" s="503"/>
      <c r="AY20" s="474"/>
      <c r="AZ20" s="485"/>
      <c r="BA20" s="493"/>
      <c r="BB20" s="493"/>
      <c r="BC20" s="20"/>
      <c r="BD20" s="20"/>
      <c r="BE20" s="488"/>
      <c r="BF20" s="489"/>
      <c r="BG20" s="474"/>
      <c r="BH20" s="481"/>
      <c r="BI20" s="482"/>
      <c r="BJ20" s="483"/>
      <c r="BK20" s="473"/>
      <c r="BM20" s="472"/>
      <c r="BN20" s="474"/>
      <c r="BO20" s="474"/>
      <c r="BP20" s="474"/>
      <c r="BQ20" s="485"/>
      <c r="BR20" s="486"/>
      <c r="BS20" s="503"/>
      <c r="BT20" s="474"/>
      <c r="BU20" s="485"/>
      <c r="BV20" s="493"/>
      <c r="BW20" s="493"/>
      <c r="BX20" s="20"/>
      <c r="BY20" s="20"/>
      <c r="BZ20" s="488"/>
      <c r="CA20" s="489"/>
      <c r="CB20" s="474"/>
      <c r="CC20" s="481"/>
      <c r="CD20" s="482"/>
      <c r="CE20" s="483"/>
      <c r="CF20" s="473"/>
    </row>
    <row r="21" spans="1:84">
      <c r="B21" s="472"/>
      <c r="C21" s="474"/>
      <c r="D21" s="474"/>
      <c r="E21" s="474"/>
      <c r="F21" s="492"/>
      <c r="G21" s="488"/>
      <c r="H21" s="488"/>
      <c r="I21" s="474"/>
      <c r="J21" s="485"/>
      <c r="K21" s="493"/>
      <c r="L21" s="493"/>
      <c r="M21" s="20"/>
      <c r="N21" s="20"/>
      <c r="O21" s="493"/>
      <c r="P21" s="493"/>
      <c r="Q21" s="474"/>
      <c r="R21" s="485"/>
      <c r="S21" s="486"/>
      <c r="T21" s="487"/>
      <c r="U21" s="473"/>
      <c r="W21" s="472"/>
      <c r="X21" s="474"/>
      <c r="Y21" s="474"/>
      <c r="Z21" s="474"/>
      <c r="AA21" s="492"/>
      <c r="AB21" s="488"/>
      <c r="AC21" s="488"/>
      <c r="AD21" s="474"/>
      <c r="AE21" s="485"/>
      <c r="AF21" s="493"/>
      <c r="AG21" s="493"/>
      <c r="AH21" s="20"/>
      <c r="AI21" s="20"/>
      <c r="AJ21" s="493"/>
      <c r="AK21" s="493"/>
      <c r="AL21" s="474"/>
      <c r="AM21" s="485"/>
      <c r="AN21" s="486"/>
      <c r="AO21" s="487"/>
      <c r="AP21" s="473"/>
      <c r="AR21" s="472"/>
      <c r="AS21" s="474"/>
      <c r="AT21" s="474"/>
      <c r="AU21" s="474"/>
      <c r="AV21" s="492"/>
      <c r="AW21" s="488"/>
      <c r="AX21" s="488"/>
      <c r="AY21" s="474"/>
      <c r="AZ21" s="485"/>
      <c r="BA21" s="493"/>
      <c r="BB21" s="493"/>
      <c r="BC21" s="20"/>
      <c r="BD21" s="20"/>
      <c r="BE21" s="493"/>
      <c r="BF21" s="493"/>
      <c r="BG21" s="474"/>
      <c r="BH21" s="485"/>
      <c r="BI21" s="486"/>
      <c r="BJ21" s="487"/>
      <c r="BK21" s="473"/>
      <c r="BM21" s="472"/>
      <c r="BN21" s="474"/>
      <c r="BO21" s="474"/>
      <c r="BP21" s="474"/>
      <c r="BQ21" s="492"/>
      <c r="BR21" s="488"/>
      <c r="BS21" s="488"/>
      <c r="BT21" s="474"/>
      <c r="BU21" s="485"/>
      <c r="BV21" s="493"/>
      <c r="BW21" s="493"/>
      <c r="BX21" s="20"/>
      <c r="BY21" s="20"/>
      <c r="BZ21" s="493"/>
      <c r="CA21" s="493"/>
      <c r="CB21" s="474"/>
      <c r="CC21" s="485"/>
      <c r="CD21" s="486"/>
      <c r="CE21" s="487"/>
      <c r="CF21" s="473"/>
    </row>
    <row r="22" spans="1:84">
      <c r="B22" s="472"/>
      <c r="C22" s="474"/>
      <c r="D22" s="474"/>
      <c r="E22" s="474"/>
      <c r="F22" s="485"/>
      <c r="G22" s="488"/>
      <c r="H22" s="488"/>
      <c r="I22" s="474"/>
      <c r="J22" s="485"/>
      <c r="K22" s="488"/>
      <c r="L22" s="488"/>
      <c r="M22" s="474"/>
      <c r="N22" s="474"/>
      <c r="O22" s="20"/>
      <c r="P22" s="20"/>
      <c r="Q22" s="474"/>
      <c r="R22" s="492"/>
      <c r="S22" s="488"/>
      <c r="T22" s="489"/>
      <c r="U22" s="473"/>
      <c r="W22" s="472"/>
      <c r="X22" s="474"/>
      <c r="Y22" s="474"/>
      <c r="Z22" s="474"/>
      <c r="AA22" s="485"/>
      <c r="AB22" s="488"/>
      <c r="AC22" s="488"/>
      <c r="AD22" s="474"/>
      <c r="AE22" s="485"/>
      <c r="AF22" s="488"/>
      <c r="AG22" s="488"/>
      <c r="AH22" s="474"/>
      <c r="AI22" s="474"/>
      <c r="AJ22" s="20"/>
      <c r="AK22" s="20"/>
      <c r="AL22" s="474"/>
      <c r="AM22" s="492"/>
      <c r="AN22" s="488"/>
      <c r="AO22" s="489"/>
      <c r="AP22" s="473"/>
      <c r="AR22" s="472"/>
      <c r="AS22" s="474"/>
      <c r="AT22" s="474"/>
      <c r="AU22" s="474"/>
      <c r="AV22" s="485"/>
      <c r="AW22" s="488"/>
      <c r="AX22" s="488"/>
      <c r="AY22" s="474"/>
      <c r="AZ22" s="485"/>
      <c r="BA22" s="488"/>
      <c r="BB22" s="488"/>
      <c r="BC22" s="474"/>
      <c r="BD22" s="474"/>
      <c r="BE22" s="20"/>
      <c r="BF22" s="20"/>
      <c r="BG22" s="474"/>
      <c r="BH22" s="492"/>
      <c r="BI22" s="488"/>
      <c r="BJ22" s="489"/>
      <c r="BK22" s="473"/>
      <c r="BM22" s="472"/>
      <c r="BN22" s="474"/>
      <c r="BO22" s="474"/>
      <c r="BP22" s="474"/>
      <c r="BQ22" s="485"/>
      <c r="BR22" s="488"/>
      <c r="BS22" s="488"/>
      <c r="BT22" s="474"/>
      <c r="BU22" s="485"/>
      <c r="BV22" s="488"/>
      <c r="BW22" s="488"/>
      <c r="BX22" s="474"/>
      <c r="BY22" s="474"/>
      <c r="BZ22" s="20"/>
      <c r="CA22" s="20"/>
      <c r="CB22" s="474"/>
      <c r="CC22" s="492"/>
      <c r="CD22" s="488"/>
      <c r="CE22" s="489"/>
      <c r="CF22" s="473"/>
    </row>
    <row r="23" spans="1:84">
      <c r="B23" s="472"/>
      <c r="C23" s="474"/>
      <c r="D23" s="474"/>
      <c r="E23" s="474"/>
      <c r="F23" s="485"/>
      <c r="G23" s="488"/>
      <c r="H23" s="488"/>
      <c r="I23" s="474"/>
      <c r="J23" s="492"/>
      <c r="K23" s="488"/>
      <c r="L23" s="488"/>
      <c r="M23" s="474"/>
      <c r="N23" s="474"/>
      <c r="O23" s="20"/>
      <c r="P23" s="504"/>
      <c r="Q23" s="474"/>
      <c r="R23" s="485"/>
      <c r="S23" s="505" t="s">
        <v>313</v>
      </c>
      <c r="T23" s="477"/>
      <c r="U23" s="473"/>
      <c r="W23" s="472"/>
      <c r="X23" s="474"/>
      <c r="Y23" s="474"/>
      <c r="Z23" s="474"/>
      <c r="AA23" s="485"/>
      <c r="AB23" s="488"/>
      <c r="AC23" s="488"/>
      <c r="AD23" s="474"/>
      <c r="AE23" s="492"/>
      <c r="AF23" s="488"/>
      <c r="AG23" s="488"/>
      <c r="AH23" s="474"/>
      <c r="AI23" s="474"/>
      <c r="AJ23" s="20"/>
      <c r="AK23" s="20"/>
      <c r="AL23" s="474"/>
      <c r="AM23" s="485"/>
      <c r="AN23" s="505" t="s">
        <v>313</v>
      </c>
      <c r="AO23" s="477"/>
      <c r="AP23" s="473"/>
      <c r="AR23" s="472"/>
      <c r="AS23" s="474"/>
      <c r="AT23" s="474"/>
      <c r="AU23" s="474"/>
      <c r="AV23" s="485"/>
      <c r="AW23" s="488"/>
      <c r="AX23" s="488"/>
      <c r="AY23" s="474"/>
      <c r="AZ23" s="492"/>
      <c r="BA23" s="488"/>
      <c r="BB23" s="488"/>
      <c r="BC23" s="474"/>
      <c r="BD23" s="474"/>
      <c r="BE23" s="20"/>
      <c r="BF23" s="20"/>
      <c r="BG23" s="474"/>
      <c r="BH23" s="485"/>
      <c r="BI23" s="505" t="s">
        <v>313</v>
      </c>
      <c r="BJ23" s="477"/>
      <c r="BK23" s="473"/>
      <c r="BM23" s="472"/>
      <c r="BN23" s="474"/>
      <c r="BO23" s="474"/>
      <c r="BP23" s="474"/>
      <c r="BQ23" s="485"/>
      <c r="BR23" s="488"/>
      <c r="BS23" s="488"/>
      <c r="BT23" s="474"/>
      <c r="BU23" s="492"/>
      <c r="BV23" s="488"/>
      <c r="BW23" s="488"/>
      <c r="BX23" s="474"/>
      <c r="BY23" s="474"/>
      <c r="BZ23" s="20"/>
      <c r="CA23" s="20"/>
      <c r="CB23" s="474"/>
      <c r="CC23" s="485"/>
      <c r="CD23" s="505" t="s">
        <v>313</v>
      </c>
      <c r="CE23" s="477"/>
      <c r="CF23" s="473"/>
    </row>
    <row r="24" spans="1:84">
      <c r="B24" s="472"/>
      <c r="C24" s="474"/>
      <c r="D24" s="474"/>
      <c r="E24" s="474"/>
      <c r="F24" s="485"/>
      <c r="G24" s="488"/>
      <c r="H24" s="488"/>
      <c r="I24" s="474"/>
      <c r="J24" s="485"/>
      <c r="K24" s="488"/>
      <c r="L24" s="488"/>
      <c r="M24" s="474"/>
      <c r="N24" s="474"/>
      <c r="O24" s="20"/>
      <c r="P24" s="20"/>
      <c r="Q24" s="474"/>
      <c r="R24" s="491"/>
      <c r="S24" s="478"/>
      <c r="T24" s="479">
        <f>'INDICADORES BASICOS'!C18</f>
        <v>16267000.000000002</v>
      </c>
      <c r="U24" s="473"/>
      <c r="W24" s="472"/>
      <c r="X24" s="474"/>
      <c r="Y24" s="474"/>
      <c r="Z24" s="474"/>
      <c r="AA24" s="485"/>
      <c r="AB24" s="488"/>
      <c r="AC24" s="488"/>
      <c r="AD24" s="474"/>
      <c r="AE24" s="485"/>
      <c r="AF24" s="488"/>
      <c r="AG24" s="488"/>
      <c r="AH24" s="474"/>
      <c r="AI24" s="474"/>
      <c r="AJ24" s="20"/>
      <c r="AK24" s="20"/>
      <c r="AL24" s="474"/>
      <c r="AM24" s="491"/>
      <c r="AN24" s="478"/>
      <c r="AO24" s="479">
        <f>'INDICADORES BASICOS'!F17+'INDICADORES BASICOS'!F18</f>
        <v>12236000</v>
      </c>
      <c r="AP24" s="473"/>
      <c r="AR24" s="472"/>
      <c r="AS24" s="474"/>
      <c r="AT24" s="474"/>
      <c r="AU24" s="474"/>
      <c r="AV24" s="485"/>
      <c r="AW24" s="488"/>
      <c r="AX24" s="488"/>
      <c r="AY24" s="474"/>
      <c r="AZ24" s="485"/>
      <c r="BA24" s="488"/>
      <c r="BB24" s="488"/>
      <c r="BC24" s="474"/>
      <c r="BD24" s="474"/>
      <c r="BE24" s="20"/>
      <c r="BF24" s="504"/>
      <c r="BG24" s="474"/>
      <c r="BH24" s="491"/>
      <c r="BI24" s="478"/>
      <c r="BJ24" s="479">
        <f>'INDICADORES BASICOS'!F35+'INDICADORES BASICOS'!F36</f>
        <v>20963000</v>
      </c>
      <c r="BK24" s="473"/>
      <c r="BM24" s="472"/>
      <c r="BN24" s="474"/>
      <c r="BO24" s="474"/>
      <c r="BP24" s="474"/>
      <c r="BQ24" s="485"/>
      <c r="BR24" s="488"/>
      <c r="BS24" s="488"/>
      <c r="BT24" s="474"/>
      <c r="BU24" s="485"/>
      <c r="BV24" s="488"/>
      <c r="BW24" s="488"/>
      <c r="BX24" s="474"/>
      <c r="BY24" s="474"/>
      <c r="BZ24" s="20"/>
      <c r="CA24" s="20"/>
      <c r="CB24" s="474"/>
      <c r="CC24" s="491"/>
      <c r="CD24" s="478"/>
      <c r="CE24" s="479">
        <f>'INDICADORES BASICOS'!F50+'INDICADORES BASICOS'!F51</f>
        <v>0</v>
      </c>
      <c r="CF24" s="473"/>
    </row>
    <row r="25" spans="1:84">
      <c r="A25" s="20"/>
      <c r="B25" s="472"/>
      <c r="C25" s="20"/>
      <c r="D25" s="20"/>
      <c r="E25" s="20"/>
      <c r="F25" s="485"/>
      <c r="G25" s="493"/>
      <c r="H25" s="493"/>
      <c r="I25" s="20"/>
      <c r="J25" s="492"/>
      <c r="K25" s="476" t="s">
        <v>374</v>
      </c>
      <c r="L25" s="477"/>
      <c r="M25" s="474"/>
      <c r="N25" s="474"/>
      <c r="O25" s="506"/>
      <c r="P25" s="506"/>
      <c r="Q25" s="474"/>
      <c r="R25" s="507"/>
      <c r="S25" s="482"/>
      <c r="T25" s="508"/>
      <c r="U25" s="473"/>
      <c r="W25" s="472"/>
      <c r="X25" s="20"/>
      <c r="Y25" s="20"/>
      <c r="Z25" s="20"/>
      <c r="AA25" s="485"/>
      <c r="AB25" s="493"/>
      <c r="AC25" s="493"/>
      <c r="AD25" s="20"/>
      <c r="AE25" s="492"/>
      <c r="AF25" s="476" t="s">
        <v>374</v>
      </c>
      <c r="AG25" s="477"/>
      <c r="AH25" s="474"/>
      <c r="AI25" s="474"/>
      <c r="AJ25" s="506"/>
      <c r="AK25" s="506"/>
      <c r="AL25" s="474"/>
      <c r="AM25" s="507"/>
      <c r="AN25" s="482"/>
      <c r="AO25" s="508"/>
      <c r="AP25" s="473"/>
      <c r="AR25" s="472"/>
      <c r="AS25" s="20"/>
      <c r="AT25" s="20"/>
      <c r="AU25" s="20"/>
      <c r="AV25" s="485"/>
      <c r="AW25" s="493"/>
      <c r="AX25" s="493"/>
      <c r="AY25" s="20"/>
      <c r="AZ25" s="492"/>
      <c r="BA25" s="476" t="s">
        <v>374</v>
      </c>
      <c r="BB25" s="477"/>
      <c r="BC25" s="474"/>
      <c r="BD25" s="474"/>
      <c r="BE25" s="506"/>
      <c r="BF25" s="506"/>
      <c r="BG25" s="474"/>
      <c r="BH25" s="507"/>
      <c r="BI25" s="482"/>
      <c r="BJ25" s="508"/>
      <c r="BK25" s="473"/>
      <c r="BM25" s="472"/>
      <c r="BN25" s="20"/>
      <c r="BO25" s="20"/>
      <c r="BP25" s="20"/>
      <c r="BQ25" s="485"/>
      <c r="BR25" s="493"/>
      <c r="BS25" s="493"/>
      <c r="BT25" s="20"/>
      <c r="BU25" s="492"/>
      <c r="BV25" s="476" t="s">
        <v>374</v>
      </c>
      <c r="BW25" s="477"/>
      <c r="BX25" s="474"/>
      <c r="BY25" s="474"/>
      <c r="BZ25" s="506"/>
      <c r="CA25" s="506"/>
      <c r="CB25" s="474"/>
      <c r="CC25" s="507"/>
      <c r="CD25" s="482"/>
      <c r="CE25" s="508"/>
      <c r="CF25" s="473"/>
    </row>
    <row r="26" spans="1:84">
      <c r="A26" s="506"/>
      <c r="B26" s="472"/>
      <c r="C26" s="673" t="s">
        <v>380</v>
      </c>
      <c r="D26" s="674"/>
      <c r="E26" s="474"/>
      <c r="F26" s="485"/>
      <c r="G26" s="493"/>
      <c r="H26" s="509"/>
      <c r="I26" s="20"/>
      <c r="J26" s="510"/>
      <c r="K26" s="478"/>
      <c r="L26" s="479">
        <f>P11</f>
        <v>1149634000</v>
      </c>
      <c r="M26" s="474"/>
      <c r="N26" s="474"/>
      <c r="O26" s="488"/>
      <c r="P26" s="511"/>
      <c r="Q26" s="474"/>
      <c r="R26" s="474"/>
      <c r="S26" s="486"/>
      <c r="T26" s="487"/>
      <c r="U26" s="473"/>
      <c r="W26" s="472"/>
      <c r="X26" s="673" t="s">
        <v>380</v>
      </c>
      <c r="Y26" s="674"/>
      <c r="Z26" s="474"/>
      <c r="AA26" s="485"/>
      <c r="AB26" s="493"/>
      <c r="AC26" s="509"/>
      <c r="AD26" s="20"/>
      <c r="AE26" s="510"/>
      <c r="AF26" s="478"/>
      <c r="AG26" s="479">
        <f>'INDICADORES BASICOS'!F8</f>
        <v>663086000</v>
      </c>
      <c r="AH26" s="474"/>
      <c r="AI26" s="474"/>
      <c r="AJ26" s="488"/>
      <c r="AK26" s="511"/>
      <c r="AL26" s="474"/>
      <c r="AM26" s="474"/>
      <c r="AN26" s="486"/>
      <c r="AO26" s="487"/>
      <c r="AP26" s="473"/>
      <c r="AR26" s="472"/>
      <c r="AS26" s="673" t="s">
        <v>380</v>
      </c>
      <c r="AT26" s="674"/>
      <c r="AU26" s="474"/>
      <c r="AV26" s="485"/>
      <c r="AW26" s="493"/>
      <c r="AX26" s="509"/>
      <c r="AY26" s="20"/>
      <c r="AZ26" s="510"/>
      <c r="BA26" s="478"/>
      <c r="BB26" s="479">
        <f>BF11</f>
        <v>344167000</v>
      </c>
      <c r="BC26" s="474"/>
      <c r="BD26" s="474"/>
      <c r="BE26" s="488"/>
      <c r="BF26" s="511"/>
      <c r="BG26" s="474"/>
      <c r="BH26" s="474"/>
      <c r="BI26" s="486"/>
      <c r="BJ26" s="487"/>
      <c r="BK26" s="473"/>
      <c r="BM26" s="472"/>
      <c r="BN26" s="673" t="s">
        <v>380</v>
      </c>
      <c r="BO26" s="674"/>
      <c r="BP26" s="474"/>
      <c r="BQ26" s="485"/>
      <c r="BR26" s="493"/>
      <c r="BS26" s="509"/>
      <c r="BT26" s="20"/>
      <c r="BU26" s="510"/>
      <c r="BV26" s="478"/>
      <c r="BW26" s="479">
        <f>CA11</f>
        <v>61980000</v>
      </c>
      <c r="BX26" s="474"/>
      <c r="BY26" s="474"/>
      <c r="BZ26" s="488"/>
      <c r="CA26" s="511"/>
      <c r="CB26" s="474"/>
      <c r="CC26" s="474"/>
      <c r="CD26" s="486"/>
      <c r="CE26" s="487"/>
      <c r="CF26" s="473"/>
    </row>
    <row r="27" spans="1:84">
      <c r="A27" s="20"/>
      <c r="B27" s="472"/>
      <c r="C27" s="512" t="s">
        <v>381</v>
      </c>
      <c r="D27" s="498"/>
      <c r="E27" s="474"/>
      <c r="F27" s="485"/>
      <c r="G27" s="488"/>
      <c r="H27" s="509"/>
      <c r="I27" s="474"/>
      <c r="J27" s="20"/>
      <c r="K27" s="482"/>
      <c r="L27" s="483"/>
      <c r="M27" s="474"/>
      <c r="N27" s="474"/>
      <c r="O27" s="488"/>
      <c r="P27" s="511"/>
      <c r="Q27" s="474"/>
      <c r="R27" s="474"/>
      <c r="S27" s="488"/>
      <c r="T27" s="489"/>
      <c r="U27" s="473"/>
      <c r="W27" s="472"/>
      <c r="X27" s="512" t="s">
        <v>381</v>
      </c>
      <c r="Y27" s="498"/>
      <c r="Z27" s="474"/>
      <c r="AA27" s="485"/>
      <c r="AB27" s="488"/>
      <c r="AC27" s="509"/>
      <c r="AD27" s="474"/>
      <c r="AE27" s="20"/>
      <c r="AF27" s="482"/>
      <c r="AG27" s="483"/>
      <c r="AH27" s="474"/>
      <c r="AI27" s="474"/>
      <c r="AJ27" s="488"/>
      <c r="AK27" s="511"/>
      <c r="AL27" s="474"/>
      <c r="AM27" s="474"/>
      <c r="AN27" s="488"/>
      <c r="AO27" s="489"/>
      <c r="AP27" s="473"/>
      <c r="AR27" s="472"/>
      <c r="AS27" s="512" t="s">
        <v>381</v>
      </c>
      <c r="AT27" s="498"/>
      <c r="AU27" s="474"/>
      <c r="AV27" s="485"/>
      <c r="AW27" s="488"/>
      <c r="AX27" s="509"/>
      <c r="AY27" s="474"/>
      <c r="AZ27" s="20"/>
      <c r="BA27" s="482"/>
      <c r="BB27" s="483"/>
      <c r="BC27" s="474"/>
      <c r="BD27" s="474"/>
      <c r="BE27" s="488"/>
      <c r="BF27" s="511"/>
      <c r="BG27" s="474"/>
      <c r="BH27" s="474"/>
      <c r="BI27" s="488"/>
      <c r="BJ27" s="489"/>
      <c r="BK27" s="473"/>
      <c r="BM27" s="472"/>
      <c r="BN27" s="512" t="s">
        <v>381</v>
      </c>
      <c r="BO27" s="498"/>
      <c r="BP27" s="474"/>
      <c r="BQ27" s="485"/>
      <c r="BR27" s="488"/>
      <c r="BS27" s="509"/>
      <c r="BT27" s="474"/>
      <c r="BU27" s="20"/>
      <c r="BV27" s="482"/>
      <c r="BW27" s="483"/>
      <c r="BX27" s="474"/>
      <c r="BY27" s="474"/>
      <c r="BZ27" s="488"/>
      <c r="CA27" s="511"/>
      <c r="CB27" s="474"/>
      <c r="CC27" s="474"/>
      <c r="CD27" s="488"/>
      <c r="CE27" s="489"/>
      <c r="CF27" s="473"/>
    </row>
    <row r="28" spans="1:84">
      <c r="A28" s="20"/>
      <c r="B28" s="472"/>
      <c r="C28" s="675" t="s">
        <v>382</v>
      </c>
      <c r="D28" s="676"/>
      <c r="E28" s="474"/>
      <c r="F28" s="485"/>
      <c r="G28" s="488"/>
      <c r="H28" s="488"/>
      <c r="I28" s="474"/>
      <c r="J28" s="474"/>
      <c r="K28" s="486"/>
      <c r="L28" s="487"/>
      <c r="M28" s="474"/>
      <c r="N28" s="474"/>
      <c r="O28" s="513"/>
      <c r="P28" s="514"/>
      <c r="Q28" s="474"/>
      <c r="R28" s="20"/>
      <c r="S28" s="515"/>
      <c r="T28" s="506"/>
      <c r="U28" s="473"/>
      <c r="V28" s="20"/>
      <c r="W28" s="472"/>
      <c r="X28" s="675" t="s">
        <v>382</v>
      </c>
      <c r="Y28" s="676"/>
      <c r="Z28" s="474"/>
      <c r="AA28" s="485"/>
      <c r="AB28" s="488"/>
      <c r="AC28" s="488"/>
      <c r="AD28" s="474"/>
      <c r="AE28" s="474"/>
      <c r="AF28" s="486"/>
      <c r="AG28" s="487"/>
      <c r="AH28" s="474"/>
      <c r="AI28" s="474"/>
      <c r="AJ28" s="513"/>
      <c r="AK28" s="514"/>
      <c r="AL28" s="474"/>
      <c r="AM28" s="20"/>
      <c r="AN28" s="515"/>
      <c r="AO28" s="506"/>
      <c r="AP28" s="473"/>
      <c r="AR28" s="472"/>
      <c r="AS28" s="675" t="s">
        <v>382</v>
      </c>
      <c r="AT28" s="676"/>
      <c r="AU28" s="474"/>
      <c r="AV28" s="485"/>
      <c r="AW28" s="488"/>
      <c r="AX28" s="488"/>
      <c r="AY28" s="474"/>
      <c r="AZ28" s="474"/>
      <c r="BA28" s="486"/>
      <c r="BB28" s="487"/>
      <c r="BC28" s="474"/>
      <c r="BD28" s="474"/>
      <c r="BE28" s="513"/>
      <c r="BF28" s="514"/>
      <c r="BG28" s="474"/>
      <c r="BH28" s="20"/>
      <c r="BI28" s="515"/>
      <c r="BJ28" s="506"/>
      <c r="BK28" s="473"/>
      <c r="BM28" s="472"/>
      <c r="BN28" s="675" t="s">
        <v>382</v>
      </c>
      <c r="BO28" s="676"/>
      <c r="BP28" s="474"/>
      <c r="BQ28" s="485"/>
      <c r="BR28" s="488"/>
      <c r="BS28" s="488"/>
      <c r="BT28" s="474"/>
      <c r="BU28" s="474"/>
      <c r="BV28" s="486"/>
      <c r="BW28" s="487"/>
      <c r="BX28" s="474"/>
      <c r="BY28" s="474"/>
      <c r="BZ28" s="513"/>
      <c r="CA28" s="514"/>
      <c r="CB28" s="474"/>
      <c r="CC28" s="20"/>
      <c r="CD28" s="515"/>
      <c r="CE28" s="506"/>
      <c r="CF28" s="473"/>
    </row>
    <row r="29" spans="1:84">
      <c r="B29" s="472"/>
      <c r="C29" s="478"/>
      <c r="D29" s="500">
        <f>H18*H40</f>
        <v>3.1254144685399818E-2</v>
      </c>
      <c r="E29" s="516"/>
      <c r="F29" s="485"/>
      <c r="G29" s="488"/>
      <c r="H29" s="488"/>
      <c r="I29" s="474"/>
      <c r="J29" s="474"/>
      <c r="K29" s="493"/>
      <c r="L29" s="489"/>
      <c r="M29" s="20"/>
      <c r="N29" s="20"/>
      <c r="O29" s="488"/>
      <c r="P29" s="511"/>
      <c r="Q29" s="474"/>
      <c r="R29" s="474"/>
      <c r="S29" s="488"/>
      <c r="T29" s="517"/>
      <c r="U29" s="473"/>
      <c r="V29" s="20"/>
      <c r="W29" s="472"/>
      <c r="X29" s="478"/>
      <c r="Y29" s="500">
        <f>AC18*AC40</f>
        <v>2.765047232682805E-2</v>
      </c>
      <c r="Z29" s="516"/>
      <c r="AA29" s="485"/>
      <c r="AB29" s="488"/>
      <c r="AC29" s="488"/>
      <c r="AD29" s="474"/>
      <c r="AE29" s="474"/>
      <c r="AF29" s="493"/>
      <c r="AG29" s="489"/>
      <c r="AH29" s="20"/>
      <c r="AI29" s="20"/>
      <c r="AJ29" s="488"/>
      <c r="AK29" s="511"/>
      <c r="AL29" s="474"/>
      <c r="AM29" s="474"/>
      <c r="AN29" s="488"/>
      <c r="AO29" s="517"/>
      <c r="AP29" s="473"/>
      <c r="AR29" s="472"/>
      <c r="AS29" s="478"/>
      <c r="AT29" s="500">
        <f>AX18*AX40</f>
        <v>5.9903463948056436E-2</v>
      </c>
      <c r="AU29" s="516"/>
      <c r="AV29" s="485"/>
      <c r="AW29" s="488"/>
      <c r="AX29" s="488"/>
      <c r="AY29" s="474"/>
      <c r="AZ29" s="474"/>
      <c r="BA29" s="493"/>
      <c r="BB29" s="489"/>
      <c r="BC29" s="20"/>
      <c r="BD29" s="20"/>
      <c r="BE29" s="488"/>
      <c r="BF29" s="511"/>
      <c r="BG29" s="474"/>
      <c r="BH29" s="474"/>
      <c r="BI29" s="488"/>
      <c r="BJ29" s="517"/>
      <c r="BK29" s="473"/>
      <c r="BM29" s="472"/>
      <c r="BN29" s="478"/>
      <c r="BO29" s="500">
        <f>BS18*BS40</f>
        <v>1.2424323950491183E-2</v>
      </c>
      <c r="BP29" s="516"/>
      <c r="BQ29" s="485"/>
      <c r="BR29" s="488"/>
      <c r="BS29" s="488"/>
      <c r="BT29" s="474"/>
      <c r="BU29" s="474"/>
      <c r="BV29" s="493"/>
      <c r="BW29" s="489"/>
      <c r="BX29" s="20"/>
      <c r="BY29" s="20"/>
      <c r="BZ29" s="488"/>
      <c r="CA29" s="511"/>
      <c r="CB29" s="474"/>
      <c r="CC29" s="474"/>
      <c r="CD29" s="488"/>
      <c r="CE29" s="517"/>
      <c r="CF29" s="473"/>
    </row>
    <row r="30" spans="1:84">
      <c r="B30" s="472"/>
      <c r="C30" s="482"/>
      <c r="D30" s="501"/>
      <c r="E30" s="518"/>
      <c r="F30" s="485"/>
      <c r="G30" s="488"/>
      <c r="H30" s="488"/>
      <c r="I30" s="474"/>
      <c r="J30" s="474"/>
      <c r="K30" s="493"/>
      <c r="L30" s="493"/>
      <c r="M30" s="474"/>
      <c r="N30" s="20"/>
      <c r="O30" s="513"/>
      <c r="P30" s="514"/>
      <c r="Q30" s="474"/>
      <c r="R30" s="474"/>
      <c r="S30" s="488"/>
      <c r="T30" s="517"/>
      <c r="U30" s="473"/>
      <c r="V30" s="20"/>
      <c r="W30" s="472"/>
      <c r="X30" s="482"/>
      <c r="Y30" s="501"/>
      <c r="Z30" s="518"/>
      <c r="AA30" s="485"/>
      <c r="AB30" s="488"/>
      <c r="AC30" s="488"/>
      <c r="AD30" s="474"/>
      <c r="AE30" s="474"/>
      <c r="AF30" s="493"/>
      <c r="AG30" s="493"/>
      <c r="AH30" s="474"/>
      <c r="AI30" s="20"/>
      <c r="AJ30" s="513"/>
      <c r="AK30" s="514"/>
      <c r="AL30" s="474"/>
      <c r="AM30" s="474"/>
      <c r="AN30" s="488"/>
      <c r="AO30" s="517"/>
      <c r="AP30" s="473"/>
      <c r="AR30" s="472"/>
      <c r="AS30" s="482"/>
      <c r="AT30" s="501"/>
      <c r="AU30" s="518"/>
      <c r="AV30" s="485"/>
      <c r="AW30" s="488"/>
      <c r="AX30" s="488"/>
      <c r="AY30" s="474"/>
      <c r="AZ30" s="474"/>
      <c r="BA30" s="493"/>
      <c r="BB30" s="493"/>
      <c r="BC30" s="474"/>
      <c r="BD30" s="20"/>
      <c r="BE30" s="513"/>
      <c r="BF30" s="514"/>
      <c r="BG30" s="474"/>
      <c r="BH30" s="474"/>
      <c r="BI30" s="488"/>
      <c r="BJ30" s="517"/>
      <c r="BK30" s="473"/>
      <c r="BM30" s="472"/>
      <c r="BN30" s="482"/>
      <c r="BO30" s="501"/>
      <c r="BP30" s="518"/>
      <c r="BQ30" s="485"/>
      <c r="BR30" s="488"/>
      <c r="BS30" s="488"/>
      <c r="BT30" s="474"/>
      <c r="BU30" s="474"/>
      <c r="BV30" s="493"/>
      <c r="BW30" s="493"/>
      <c r="BX30" s="474"/>
      <c r="BY30" s="20"/>
      <c r="BZ30" s="513"/>
      <c r="CA30" s="514"/>
      <c r="CB30" s="474"/>
      <c r="CC30" s="474"/>
      <c r="CD30" s="488"/>
      <c r="CE30" s="517"/>
      <c r="CF30" s="473"/>
    </row>
    <row r="31" spans="1:84">
      <c r="B31" s="472"/>
      <c r="C31" s="486"/>
      <c r="D31" s="503"/>
      <c r="E31" s="20"/>
      <c r="F31" s="485"/>
      <c r="G31" s="488"/>
      <c r="H31" s="488"/>
      <c r="I31" s="474"/>
      <c r="J31" s="474"/>
      <c r="K31" s="488"/>
      <c r="L31" s="493"/>
      <c r="M31" s="474"/>
      <c r="N31" s="20"/>
      <c r="O31" s="488"/>
      <c r="P31" s="489"/>
      <c r="Q31" s="474"/>
      <c r="R31" s="474"/>
      <c r="S31" s="513"/>
      <c r="T31" s="489"/>
      <c r="U31" s="473"/>
      <c r="V31" s="20"/>
      <c r="W31" s="472"/>
      <c r="X31" s="486"/>
      <c r="Y31" s="503"/>
      <c r="Z31" s="20"/>
      <c r="AA31" s="485"/>
      <c r="AB31" s="488"/>
      <c r="AC31" s="488"/>
      <c r="AD31" s="474"/>
      <c r="AE31" s="474"/>
      <c r="AF31" s="488"/>
      <c r="AG31" s="493"/>
      <c r="AH31" s="474"/>
      <c r="AI31" s="20"/>
      <c r="AJ31" s="488"/>
      <c r="AK31" s="489"/>
      <c r="AL31" s="474"/>
      <c r="AM31" s="474"/>
      <c r="AN31" s="513"/>
      <c r="AO31" s="489"/>
      <c r="AP31" s="473"/>
      <c r="AR31" s="472"/>
      <c r="AS31" s="486"/>
      <c r="AT31" s="503"/>
      <c r="AU31" s="20"/>
      <c r="AV31" s="485"/>
      <c r="AW31" s="488"/>
      <c r="AX31" s="488"/>
      <c r="AY31" s="474"/>
      <c r="AZ31" s="474"/>
      <c r="BA31" s="488"/>
      <c r="BB31" s="493"/>
      <c r="BC31" s="474"/>
      <c r="BD31" s="20"/>
      <c r="BE31" s="488"/>
      <c r="BF31" s="489"/>
      <c r="BG31" s="474"/>
      <c r="BH31" s="474"/>
      <c r="BI31" s="513"/>
      <c r="BJ31" s="489"/>
      <c r="BK31" s="473"/>
      <c r="BM31" s="472"/>
      <c r="BN31" s="486"/>
      <c r="BO31" s="503"/>
      <c r="BP31" s="20"/>
      <c r="BQ31" s="485"/>
      <c r="BR31" s="488"/>
      <c r="BS31" s="488"/>
      <c r="BT31" s="474"/>
      <c r="BU31" s="474"/>
      <c r="BV31" s="488"/>
      <c r="BW31" s="493"/>
      <c r="BX31" s="474"/>
      <c r="BY31" s="20"/>
      <c r="BZ31" s="488"/>
      <c r="CA31" s="489"/>
      <c r="CB31" s="474"/>
      <c r="CC31" s="474"/>
      <c r="CD31" s="513"/>
      <c r="CE31" s="489"/>
      <c r="CF31" s="473"/>
    </row>
    <row r="32" spans="1:84">
      <c r="B32" s="472"/>
      <c r="C32" s="20"/>
      <c r="D32" s="20"/>
      <c r="E32" s="20"/>
      <c r="F32" s="485"/>
      <c r="G32" s="488"/>
      <c r="H32" s="488"/>
      <c r="I32" s="474"/>
      <c r="J32" s="474"/>
      <c r="K32" s="488"/>
      <c r="L32" s="488"/>
      <c r="M32" s="474"/>
      <c r="N32" s="20"/>
      <c r="O32" s="493"/>
      <c r="P32" s="493"/>
      <c r="Q32" s="474"/>
      <c r="R32" s="20"/>
      <c r="S32" s="488"/>
      <c r="T32" s="489"/>
      <c r="U32" s="473"/>
      <c r="V32" s="20"/>
      <c r="W32" s="472"/>
      <c r="X32" s="20"/>
      <c r="Y32" s="20"/>
      <c r="Z32" s="20"/>
      <c r="AA32" s="485"/>
      <c r="AB32" s="488"/>
      <c r="AC32" s="488"/>
      <c r="AD32" s="474"/>
      <c r="AE32" s="474"/>
      <c r="AF32" s="488"/>
      <c r="AG32" s="488"/>
      <c r="AH32" s="474"/>
      <c r="AI32" s="20"/>
      <c r="AJ32" s="493"/>
      <c r="AK32" s="493"/>
      <c r="AL32" s="474"/>
      <c r="AM32" s="20"/>
      <c r="AN32" s="488"/>
      <c r="AO32" s="489"/>
      <c r="AP32" s="473"/>
      <c r="AR32" s="472"/>
      <c r="AS32" s="20"/>
      <c r="AT32" s="20"/>
      <c r="AU32" s="20"/>
      <c r="AV32" s="485"/>
      <c r="AW32" s="488"/>
      <c r="AX32" s="488"/>
      <c r="AY32" s="474"/>
      <c r="AZ32" s="474"/>
      <c r="BA32" s="488"/>
      <c r="BB32" s="488"/>
      <c r="BC32" s="474"/>
      <c r="BD32" s="20"/>
      <c r="BE32" s="493"/>
      <c r="BF32" s="493"/>
      <c r="BG32" s="474"/>
      <c r="BH32" s="20"/>
      <c r="BI32" s="488"/>
      <c r="BJ32" s="489"/>
      <c r="BK32" s="473"/>
      <c r="BM32" s="472"/>
      <c r="BN32" s="20"/>
      <c r="BO32" s="20"/>
      <c r="BP32" s="20"/>
      <c r="BQ32" s="485"/>
      <c r="BR32" s="488"/>
      <c r="BS32" s="488"/>
      <c r="BT32" s="474"/>
      <c r="BU32" s="474"/>
      <c r="BV32" s="488"/>
      <c r="BW32" s="488"/>
      <c r="BX32" s="474"/>
      <c r="BY32" s="20"/>
      <c r="BZ32" s="493"/>
      <c r="CA32" s="493"/>
      <c r="CB32" s="474"/>
      <c r="CC32" s="20"/>
      <c r="CD32" s="488"/>
      <c r="CE32" s="489"/>
      <c r="CF32" s="473"/>
    </row>
    <row r="33" spans="1:84">
      <c r="B33" s="472"/>
      <c r="C33" s="20"/>
      <c r="D33" s="20"/>
      <c r="E33" s="20"/>
      <c r="F33" s="485"/>
      <c r="G33" s="488"/>
      <c r="H33" s="488"/>
      <c r="I33" s="474"/>
      <c r="J33" s="474"/>
      <c r="K33" s="476" t="s">
        <v>374</v>
      </c>
      <c r="L33" s="477"/>
      <c r="M33" s="474"/>
      <c r="N33" s="20"/>
      <c r="O33" s="493"/>
      <c r="P33" s="493"/>
      <c r="Q33" s="20"/>
      <c r="R33" s="20"/>
      <c r="S33" s="20"/>
      <c r="T33" s="20"/>
      <c r="U33" s="473"/>
      <c r="W33" s="472"/>
      <c r="X33" s="20"/>
      <c r="Y33" s="20"/>
      <c r="Z33" s="20"/>
      <c r="AA33" s="485"/>
      <c r="AB33" s="488"/>
      <c r="AC33" s="488"/>
      <c r="AD33" s="474"/>
      <c r="AE33" s="474"/>
      <c r="AF33" s="476" t="s">
        <v>374</v>
      </c>
      <c r="AG33" s="477"/>
      <c r="AH33" s="474"/>
      <c r="AI33" s="20"/>
      <c r="AJ33" s="493"/>
      <c r="AK33" s="493"/>
      <c r="AL33" s="20"/>
      <c r="AM33" s="20"/>
      <c r="AN33" s="20"/>
      <c r="AO33" s="20"/>
      <c r="AP33" s="473"/>
      <c r="AR33" s="472"/>
      <c r="AS33" s="20"/>
      <c r="AT33" s="20"/>
      <c r="AU33" s="20"/>
      <c r="AV33" s="485"/>
      <c r="AW33" s="488"/>
      <c r="AX33" s="488"/>
      <c r="AY33" s="474"/>
      <c r="AZ33" s="474"/>
      <c r="BA33" s="476" t="s">
        <v>374</v>
      </c>
      <c r="BB33" s="477"/>
      <c r="BC33" s="474"/>
      <c r="BD33" s="20"/>
      <c r="BE33" s="493"/>
      <c r="BF33" s="493"/>
      <c r="BG33" s="20"/>
      <c r="BH33" s="20"/>
      <c r="BI33" s="20"/>
      <c r="BJ33" s="20"/>
      <c r="BK33" s="473"/>
      <c r="BM33" s="472"/>
      <c r="BN33" s="20"/>
      <c r="BO33" s="20"/>
      <c r="BP33" s="20"/>
      <c r="BQ33" s="485"/>
      <c r="BR33" s="488"/>
      <c r="BS33" s="488"/>
      <c r="BT33" s="474"/>
      <c r="BU33" s="474"/>
      <c r="BV33" s="476" t="s">
        <v>374</v>
      </c>
      <c r="BW33" s="477"/>
      <c r="BX33" s="474"/>
      <c r="BY33" s="20"/>
      <c r="BZ33" s="493"/>
      <c r="CA33" s="493"/>
      <c r="CB33" s="20"/>
      <c r="CC33" s="20"/>
      <c r="CD33" s="20"/>
      <c r="CE33" s="20"/>
      <c r="CF33" s="473"/>
    </row>
    <row r="34" spans="1:84">
      <c r="B34" s="472"/>
      <c r="C34" s="474"/>
      <c r="D34" s="474"/>
      <c r="E34" s="474"/>
      <c r="F34" s="485"/>
      <c r="G34" s="488"/>
      <c r="H34" s="488"/>
      <c r="I34" s="474"/>
      <c r="J34" s="474"/>
      <c r="K34" s="478"/>
      <c r="L34" s="479">
        <f>P11</f>
        <v>1149634000</v>
      </c>
      <c r="M34" s="474"/>
      <c r="N34" s="474"/>
      <c r="O34" s="488"/>
      <c r="P34" s="488"/>
      <c r="Q34" s="474"/>
      <c r="R34" s="474"/>
      <c r="S34" s="677" t="s">
        <v>383</v>
      </c>
      <c r="T34" s="678"/>
      <c r="U34" s="473"/>
      <c r="W34" s="472"/>
      <c r="X34" s="474"/>
      <c r="Y34" s="474"/>
      <c r="Z34" s="474"/>
      <c r="AA34" s="485"/>
      <c r="AB34" s="488"/>
      <c r="AC34" s="488"/>
      <c r="AD34" s="474"/>
      <c r="AE34" s="474"/>
      <c r="AF34" s="478"/>
      <c r="AG34" s="479">
        <f>'INDICADORES BASICOS'!F8</f>
        <v>663086000</v>
      </c>
      <c r="AH34" s="474"/>
      <c r="AI34" s="474"/>
      <c r="AJ34" s="488"/>
      <c r="AK34" s="488"/>
      <c r="AL34" s="474"/>
      <c r="AM34" s="474"/>
      <c r="AN34" s="677" t="s">
        <v>383</v>
      </c>
      <c r="AO34" s="678"/>
      <c r="AP34" s="473"/>
      <c r="AR34" s="472"/>
      <c r="AS34" s="474"/>
      <c r="AT34" s="474"/>
      <c r="AU34" s="474"/>
      <c r="AV34" s="485"/>
      <c r="AW34" s="488"/>
      <c r="AX34" s="488"/>
      <c r="AY34" s="474"/>
      <c r="AZ34" s="474"/>
      <c r="BA34" s="478"/>
      <c r="BB34" s="479">
        <f>BF11</f>
        <v>344167000</v>
      </c>
      <c r="BC34" s="474"/>
      <c r="BD34" s="474"/>
      <c r="BE34" s="488"/>
      <c r="BF34" s="488"/>
      <c r="BG34" s="474"/>
      <c r="BH34" s="474"/>
      <c r="BI34" s="677" t="s">
        <v>383</v>
      </c>
      <c r="BJ34" s="678"/>
      <c r="BK34" s="473"/>
      <c r="BM34" s="472"/>
      <c r="BN34" s="474"/>
      <c r="BO34" s="474"/>
      <c r="BP34" s="474"/>
      <c r="BQ34" s="485"/>
      <c r="BR34" s="488"/>
      <c r="BS34" s="488"/>
      <c r="BT34" s="474"/>
      <c r="BU34" s="474"/>
      <c r="BV34" s="478"/>
      <c r="BW34" s="479">
        <f>CA11</f>
        <v>61980000</v>
      </c>
      <c r="BX34" s="474"/>
      <c r="BY34" s="474"/>
      <c r="BZ34" s="488"/>
      <c r="CA34" s="488"/>
      <c r="CB34" s="474"/>
      <c r="CC34" s="474"/>
      <c r="CD34" s="677" t="s">
        <v>383</v>
      </c>
      <c r="CE34" s="678"/>
      <c r="CF34" s="473"/>
    </row>
    <row r="35" spans="1:84">
      <c r="B35" s="502"/>
      <c r="C35" s="474"/>
      <c r="D35" s="474"/>
      <c r="E35" s="474"/>
      <c r="F35" s="485"/>
      <c r="G35" s="493"/>
      <c r="H35" s="493"/>
      <c r="I35" s="20"/>
      <c r="J35" s="481"/>
      <c r="K35" s="482"/>
      <c r="L35" s="483"/>
      <c r="M35" s="20"/>
      <c r="N35" s="20"/>
      <c r="O35" s="493"/>
      <c r="P35" s="493"/>
      <c r="Q35" s="474"/>
      <c r="R35" s="474"/>
      <c r="S35" s="478"/>
      <c r="T35" s="479">
        <f>'INDICADORES BASICOS'!C57</f>
        <v>13274000</v>
      </c>
      <c r="U35" s="473"/>
      <c r="W35" s="472"/>
      <c r="X35" s="474"/>
      <c r="Y35" s="474"/>
      <c r="Z35" s="474"/>
      <c r="AA35" s="485"/>
      <c r="AB35" s="493"/>
      <c r="AC35" s="493"/>
      <c r="AD35" s="20"/>
      <c r="AE35" s="481"/>
      <c r="AF35" s="482"/>
      <c r="AG35" s="483"/>
      <c r="AH35" s="20"/>
      <c r="AI35" s="20"/>
      <c r="AJ35" s="493"/>
      <c r="AK35" s="493"/>
      <c r="AL35" s="474"/>
      <c r="AM35" s="474"/>
      <c r="AN35" s="478"/>
      <c r="AO35" s="479">
        <f>'INDICADORES BASICOS'!F57</f>
        <v>3653000</v>
      </c>
      <c r="AP35" s="473"/>
      <c r="AR35" s="472"/>
      <c r="AS35" s="474"/>
      <c r="AT35" s="474"/>
      <c r="AU35" s="474"/>
      <c r="AV35" s="485"/>
      <c r="AW35" s="493"/>
      <c r="AX35" s="493"/>
      <c r="AY35" s="20"/>
      <c r="AZ35" s="481"/>
      <c r="BA35" s="482"/>
      <c r="BB35" s="483"/>
      <c r="BC35" s="20"/>
      <c r="BD35" s="20"/>
      <c r="BE35" s="493"/>
      <c r="BF35" s="493"/>
      <c r="BG35" s="474"/>
      <c r="BH35" s="474"/>
      <c r="BI35" s="478"/>
      <c r="BJ35" s="479">
        <f>'INDICADORES BASICOS'!F88</f>
        <v>3065000</v>
      </c>
      <c r="BK35" s="473"/>
      <c r="BM35" s="472"/>
      <c r="BN35" s="474"/>
      <c r="BO35" s="474"/>
      <c r="BP35" s="474"/>
      <c r="BQ35" s="485"/>
      <c r="BR35" s="493"/>
      <c r="BS35" s="493"/>
      <c r="BT35" s="20"/>
      <c r="BU35" s="481"/>
      <c r="BV35" s="482"/>
      <c r="BW35" s="483"/>
      <c r="BX35" s="20"/>
      <c r="BY35" s="20"/>
      <c r="BZ35" s="493"/>
      <c r="CA35" s="493"/>
      <c r="CB35" s="474"/>
      <c r="CC35" s="474"/>
      <c r="CD35" s="478"/>
      <c r="CE35" s="479">
        <f>'INDICADORES BASICOS'!F118</f>
        <v>46789000</v>
      </c>
      <c r="CF35" s="473"/>
    </row>
    <row r="36" spans="1:84">
      <c r="B36" s="472"/>
      <c r="C36" s="20"/>
      <c r="D36" s="20"/>
      <c r="E36" s="519"/>
      <c r="F36" s="474"/>
      <c r="G36" s="488"/>
      <c r="H36" s="488"/>
      <c r="I36" s="474"/>
      <c r="J36" s="485"/>
      <c r="K36" s="486"/>
      <c r="L36" s="487"/>
      <c r="M36" s="20"/>
      <c r="N36" s="20"/>
      <c r="O36" s="493"/>
      <c r="P36" s="493"/>
      <c r="Q36" s="20"/>
      <c r="R36" s="481"/>
      <c r="S36" s="482"/>
      <c r="T36" s="483"/>
      <c r="U36" s="473"/>
      <c r="W36" s="472"/>
      <c r="X36" s="20"/>
      <c r="Y36" s="20"/>
      <c r="Z36" s="519"/>
      <c r="AA36" s="474"/>
      <c r="AB36" s="488"/>
      <c r="AC36" s="488"/>
      <c r="AD36" s="474"/>
      <c r="AE36" s="485"/>
      <c r="AF36" s="486"/>
      <c r="AG36" s="487"/>
      <c r="AH36" s="20"/>
      <c r="AI36" s="20"/>
      <c r="AJ36" s="493"/>
      <c r="AK36" s="493"/>
      <c r="AL36" s="20"/>
      <c r="AM36" s="481"/>
      <c r="AN36" s="482"/>
      <c r="AO36" s="483"/>
      <c r="AP36" s="473"/>
      <c r="AR36" s="472"/>
      <c r="AS36" s="20"/>
      <c r="AT36" s="20"/>
      <c r="AU36" s="519"/>
      <c r="AV36" s="474"/>
      <c r="AW36" s="488"/>
      <c r="AX36" s="488"/>
      <c r="AY36" s="474"/>
      <c r="AZ36" s="485"/>
      <c r="BA36" s="486"/>
      <c r="BB36" s="487"/>
      <c r="BC36" s="20"/>
      <c r="BD36" s="20"/>
      <c r="BE36" s="493"/>
      <c r="BF36" s="493"/>
      <c r="BG36" s="20"/>
      <c r="BH36" s="481"/>
      <c r="BI36" s="482"/>
      <c r="BJ36" s="483"/>
      <c r="BK36" s="473"/>
      <c r="BM36" s="472"/>
      <c r="BN36" s="20"/>
      <c r="BO36" s="20"/>
      <c r="BP36" s="519"/>
      <c r="BQ36" s="474"/>
      <c r="BR36" s="488"/>
      <c r="BS36" s="488"/>
      <c r="BT36" s="474"/>
      <c r="BU36" s="485"/>
      <c r="BV36" s="486"/>
      <c r="BW36" s="487"/>
      <c r="BX36" s="20"/>
      <c r="BY36" s="20"/>
      <c r="BZ36" s="493"/>
      <c r="CA36" s="493"/>
      <c r="CB36" s="20"/>
      <c r="CC36" s="481"/>
      <c r="CD36" s="482"/>
      <c r="CE36" s="483"/>
      <c r="CF36" s="473"/>
    </row>
    <row r="37" spans="1:84">
      <c r="B37" s="472"/>
      <c r="C37" s="20"/>
      <c r="D37" s="20"/>
      <c r="E37" s="519"/>
      <c r="F37" s="474"/>
      <c r="G37" s="488"/>
      <c r="H37" s="488"/>
      <c r="I37" s="474"/>
      <c r="J37" s="485"/>
      <c r="K37" s="488"/>
      <c r="L37" s="489"/>
      <c r="M37" s="20"/>
      <c r="N37" s="20"/>
      <c r="O37" s="493"/>
      <c r="P37" s="493"/>
      <c r="Q37" s="20"/>
      <c r="R37" s="485"/>
      <c r="S37" s="486"/>
      <c r="T37" s="487"/>
      <c r="U37" s="473"/>
      <c r="W37" s="472"/>
      <c r="X37" s="20"/>
      <c r="Y37" s="20"/>
      <c r="Z37" s="519"/>
      <c r="AA37" s="474"/>
      <c r="AB37" s="488"/>
      <c r="AC37" s="488"/>
      <c r="AD37" s="474"/>
      <c r="AE37" s="485"/>
      <c r="AF37" s="488"/>
      <c r="AG37" s="489"/>
      <c r="AH37" s="20"/>
      <c r="AI37" s="20"/>
      <c r="AJ37" s="493"/>
      <c r="AK37" s="493"/>
      <c r="AL37" s="20"/>
      <c r="AM37" s="485"/>
      <c r="AN37" s="486"/>
      <c r="AO37" s="487"/>
      <c r="AP37" s="473"/>
      <c r="AR37" s="472"/>
      <c r="AS37" s="20"/>
      <c r="AT37" s="20"/>
      <c r="AU37" s="519"/>
      <c r="AV37" s="474"/>
      <c r="AW37" s="488"/>
      <c r="AX37" s="488"/>
      <c r="AY37" s="474"/>
      <c r="AZ37" s="485"/>
      <c r="BA37" s="488"/>
      <c r="BB37" s="489"/>
      <c r="BC37" s="20"/>
      <c r="BD37" s="20"/>
      <c r="BE37" s="493"/>
      <c r="BF37" s="493"/>
      <c r="BG37" s="20"/>
      <c r="BH37" s="485"/>
      <c r="BI37" s="486"/>
      <c r="BJ37" s="487"/>
      <c r="BK37" s="473"/>
      <c r="BM37" s="472"/>
      <c r="BN37" s="20"/>
      <c r="BO37" s="20"/>
      <c r="BP37" s="519"/>
      <c r="BQ37" s="474"/>
      <c r="BR37" s="488"/>
      <c r="BS37" s="488"/>
      <c r="BT37" s="474"/>
      <c r="BU37" s="485"/>
      <c r="BV37" s="488"/>
      <c r="BW37" s="489"/>
      <c r="BX37" s="20"/>
      <c r="BY37" s="20"/>
      <c r="BZ37" s="493"/>
      <c r="CA37" s="493"/>
      <c r="CB37" s="20"/>
      <c r="CC37" s="485"/>
      <c r="CD37" s="486"/>
      <c r="CE37" s="487"/>
      <c r="CF37" s="473"/>
    </row>
    <row r="38" spans="1:84">
      <c r="B38" s="472"/>
      <c r="C38" s="20"/>
      <c r="D38" s="20"/>
      <c r="E38" s="519"/>
      <c r="F38" s="474"/>
      <c r="G38" s="494" t="s">
        <v>384</v>
      </c>
      <c r="H38" s="495"/>
      <c r="I38" s="474"/>
      <c r="J38" s="492"/>
      <c r="K38" s="493"/>
      <c r="L38" s="493"/>
      <c r="M38" s="20"/>
      <c r="N38" s="20"/>
      <c r="O38" s="493"/>
      <c r="P38" s="493"/>
      <c r="Q38" s="20"/>
      <c r="R38" s="485"/>
      <c r="S38" s="488"/>
      <c r="T38" s="489"/>
      <c r="U38" s="473"/>
      <c r="W38" s="472"/>
      <c r="X38" s="20"/>
      <c r="Y38" s="20"/>
      <c r="Z38" s="519"/>
      <c r="AA38" s="474"/>
      <c r="AB38" s="494" t="s">
        <v>384</v>
      </c>
      <c r="AC38" s="495"/>
      <c r="AD38" s="474"/>
      <c r="AE38" s="492"/>
      <c r="AF38" s="493"/>
      <c r="AG38" s="493"/>
      <c r="AH38" s="20"/>
      <c r="AI38" s="20"/>
      <c r="AJ38" s="493"/>
      <c r="AK38" s="493"/>
      <c r="AL38" s="20"/>
      <c r="AM38" s="485"/>
      <c r="AN38" s="488"/>
      <c r="AO38" s="489"/>
      <c r="AP38" s="473"/>
      <c r="AR38" s="472"/>
      <c r="AS38" s="20"/>
      <c r="AT38" s="20"/>
      <c r="AU38" s="519"/>
      <c r="AV38" s="474"/>
      <c r="AW38" s="494" t="s">
        <v>384</v>
      </c>
      <c r="AX38" s="495"/>
      <c r="AY38" s="474"/>
      <c r="AZ38" s="492"/>
      <c r="BA38" s="493"/>
      <c r="BB38" s="493"/>
      <c r="BC38" s="20"/>
      <c r="BD38" s="20"/>
      <c r="BE38" s="493"/>
      <c r="BF38" s="493"/>
      <c r="BG38" s="20"/>
      <c r="BH38" s="485"/>
      <c r="BI38" s="488"/>
      <c r="BJ38" s="489"/>
      <c r="BK38" s="473"/>
      <c r="BM38" s="472"/>
      <c r="BN38" s="20"/>
      <c r="BO38" s="20"/>
      <c r="BP38" s="519"/>
      <c r="BQ38" s="474"/>
      <c r="BR38" s="494" t="s">
        <v>384</v>
      </c>
      <c r="BS38" s="495"/>
      <c r="BT38" s="474"/>
      <c r="BU38" s="492"/>
      <c r="BV38" s="493"/>
      <c r="BW38" s="493"/>
      <c r="BX38" s="20"/>
      <c r="BY38" s="20"/>
      <c r="BZ38" s="493"/>
      <c r="CA38" s="493"/>
      <c r="CB38" s="20"/>
      <c r="CC38" s="485"/>
      <c r="CD38" s="488"/>
      <c r="CE38" s="489"/>
      <c r="CF38" s="473"/>
    </row>
    <row r="39" spans="1:84">
      <c r="B39" s="472"/>
      <c r="C39" s="20"/>
      <c r="D39" s="20"/>
      <c r="E39" s="519"/>
      <c r="F39" s="474"/>
      <c r="G39" s="512" t="s">
        <v>385</v>
      </c>
      <c r="H39" s="498"/>
      <c r="I39" s="474"/>
      <c r="J39" s="492"/>
      <c r="K39" s="493"/>
      <c r="L39" s="493"/>
      <c r="M39" s="20"/>
      <c r="N39" s="20"/>
      <c r="O39" s="493"/>
      <c r="P39" s="493"/>
      <c r="Q39" s="20"/>
      <c r="R39" s="485"/>
      <c r="S39" s="677" t="s">
        <v>386</v>
      </c>
      <c r="T39" s="678"/>
      <c r="U39" s="473"/>
      <c r="W39" s="472"/>
      <c r="X39" s="20"/>
      <c r="Y39" s="20"/>
      <c r="Z39" s="519"/>
      <c r="AA39" s="474"/>
      <c r="AB39" s="512" t="s">
        <v>385</v>
      </c>
      <c r="AC39" s="498"/>
      <c r="AD39" s="474"/>
      <c r="AE39" s="492"/>
      <c r="AF39" s="493"/>
      <c r="AG39" s="493"/>
      <c r="AH39" s="20"/>
      <c r="AI39" s="20"/>
      <c r="AJ39" s="493"/>
      <c r="AK39" s="493"/>
      <c r="AL39" s="20"/>
      <c r="AM39" s="485"/>
      <c r="AN39" s="677" t="s">
        <v>386</v>
      </c>
      <c r="AO39" s="678"/>
      <c r="AP39" s="473"/>
      <c r="AR39" s="472"/>
      <c r="AS39" s="20"/>
      <c r="AT39" s="20"/>
      <c r="AU39" s="519"/>
      <c r="AV39" s="474"/>
      <c r="AW39" s="512" t="s">
        <v>385</v>
      </c>
      <c r="AX39" s="498"/>
      <c r="AY39" s="474"/>
      <c r="AZ39" s="492"/>
      <c r="BA39" s="493"/>
      <c r="BB39" s="493"/>
      <c r="BC39" s="20"/>
      <c r="BD39" s="20"/>
      <c r="BE39" s="493"/>
      <c r="BF39" s="493"/>
      <c r="BG39" s="20"/>
      <c r="BH39" s="485"/>
      <c r="BI39" s="677" t="s">
        <v>386</v>
      </c>
      <c r="BJ39" s="678"/>
      <c r="BK39" s="473"/>
      <c r="BM39" s="472"/>
      <c r="BN39" s="20"/>
      <c r="BO39" s="20"/>
      <c r="BP39" s="519"/>
      <c r="BQ39" s="474"/>
      <c r="BR39" s="512" t="s">
        <v>385</v>
      </c>
      <c r="BS39" s="498"/>
      <c r="BT39" s="474"/>
      <c r="BU39" s="492"/>
      <c r="BV39" s="493"/>
      <c r="BW39" s="493"/>
      <c r="BX39" s="20"/>
      <c r="BY39" s="20"/>
      <c r="BZ39" s="493"/>
      <c r="CA39" s="493"/>
      <c r="CB39" s="20"/>
      <c r="CC39" s="485"/>
      <c r="CD39" s="677" t="s">
        <v>386</v>
      </c>
      <c r="CE39" s="678"/>
      <c r="CF39" s="473"/>
    </row>
    <row r="40" spans="1:84">
      <c r="B40" s="472"/>
      <c r="C40" s="20"/>
      <c r="D40" s="20"/>
      <c r="E40" s="519"/>
      <c r="F40" s="499"/>
      <c r="G40" s="478"/>
      <c r="H40" s="520">
        <f>L34/L49</f>
        <v>1.1378797026714045</v>
      </c>
      <c r="I40" s="474"/>
      <c r="J40" s="492"/>
      <c r="K40" s="20"/>
      <c r="L40" s="20"/>
      <c r="M40" s="20"/>
      <c r="N40" s="20"/>
      <c r="O40" s="20"/>
      <c r="P40" s="20"/>
      <c r="Q40" s="20"/>
      <c r="R40" s="491"/>
      <c r="S40" s="482"/>
      <c r="T40" s="483">
        <v>0</v>
      </c>
      <c r="U40" s="473"/>
      <c r="W40" s="472"/>
      <c r="X40" s="20"/>
      <c r="Y40" s="20"/>
      <c r="Z40" s="519"/>
      <c r="AA40" s="499"/>
      <c r="AB40" s="478"/>
      <c r="AC40" s="520">
        <f>AG34/AG49</f>
        <v>0.77188738657462652</v>
      </c>
      <c r="AD40" s="474"/>
      <c r="AE40" s="492"/>
      <c r="AF40" s="20"/>
      <c r="AG40" s="20"/>
      <c r="AH40" s="20"/>
      <c r="AI40" s="20"/>
      <c r="AJ40" s="20"/>
      <c r="AK40" s="20"/>
      <c r="AL40" s="20"/>
      <c r="AM40" s="491"/>
      <c r="AN40" s="482"/>
      <c r="AO40" s="483">
        <v>0</v>
      </c>
      <c r="AP40" s="473"/>
      <c r="AR40" s="472"/>
      <c r="AS40" s="20"/>
      <c r="AT40" s="20"/>
      <c r="AU40" s="519"/>
      <c r="AV40" s="499"/>
      <c r="AW40" s="478"/>
      <c r="AX40" s="520">
        <f>BB34/BB49</f>
        <v>0.43115135464910159</v>
      </c>
      <c r="AY40" s="474"/>
      <c r="AZ40" s="492"/>
      <c r="BA40" s="20"/>
      <c r="BB40" s="20"/>
      <c r="BC40" s="20"/>
      <c r="BD40" s="20"/>
      <c r="BE40" s="20"/>
      <c r="BF40" s="20"/>
      <c r="BG40" s="20"/>
      <c r="BH40" s="491"/>
      <c r="BI40" s="482"/>
      <c r="BJ40" s="483">
        <v>0</v>
      </c>
      <c r="BK40" s="473"/>
      <c r="BM40" s="472"/>
      <c r="BN40" s="20"/>
      <c r="BO40" s="20"/>
      <c r="BP40" s="519"/>
      <c r="BQ40" s="499"/>
      <c r="BR40" s="478"/>
      <c r="BS40" s="520">
        <f>BW34/BW49</f>
        <v>9.4208416742285722E-2</v>
      </c>
      <c r="BT40" s="474"/>
      <c r="BU40" s="492"/>
      <c r="BV40" s="20"/>
      <c r="BW40" s="20"/>
      <c r="BX40" s="20"/>
      <c r="BY40" s="20"/>
      <c r="BZ40" s="20"/>
      <c r="CA40" s="20"/>
      <c r="CB40" s="20"/>
      <c r="CC40" s="491"/>
      <c r="CD40" s="482"/>
      <c r="CE40" s="483">
        <v>0</v>
      </c>
      <c r="CF40" s="473"/>
    </row>
    <row r="41" spans="1:84">
      <c r="B41" s="472"/>
      <c r="C41" s="20"/>
      <c r="D41" s="20"/>
      <c r="E41" s="519"/>
      <c r="F41" s="474"/>
      <c r="G41" s="482"/>
      <c r="H41" s="521"/>
      <c r="I41" s="522"/>
      <c r="J41" s="492"/>
      <c r="K41" s="493"/>
      <c r="L41" s="493"/>
      <c r="M41" s="20"/>
      <c r="N41" s="474"/>
      <c r="O41" s="476" t="s">
        <v>387</v>
      </c>
      <c r="P41" s="477"/>
      <c r="Q41" s="474"/>
      <c r="R41" s="481"/>
      <c r="S41" s="482"/>
      <c r="T41" s="483"/>
      <c r="U41" s="473"/>
      <c r="W41" s="472"/>
      <c r="X41" s="20"/>
      <c r="Y41" s="20"/>
      <c r="Z41" s="519"/>
      <c r="AA41" s="474"/>
      <c r="AB41" s="482"/>
      <c r="AC41" s="521"/>
      <c r="AD41" s="522"/>
      <c r="AE41" s="492"/>
      <c r="AF41" s="493"/>
      <c r="AG41" s="493"/>
      <c r="AH41" s="20"/>
      <c r="AI41" s="474"/>
      <c r="AJ41" s="476" t="s">
        <v>387</v>
      </c>
      <c r="AK41" s="477"/>
      <c r="AL41" s="474"/>
      <c r="AM41" s="481"/>
      <c r="AN41" s="482"/>
      <c r="AO41" s="483"/>
      <c r="AP41" s="473"/>
      <c r="AR41" s="472"/>
      <c r="AS41" s="20"/>
      <c r="AT41" s="20"/>
      <c r="AU41" s="519"/>
      <c r="AV41" s="474"/>
      <c r="AW41" s="482"/>
      <c r="AX41" s="521"/>
      <c r="AY41" s="522"/>
      <c r="AZ41" s="492"/>
      <c r="BA41" s="493"/>
      <c r="BB41" s="493"/>
      <c r="BC41" s="20"/>
      <c r="BD41" s="474"/>
      <c r="BE41" s="476" t="s">
        <v>387</v>
      </c>
      <c r="BF41" s="477"/>
      <c r="BG41" s="474"/>
      <c r="BH41" s="481"/>
      <c r="BI41" s="482"/>
      <c r="BJ41" s="483"/>
      <c r="BK41" s="473"/>
      <c r="BM41" s="472"/>
      <c r="BN41" s="20"/>
      <c r="BO41" s="20"/>
      <c r="BP41" s="519"/>
      <c r="BQ41" s="474"/>
      <c r="BR41" s="482"/>
      <c r="BS41" s="521"/>
      <c r="BT41" s="522"/>
      <c r="BU41" s="492"/>
      <c r="BV41" s="493"/>
      <c r="BW41" s="493"/>
      <c r="BX41" s="20"/>
      <c r="BY41" s="474"/>
      <c r="BZ41" s="476" t="s">
        <v>387</v>
      </c>
      <c r="CA41" s="477"/>
      <c r="CB41" s="474"/>
      <c r="CC41" s="481"/>
      <c r="CD41" s="482"/>
      <c r="CE41" s="483"/>
      <c r="CF41" s="473"/>
    </row>
    <row r="42" spans="1:84">
      <c r="B42" s="472"/>
      <c r="C42" s="20"/>
      <c r="D42" s="20"/>
      <c r="E42" s="519"/>
      <c r="F42" s="474"/>
      <c r="G42" s="486"/>
      <c r="H42" s="523"/>
      <c r="I42" s="474"/>
      <c r="J42" s="524"/>
      <c r="K42" s="493"/>
      <c r="L42" s="493"/>
      <c r="M42" s="20"/>
      <c r="N42" s="474"/>
      <c r="O42" s="478"/>
      <c r="P42" s="479">
        <f>T35+T40+T45+T50</f>
        <v>436704000</v>
      </c>
      <c r="Q42" s="525"/>
      <c r="R42" s="485"/>
      <c r="S42" s="486"/>
      <c r="T42" s="487"/>
      <c r="U42" s="473"/>
      <c r="W42" s="472"/>
      <c r="X42" s="20"/>
      <c r="Y42" s="20"/>
      <c r="Z42" s="519"/>
      <c r="AA42" s="474"/>
      <c r="AB42" s="486"/>
      <c r="AC42" s="523"/>
      <c r="AD42" s="474"/>
      <c r="AE42" s="524"/>
      <c r="AF42" s="493"/>
      <c r="AG42" s="493"/>
      <c r="AH42" s="20"/>
      <c r="AI42" s="474"/>
      <c r="AJ42" s="478"/>
      <c r="AK42" s="479">
        <f>AO35+AO40+AO45+AO50</f>
        <v>137056000</v>
      </c>
      <c r="AL42" s="525"/>
      <c r="AM42" s="485"/>
      <c r="AN42" s="486"/>
      <c r="AO42" s="487"/>
      <c r="AP42" s="473"/>
      <c r="AR42" s="472"/>
      <c r="AS42" s="20"/>
      <c r="AT42" s="20"/>
      <c r="AU42" s="519"/>
      <c r="AV42" s="474"/>
      <c r="AW42" s="486"/>
      <c r="AX42" s="523"/>
      <c r="AY42" s="474"/>
      <c r="AZ42" s="524"/>
      <c r="BA42" s="493"/>
      <c r="BB42" s="493"/>
      <c r="BC42" s="20"/>
      <c r="BD42" s="474"/>
      <c r="BE42" s="478"/>
      <c r="BF42" s="479">
        <f>BJ35+BJ40+BJ45+BJ50</f>
        <v>47151000</v>
      </c>
      <c r="BG42" s="525"/>
      <c r="BH42" s="485"/>
      <c r="BI42" s="486"/>
      <c r="BJ42" s="487"/>
      <c r="BK42" s="473"/>
      <c r="BM42" s="472"/>
      <c r="BN42" s="20"/>
      <c r="BO42" s="20"/>
      <c r="BP42" s="519"/>
      <c r="BQ42" s="474"/>
      <c r="BR42" s="486"/>
      <c r="BS42" s="523"/>
      <c r="BT42" s="474"/>
      <c r="BU42" s="524"/>
      <c r="BV42" s="493"/>
      <c r="BW42" s="493"/>
      <c r="BX42" s="20"/>
      <c r="BY42" s="474"/>
      <c r="BZ42" s="478"/>
      <c r="CA42" s="479">
        <f>CE35+CE40+CE45+CE50</f>
        <v>57903000</v>
      </c>
      <c r="CB42" s="525"/>
      <c r="CC42" s="485"/>
      <c r="CD42" s="486"/>
      <c r="CE42" s="487"/>
      <c r="CF42" s="473"/>
    </row>
    <row r="43" spans="1:84">
      <c r="B43" s="472"/>
      <c r="C43" s="474"/>
      <c r="D43" s="474"/>
      <c r="E43" s="518"/>
      <c r="F43" s="474"/>
      <c r="G43" s="493"/>
      <c r="H43" s="489"/>
      <c r="I43" s="20"/>
      <c r="J43" s="492"/>
      <c r="K43" s="493"/>
      <c r="L43" s="493"/>
      <c r="M43" s="20"/>
      <c r="N43" s="481"/>
      <c r="O43" s="482"/>
      <c r="P43" s="483"/>
      <c r="Q43" s="474"/>
      <c r="R43" s="485"/>
      <c r="S43" s="488"/>
      <c r="T43" s="489"/>
      <c r="U43" s="473"/>
      <c r="W43" s="472"/>
      <c r="X43" s="474"/>
      <c r="Y43" s="474"/>
      <c r="Z43" s="518"/>
      <c r="AA43" s="474"/>
      <c r="AB43" s="493"/>
      <c r="AC43" s="489"/>
      <c r="AD43" s="20"/>
      <c r="AE43" s="492"/>
      <c r="AF43" s="493"/>
      <c r="AG43" s="493"/>
      <c r="AH43" s="20"/>
      <c r="AI43" s="481"/>
      <c r="AJ43" s="482"/>
      <c r="AK43" s="483"/>
      <c r="AL43" s="474"/>
      <c r="AM43" s="485"/>
      <c r="AN43" s="488"/>
      <c r="AO43" s="489"/>
      <c r="AP43" s="473"/>
      <c r="AR43" s="472"/>
      <c r="AS43" s="474"/>
      <c r="AT43" s="474"/>
      <c r="AU43" s="518"/>
      <c r="AV43" s="474"/>
      <c r="AW43" s="493"/>
      <c r="AX43" s="489"/>
      <c r="AY43" s="20"/>
      <c r="AZ43" s="492"/>
      <c r="BA43" s="493"/>
      <c r="BB43" s="493"/>
      <c r="BC43" s="20"/>
      <c r="BD43" s="481"/>
      <c r="BE43" s="482"/>
      <c r="BF43" s="483"/>
      <c r="BG43" s="474"/>
      <c r="BH43" s="485"/>
      <c r="BI43" s="488"/>
      <c r="BJ43" s="489"/>
      <c r="BK43" s="473"/>
      <c r="BM43" s="472"/>
      <c r="BN43" s="474"/>
      <c r="BO43" s="474"/>
      <c r="BP43" s="518"/>
      <c r="BQ43" s="474"/>
      <c r="BR43" s="493"/>
      <c r="BS43" s="489"/>
      <c r="BT43" s="20"/>
      <c r="BU43" s="492"/>
      <c r="BV43" s="493"/>
      <c r="BW43" s="493"/>
      <c r="BX43" s="20"/>
      <c r="BY43" s="481"/>
      <c r="BZ43" s="482"/>
      <c r="CA43" s="483"/>
      <c r="CB43" s="474"/>
      <c r="CC43" s="485"/>
      <c r="CD43" s="488"/>
      <c r="CE43" s="489"/>
      <c r="CF43" s="473"/>
    </row>
    <row r="44" spans="1:84">
      <c r="B44" s="472"/>
      <c r="C44" s="474"/>
      <c r="D44" s="526"/>
      <c r="E44" s="518"/>
      <c r="F44" s="474"/>
      <c r="G44" s="488"/>
      <c r="H44" s="488"/>
      <c r="I44" s="474"/>
      <c r="J44" s="492"/>
      <c r="K44" s="493"/>
      <c r="L44" s="493"/>
      <c r="M44" s="20"/>
      <c r="N44" s="485"/>
      <c r="O44" s="486"/>
      <c r="P44" s="487"/>
      <c r="Q44" s="474"/>
      <c r="R44" s="485"/>
      <c r="S44" s="476" t="s">
        <v>284</v>
      </c>
      <c r="T44" s="477"/>
      <c r="U44" s="473"/>
      <c r="W44" s="472"/>
      <c r="X44" s="474"/>
      <c r="Y44" s="526"/>
      <c r="Z44" s="518"/>
      <c r="AA44" s="474"/>
      <c r="AB44" s="488"/>
      <c r="AC44" s="488"/>
      <c r="AD44" s="474"/>
      <c r="AE44" s="492"/>
      <c r="AF44" s="493"/>
      <c r="AG44" s="493"/>
      <c r="AH44" s="20"/>
      <c r="AI44" s="485"/>
      <c r="AJ44" s="486"/>
      <c r="AK44" s="487"/>
      <c r="AL44" s="474"/>
      <c r="AM44" s="485"/>
      <c r="AN44" s="476" t="s">
        <v>284</v>
      </c>
      <c r="AO44" s="477"/>
      <c r="AP44" s="473"/>
      <c r="AR44" s="472"/>
      <c r="AS44" s="474"/>
      <c r="AT44" s="526"/>
      <c r="AU44" s="518"/>
      <c r="AV44" s="474"/>
      <c r="AW44" s="488"/>
      <c r="AX44" s="488"/>
      <c r="AY44" s="474"/>
      <c r="AZ44" s="492"/>
      <c r="BA44" s="493"/>
      <c r="BB44" s="493"/>
      <c r="BC44" s="20"/>
      <c r="BD44" s="485"/>
      <c r="BE44" s="486"/>
      <c r="BF44" s="487"/>
      <c r="BG44" s="474"/>
      <c r="BH44" s="485"/>
      <c r="BI44" s="476" t="s">
        <v>284</v>
      </c>
      <c r="BJ44" s="477"/>
      <c r="BK44" s="473"/>
      <c r="BM44" s="472"/>
      <c r="BN44" s="474"/>
      <c r="BO44" s="526"/>
      <c r="BP44" s="518"/>
      <c r="BQ44" s="474"/>
      <c r="BR44" s="488"/>
      <c r="BS44" s="488"/>
      <c r="BT44" s="474"/>
      <c r="BU44" s="492"/>
      <c r="BV44" s="493"/>
      <c r="BW44" s="493"/>
      <c r="BX44" s="20"/>
      <c r="BY44" s="485"/>
      <c r="BZ44" s="486"/>
      <c r="CA44" s="487"/>
      <c r="CB44" s="474"/>
      <c r="CC44" s="485"/>
      <c r="CD44" s="476" t="s">
        <v>284</v>
      </c>
      <c r="CE44" s="477"/>
      <c r="CF44" s="473"/>
    </row>
    <row r="45" spans="1:84">
      <c r="B45" s="472"/>
      <c r="C45" s="474"/>
      <c r="D45" s="526"/>
      <c r="E45" s="518"/>
      <c r="F45" s="474"/>
      <c r="G45" s="493"/>
      <c r="H45" s="493"/>
      <c r="I45" s="20"/>
      <c r="J45" s="492"/>
      <c r="K45" s="493"/>
      <c r="L45" s="493"/>
      <c r="M45" s="20"/>
      <c r="N45" s="485"/>
      <c r="O45" s="488"/>
      <c r="P45" s="489"/>
      <c r="Q45" s="474"/>
      <c r="R45" s="491"/>
      <c r="S45" s="478"/>
      <c r="T45" s="479">
        <f>'INDICADORES BASICOS'!C58</f>
        <v>423430000</v>
      </c>
      <c r="U45" s="473"/>
      <c r="W45" s="472"/>
      <c r="X45" s="474"/>
      <c r="Y45" s="526"/>
      <c r="Z45" s="518"/>
      <c r="AA45" s="474"/>
      <c r="AB45" s="493"/>
      <c r="AC45" s="493"/>
      <c r="AD45" s="20"/>
      <c r="AE45" s="492"/>
      <c r="AF45" s="493"/>
      <c r="AG45" s="493"/>
      <c r="AH45" s="20"/>
      <c r="AI45" s="485"/>
      <c r="AJ45" s="488"/>
      <c r="AK45" s="489"/>
      <c r="AL45" s="474"/>
      <c r="AM45" s="491"/>
      <c r="AN45" s="478"/>
      <c r="AO45" s="479">
        <f>'INDICADORES BASICOS'!F58</f>
        <v>133403000</v>
      </c>
      <c r="AP45" s="473"/>
      <c r="AR45" s="472"/>
      <c r="AS45" s="474"/>
      <c r="AT45" s="526"/>
      <c r="AU45" s="518"/>
      <c r="AV45" s="474"/>
      <c r="AW45" s="493"/>
      <c r="AX45" s="493"/>
      <c r="AY45" s="20"/>
      <c r="AZ45" s="492"/>
      <c r="BA45" s="493"/>
      <c r="BB45" s="493"/>
      <c r="BC45" s="20"/>
      <c r="BD45" s="485"/>
      <c r="BE45" s="488"/>
      <c r="BF45" s="489"/>
      <c r="BG45" s="474"/>
      <c r="BH45" s="491"/>
      <c r="BI45" s="478"/>
      <c r="BJ45" s="479">
        <f>'INDICADORES BASICOS'!F89</f>
        <v>44086000</v>
      </c>
      <c r="BK45" s="473"/>
      <c r="BM45" s="472"/>
      <c r="BN45" s="474"/>
      <c r="BO45" s="526"/>
      <c r="BP45" s="518"/>
      <c r="BQ45" s="474"/>
      <c r="BR45" s="493"/>
      <c r="BS45" s="493"/>
      <c r="BT45" s="20"/>
      <c r="BU45" s="492"/>
      <c r="BV45" s="493"/>
      <c r="BW45" s="493"/>
      <c r="BX45" s="20"/>
      <c r="BY45" s="485"/>
      <c r="BZ45" s="488"/>
      <c r="CA45" s="489"/>
      <c r="CB45" s="474"/>
      <c r="CC45" s="491"/>
      <c r="CD45" s="478"/>
      <c r="CE45" s="479">
        <f>'INDICADORES BASICOS'!F119</f>
        <v>11114000</v>
      </c>
      <c r="CF45" s="473"/>
    </row>
    <row r="46" spans="1:84">
      <c r="B46" s="472"/>
      <c r="C46" s="474"/>
      <c r="D46" s="474"/>
      <c r="E46" s="474"/>
      <c r="F46" s="485"/>
      <c r="G46" s="493"/>
      <c r="H46" s="493"/>
      <c r="I46" s="20"/>
      <c r="J46" s="492"/>
      <c r="K46" s="493"/>
      <c r="L46" s="493"/>
      <c r="M46" s="20"/>
      <c r="N46" s="492"/>
      <c r="O46" s="493"/>
      <c r="P46" s="493"/>
      <c r="Q46" s="20"/>
      <c r="R46" s="481"/>
      <c r="S46" s="482"/>
      <c r="T46" s="483"/>
      <c r="U46" s="473"/>
      <c r="W46" s="472"/>
      <c r="X46" s="474"/>
      <c r="Y46" s="474"/>
      <c r="Z46" s="474"/>
      <c r="AA46" s="485"/>
      <c r="AB46" s="493"/>
      <c r="AC46" s="493"/>
      <c r="AD46" s="20"/>
      <c r="AE46" s="492"/>
      <c r="AF46" s="493"/>
      <c r="AG46" s="493"/>
      <c r="AH46" s="20"/>
      <c r="AI46" s="492"/>
      <c r="AJ46" s="493"/>
      <c r="AK46" s="493"/>
      <c r="AL46" s="20"/>
      <c r="AM46" s="481"/>
      <c r="AN46" s="482"/>
      <c r="AO46" s="483"/>
      <c r="AP46" s="473"/>
      <c r="AR46" s="472"/>
      <c r="AS46" s="474"/>
      <c r="AT46" s="474"/>
      <c r="AU46" s="474"/>
      <c r="AV46" s="485"/>
      <c r="AW46" s="493"/>
      <c r="AX46" s="493"/>
      <c r="AY46" s="20"/>
      <c r="AZ46" s="492"/>
      <c r="BA46" s="493"/>
      <c r="BB46" s="493"/>
      <c r="BC46" s="20"/>
      <c r="BD46" s="492"/>
      <c r="BE46" s="493"/>
      <c r="BF46" s="493"/>
      <c r="BG46" s="20"/>
      <c r="BH46" s="481"/>
      <c r="BI46" s="482"/>
      <c r="BJ46" s="483"/>
      <c r="BK46" s="473"/>
      <c r="BM46" s="472"/>
      <c r="BN46" s="474"/>
      <c r="BO46" s="474"/>
      <c r="BP46" s="474"/>
      <c r="BQ46" s="485"/>
      <c r="BR46" s="493"/>
      <c r="BS46" s="493"/>
      <c r="BT46" s="20"/>
      <c r="BU46" s="492"/>
      <c r="BV46" s="493"/>
      <c r="BW46" s="493"/>
      <c r="BX46" s="20"/>
      <c r="BY46" s="492"/>
      <c r="BZ46" s="493"/>
      <c r="CA46" s="493"/>
      <c r="CB46" s="20"/>
      <c r="CC46" s="481"/>
      <c r="CD46" s="482"/>
      <c r="CE46" s="483"/>
      <c r="CF46" s="473"/>
    </row>
    <row r="47" spans="1:84">
      <c r="A47" s="20"/>
      <c r="B47" s="472"/>
      <c r="C47" s="474"/>
      <c r="D47" s="474"/>
      <c r="E47" s="474"/>
      <c r="F47" s="485"/>
      <c r="G47" s="493"/>
      <c r="H47" s="493"/>
      <c r="I47" s="20"/>
      <c r="J47" s="485"/>
      <c r="K47" s="488"/>
      <c r="L47" s="488"/>
      <c r="M47" s="474"/>
      <c r="N47" s="485"/>
      <c r="O47" s="488"/>
      <c r="P47" s="488"/>
      <c r="Q47" s="474"/>
      <c r="R47" s="485"/>
      <c r="S47" s="486"/>
      <c r="T47" s="487"/>
      <c r="U47" s="473"/>
      <c r="W47" s="472"/>
      <c r="X47" s="474"/>
      <c r="Y47" s="474"/>
      <c r="Z47" s="474"/>
      <c r="AA47" s="485"/>
      <c r="AB47" s="493"/>
      <c r="AC47" s="493"/>
      <c r="AD47" s="20"/>
      <c r="AE47" s="485"/>
      <c r="AF47" s="488"/>
      <c r="AG47" s="488"/>
      <c r="AH47" s="474"/>
      <c r="AI47" s="485"/>
      <c r="AJ47" s="488"/>
      <c r="AK47" s="488"/>
      <c r="AL47" s="474"/>
      <c r="AM47" s="485"/>
      <c r="AN47" s="486"/>
      <c r="AO47" s="487"/>
      <c r="AP47" s="473"/>
      <c r="AR47" s="472"/>
      <c r="AS47" s="474"/>
      <c r="AT47" s="474"/>
      <c r="AU47" s="474"/>
      <c r="AV47" s="485"/>
      <c r="AW47" s="493"/>
      <c r="AX47" s="493"/>
      <c r="AY47" s="20"/>
      <c r="AZ47" s="485"/>
      <c r="BA47" s="488"/>
      <c r="BB47" s="488"/>
      <c r="BC47" s="474"/>
      <c r="BD47" s="485"/>
      <c r="BE47" s="488"/>
      <c r="BF47" s="488"/>
      <c r="BG47" s="474"/>
      <c r="BH47" s="485"/>
      <c r="BI47" s="486"/>
      <c r="BJ47" s="487"/>
      <c r="BK47" s="473"/>
      <c r="BM47" s="472"/>
      <c r="BN47" s="474"/>
      <c r="BO47" s="474"/>
      <c r="BP47" s="474"/>
      <c r="BQ47" s="485"/>
      <c r="BR47" s="493"/>
      <c r="BS47" s="493"/>
      <c r="BT47" s="20"/>
      <c r="BU47" s="485"/>
      <c r="BV47" s="488"/>
      <c r="BW47" s="488"/>
      <c r="BX47" s="474"/>
      <c r="BY47" s="485"/>
      <c r="BZ47" s="488"/>
      <c r="CA47" s="488"/>
      <c r="CB47" s="474"/>
      <c r="CC47" s="485"/>
      <c r="CD47" s="486"/>
      <c r="CE47" s="487"/>
      <c r="CF47" s="473"/>
    </row>
    <row r="48" spans="1:84">
      <c r="A48" s="506"/>
      <c r="B48" s="472"/>
      <c r="C48" s="677" t="s">
        <v>380</v>
      </c>
      <c r="D48" s="678"/>
      <c r="E48" s="474"/>
      <c r="F48" s="485"/>
      <c r="G48" s="493"/>
      <c r="H48" s="493"/>
      <c r="I48" s="20"/>
      <c r="J48" s="485"/>
      <c r="K48" s="476" t="s">
        <v>388</v>
      </c>
      <c r="L48" s="477"/>
      <c r="M48" s="474"/>
      <c r="N48" s="485"/>
      <c r="O48" s="488"/>
      <c r="P48" s="488"/>
      <c r="Q48" s="474"/>
      <c r="R48" s="485"/>
      <c r="S48" s="488"/>
      <c r="T48" s="489"/>
      <c r="U48" s="473"/>
      <c r="W48" s="472"/>
      <c r="X48" s="677" t="s">
        <v>380</v>
      </c>
      <c r="Y48" s="678"/>
      <c r="Z48" s="474"/>
      <c r="AA48" s="485"/>
      <c r="AB48" s="493"/>
      <c r="AC48" s="493"/>
      <c r="AD48" s="20"/>
      <c r="AE48" s="485"/>
      <c r="AF48" s="476" t="s">
        <v>388</v>
      </c>
      <c r="AG48" s="477"/>
      <c r="AH48" s="474"/>
      <c r="AI48" s="485"/>
      <c r="AJ48" s="488"/>
      <c r="AK48" s="488"/>
      <c r="AL48" s="474"/>
      <c r="AM48" s="485"/>
      <c r="AN48" s="488"/>
      <c r="AO48" s="489"/>
      <c r="AP48" s="473"/>
      <c r="AR48" s="472"/>
      <c r="AS48" s="677" t="s">
        <v>380</v>
      </c>
      <c r="AT48" s="678"/>
      <c r="AU48" s="474"/>
      <c r="AV48" s="485"/>
      <c r="AW48" s="493"/>
      <c r="AX48" s="493"/>
      <c r="AY48" s="20"/>
      <c r="AZ48" s="485"/>
      <c r="BA48" s="476" t="s">
        <v>388</v>
      </c>
      <c r="BB48" s="477"/>
      <c r="BC48" s="474"/>
      <c r="BD48" s="485"/>
      <c r="BE48" s="488"/>
      <c r="BF48" s="488"/>
      <c r="BG48" s="474"/>
      <c r="BH48" s="485"/>
      <c r="BI48" s="488"/>
      <c r="BJ48" s="489"/>
      <c r="BK48" s="473"/>
      <c r="BM48" s="472"/>
      <c r="BN48" s="677" t="s">
        <v>380</v>
      </c>
      <c r="BO48" s="678"/>
      <c r="BP48" s="474"/>
      <c r="BQ48" s="485"/>
      <c r="BR48" s="493"/>
      <c r="BS48" s="493"/>
      <c r="BT48" s="20"/>
      <c r="BU48" s="485"/>
      <c r="BV48" s="476" t="s">
        <v>388</v>
      </c>
      <c r="BW48" s="477"/>
      <c r="BX48" s="474"/>
      <c r="BY48" s="485"/>
      <c r="BZ48" s="488"/>
      <c r="CA48" s="488"/>
      <c r="CB48" s="474"/>
      <c r="CC48" s="485"/>
      <c r="CD48" s="488"/>
      <c r="CE48" s="489"/>
      <c r="CF48" s="473"/>
    </row>
    <row r="49" spans="1:84">
      <c r="A49" s="20"/>
      <c r="B49" s="472"/>
      <c r="C49" s="512" t="s">
        <v>389</v>
      </c>
      <c r="D49" s="498"/>
      <c r="E49" s="474"/>
      <c r="F49" s="485"/>
      <c r="G49" s="493"/>
      <c r="H49" s="493"/>
      <c r="I49" s="20"/>
      <c r="J49" s="491"/>
      <c r="K49" s="482"/>
      <c r="L49" s="483">
        <f>P42+P57</f>
        <v>1010330000</v>
      </c>
      <c r="M49" s="474"/>
      <c r="N49" s="485"/>
      <c r="O49" s="488"/>
      <c r="P49" s="488"/>
      <c r="Q49" s="474"/>
      <c r="R49" s="485"/>
      <c r="S49" s="677" t="s">
        <v>390</v>
      </c>
      <c r="T49" s="678"/>
      <c r="U49" s="473"/>
      <c r="W49" s="472"/>
      <c r="X49" s="512" t="s">
        <v>389</v>
      </c>
      <c r="Y49" s="498"/>
      <c r="Z49" s="474"/>
      <c r="AA49" s="485"/>
      <c r="AB49" s="493"/>
      <c r="AC49" s="493"/>
      <c r="AD49" s="20"/>
      <c r="AE49" s="491"/>
      <c r="AF49" s="482"/>
      <c r="AG49" s="483">
        <f>AK42+AK57</f>
        <v>859045000</v>
      </c>
      <c r="AH49" s="474"/>
      <c r="AI49" s="485"/>
      <c r="AJ49" s="488"/>
      <c r="AK49" s="488"/>
      <c r="AL49" s="474"/>
      <c r="AM49" s="485"/>
      <c r="AN49" s="677" t="s">
        <v>390</v>
      </c>
      <c r="AO49" s="678"/>
      <c r="AP49" s="473"/>
      <c r="AR49" s="472"/>
      <c r="AS49" s="512" t="s">
        <v>389</v>
      </c>
      <c r="AT49" s="498"/>
      <c r="AU49" s="474"/>
      <c r="AV49" s="485"/>
      <c r="AW49" s="493"/>
      <c r="AX49" s="493"/>
      <c r="AY49" s="20"/>
      <c r="AZ49" s="491"/>
      <c r="BA49" s="482"/>
      <c r="BB49" s="483">
        <f>BF42+BF57</f>
        <v>798251000</v>
      </c>
      <c r="BC49" s="474"/>
      <c r="BD49" s="485"/>
      <c r="BE49" s="488"/>
      <c r="BF49" s="488"/>
      <c r="BG49" s="474"/>
      <c r="BH49" s="485"/>
      <c r="BI49" s="677" t="s">
        <v>390</v>
      </c>
      <c r="BJ49" s="678"/>
      <c r="BK49" s="473"/>
      <c r="BM49" s="472"/>
      <c r="BN49" s="512" t="s">
        <v>389</v>
      </c>
      <c r="BO49" s="498"/>
      <c r="BP49" s="474"/>
      <c r="BQ49" s="485"/>
      <c r="BR49" s="493"/>
      <c r="BS49" s="493"/>
      <c r="BT49" s="20"/>
      <c r="BU49" s="491"/>
      <c r="BV49" s="482"/>
      <c r="BW49" s="483">
        <f>CA42+CA57</f>
        <v>657903000</v>
      </c>
      <c r="BX49" s="474"/>
      <c r="BY49" s="485"/>
      <c r="BZ49" s="488"/>
      <c r="CA49" s="488"/>
      <c r="CB49" s="474"/>
      <c r="CC49" s="485"/>
      <c r="CD49" s="677" t="s">
        <v>390</v>
      </c>
      <c r="CE49" s="678"/>
      <c r="CF49" s="473"/>
    </row>
    <row r="50" spans="1:84">
      <c r="B50" s="472"/>
      <c r="C50" s="679" t="s">
        <v>391</v>
      </c>
      <c r="D50" s="680"/>
      <c r="E50" s="474"/>
      <c r="F50" s="485"/>
      <c r="G50" s="493"/>
      <c r="H50" s="493"/>
      <c r="I50" s="20"/>
      <c r="J50" s="474"/>
      <c r="K50" s="482"/>
      <c r="L50" s="483"/>
      <c r="M50" s="516"/>
      <c r="N50" s="492"/>
      <c r="O50" s="493"/>
      <c r="P50" s="493"/>
      <c r="Q50" s="20"/>
      <c r="R50" s="491"/>
      <c r="S50" s="478"/>
      <c r="T50" s="479">
        <v>0</v>
      </c>
      <c r="U50" s="473"/>
      <c r="W50" s="472"/>
      <c r="X50" s="679" t="s">
        <v>391</v>
      </c>
      <c r="Y50" s="680"/>
      <c r="Z50" s="474"/>
      <c r="AA50" s="485"/>
      <c r="AB50" s="493"/>
      <c r="AC50" s="493"/>
      <c r="AD50" s="20"/>
      <c r="AE50" s="474"/>
      <c r="AF50" s="482"/>
      <c r="AG50" s="483"/>
      <c r="AH50" s="516"/>
      <c r="AI50" s="492"/>
      <c r="AJ50" s="493"/>
      <c r="AK50" s="493"/>
      <c r="AL50" s="20"/>
      <c r="AM50" s="491"/>
      <c r="AN50" s="478"/>
      <c r="AO50" s="479">
        <v>0</v>
      </c>
      <c r="AP50" s="473"/>
      <c r="AR50" s="472"/>
      <c r="AS50" s="679" t="s">
        <v>391</v>
      </c>
      <c r="AT50" s="680"/>
      <c r="AU50" s="474"/>
      <c r="AV50" s="485"/>
      <c r="AW50" s="493"/>
      <c r="AX50" s="493"/>
      <c r="AY50" s="20"/>
      <c r="AZ50" s="474"/>
      <c r="BA50" s="482"/>
      <c r="BB50" s="483"/>
      <c r="BC50" s="516"/>
      <c r="BD50" s="492"/>
      <c r="BE50" s="493"/>
      <c r="BF50" s="493"/>
      <c r="BG50" s="20"/>
      <c r="BH50" s="491"/>
      <c r="BI50" s="478"/>
      <c r="BJ50" s="479">
        <v>0</v>
      </c>
      <c r="BK50" s="473"/>
      <c r="BM50" s="472"/>
      <c r="BN50" s="679" t="s">
        <v>391</v>
      </c>
      <c r="BO50" s="680"/>
      <c r="BP50" s="474"/>
      <c r="BQ50" s="485"/>
      <c r="BR50" s="493"/>
      <c r="BS50" s="493"/>
      <c r="BT50" s="20"/>
      <c r="BU50" s="474"/>
      <c r="BV50" s="482"/>
      <c r="BW50" s="483"/>
      <c r="BX50" s="516"/>
      <c r="BY50" s="492"/>
      <c r="BZ50" s="493"/>
      <c r="CA50" s="493"/>
      <c r="CB50" s="20"/>
      <c r="CC50" s="491"/>
      <c r="CD50" s="478"/>
      <c r="CE50" s="479">
        <v>0</v>
      </c>
      <c r="CF50" s="473"/>
    </row>
    <row r="51" spans="1:84">
      <c r="B51" s="472"/>
      <c r="C51" s="478"/>
      <c r="D51" s="500">
        <f>H18*H40*H66</f>
        <v>4.3342731098550247E-2</v>
      </c>
      <c r="E51" s="507"/>
      <c r="F51" s="485"/>
      <c r="G51" s="493"/>
      <c r="H51" s="493"/>
      <c r="I51" s="20"/>
      <c r="J51" s="474"/>
      <c r="K51" s="486"/>
      <c r="L51" s="487"/>
      <c r="M51" s="518"/>
      <c r="N51" s="492"/>
      <c r="O51" s="493"/>
      <c r="P51" s="493"/>
      <c r="Q51" s="20"/>
      <c r="R51" s="474"/>
      <c r="S51" s="482"/>
      <c r="T51" s="483"/>
      <c r="U51" s="473"/>
      <c r="W51" s="472"/>
      <c r="X51" s="478"/>
      <c r="Y51" s="500">
        <f>AC18*AC40*AC66</f>
        <v>3.4080620978097893E-2</v>
      </c>
      <c r="Z51" s="507"/>
      <c r="AA51" s="485"/>
      <c r="AB51" s="493"/>
      <c r="AC51" s="493"/>
      <c r="AD51" s="20"/>
      <c r="AE51" s="474"/>
      <c r="AF51" s="486"/>
      <c r="AG51" s="487"/>
      <c r="AH51" s="518"/>
      <c r="AI51" s="492"/>
      <c r="AJ51" s="493"/>
      <c r="AK51" s="493"/>
      <c r="AL51" s="20"/>
      <c r="AM51" s="474"/>
      <c r="AN51" s="482"/>
      <c r="AO51" s="483"/>
      <c r="AP51" s="473"/>
      <c r="AR51" s="472"/>
      <c r="AS51" s="478"/>
      <c r="AT51" s="500">
        <f>AX18*AX40*AX66</f>
        <v>7.1029631082036568E-2</v>
      </c>
      <c r="AU51" s="507"/>
      <c r="AV51" s="485"/>
      <c r="AW51" s="493"/>
      <c r="AX51" s="493"/>
      <c r="AY51" s="20"/>
      <c r="AZ51" s="474"/>
      <c r="BA51" s="486"/>
      <c r="BB51" s="487"/>
      <c r="BC51" s="518"/>
      <c r="BD51" s="492"/>
      <c r="BE51" s="493"/>
      <c r="BF51" s="493"/>
      <c r="BG51" s="20"/>
      <c r="BH51" s="474"/>
      <c r="BI51" s="482"/>
      <c r="BJ51" s="483"/>
      <c r="BK51" s="473"/>
      <c r="BM51" s="472"/>
      <c r="BN51" s="478"/>
      <c r="BO51" s="500">
        <f>BS18*BS40*BS66</f>
        <v>1.3070160570776184E-2</v>
      </c>
      <c r="BP51" s="507"/>
      <c r="BQ51" s="485"/>
      <c r="BR51" s="493"/>
      <c r="BS51" s="493"/>
      <c r="BT51" s="20"/>
      <c r="BU51" s="474"/>
      <c r="BV51" s="486"/>
      <c r="BW51" s="487"/>
      <c r="BX51" s="518"/>
      <c r="BY51" s="492"/>
      <c r="BZ51" s="493"/>
      <c r="CA51" s="493"/>
      <c r="CB51" s="20"/>
      <c r="CC51" s="474"/>
      <c r="CD51" s="482"/>
      <c r="CE51" s="483"/>
      <c r="CF51" s="473"/>
    </row>
    <row r="52" spans="1:84">
      <c r="B52" s="472"/>
      <c r="C52" s="482"/>
      <c r="D52" s="501"/>
      <c r="E52" s="518"/>
      <c r="F52" s="474"/>
      <c r="G52" s="493"/>
      <c r="H52" s="493"/>
      <c r="I52" s="20"/>
      <c r="J52" s="474"/>
      <c r="K52" s="488"/>
      <c r="L52" s="489"/>
      <c r="M52" s="474"/>
      <c r="N52" s="492"/>
      <c r="O52" s="493"/>
      <c r="P52" s="493"/>
      <c r="Q52" s="20"/>
      <c r="R52" s="474"/>
      <c r="S52" s="486"/>
      <c r="T52" s="487"/>
      <c r="U52" s="473"/>
      <c r="W52" s="472"/>
      <c r="X52" s="482"/>
      <c r="Y52" s="501"/>
      <c r="Z52" s="518"/>
      <c r="AA52" s="474"/>
      <c r="AB52" s="493"/>
      <c r="AC52" s="493"/>
      <c r="AD52" s="20"/>
      <c r="AE52" s="474"/>
      <c r="AF52" s="488"/>
      <c r="AG52" s="489"/>
      <c r="AH52" s="474"/>
      <c r="AI52" s="492"/>
      <c r="AJ52" s="493"/>
      <c r="AK52" s="493"/>
      <c r="AL52" s="20"/>
      <c r="AM52" s="474"/>
      <c r="AN52" s="486"/>
      <c r="AO52" s="487"/>
      <c r="AP52" s="473"/>
      <c r="AR52" s="472"/>
      <c r="AS52" s="482"/>
      <c r="AT52" s="501"/>
      <c r="AU52" s="518"/>
      <c r="AV52" s="474"/>
      <c r="AW52" s="493"/>
      <c r="AX52" s="493"/>
      <c r="AY52" s="20"/>
      <c r="AZ52" s="474"/>
      <c r="BA52" s="488"/>
      <c r="BB52" s="489"/>
      <c r="BC52" s="474"/>
      <c r="BD52" s="492"/>
      <c r="BE52" s="493"/>
      <c r="BF52" s="493"/>
      <c r="BG52" s="20"/>
      <c r="BH52" s="474"/>
      <c r="BI52" s="486"/>
      <c r="BJ52" s="487"/>
      <c r="BK52" s="473"/>
      <c r="BM52" s="472"/>
      <c r="BN52" s="482"/>
      <c r="BO52" s="501"/>
      <c r="BP52" s="518"/>
      <c r="BQ52" s="474"/>
      <c r="BR52" s="493"/>
      <c r="BS52" s="493"/>
      <c r="BT52" s="20"/>
      <c r="BU52" s="474"/>
      <c r="BV52" s="488"/>
      <c r="BW52" s="489"/>
      <c r="BX52" s="474"/>
      <c r="BY52" s="492"/>
      <c r="BZ52" s="493"/>
      <c r="CA52" s="493"/>
      <c r="CB52" s="20"/>
      <c r="CC52" s="474"/>
      <c r="CD52" s="486"/>
      <c r="CE52" s="487"/>
      <c r="CF52" s="473"/>
    </row>
    <row r="53" spans="1:84">
      <c r="B53" s="472"/>
      <c r="C53" s="486"/>
      <c r="D53" s="503"/>
      <c r="E53" s="518"/>
      <c r="F53" s="474"/>
      <c r="G53" s="493"/>
      <c r="H53" s="493"/>
      <c r="I53" s="20"/>
      <c r="J53" s="20"/>
      <c r="K53" s="493"/>
      <c r="L53" s="493"/>
      <c r="M53" s="474"/>
      <c r="N53" s="492"/>
      <c r="O53" s="493"/>
      <c r="P53" s="493"/>
      <c r="Q53" s="20"/>
      <c r="R53" s="474"/>
      <c r="S53" s="488"/>
      <c r="T53" s="489"/>
      <c r="U53" s="473"/>
      <c r="W53" s="472"/>
      <c r="X53" s="486"/>
      <c r="Y53" s="503"/>
      <c r="Z53" s="518"/>
      <c r="AA53" s="474"/>
      <c r="AB53" s="493"/>
      <c r="AC53" s="493"/>
      <c r="AD53" s="20"/>
      <c r="AE53" s="20"/>
      <c r="AF53" s="493"/>
      <c r="AG53" s="493"/>
      <c r="AH53" s="474"/>
      <c r="AI53" s="492"/>
      <c r="AJ53" s="493"/>
      <c r="AK53" s="493"/>
      <c r="AL53" s="20"/>
      <c r="AM53" s="474"/>
      <c r="AN53" s="488"/>
      <c r="AO53" s="489"/>
      <c r="AP53" s="473"/>
      <c r="AR53" s="472"/>
      <c r="AS53" s="486"/>
      <c r="AT53" s="503"/>
      <c r="AU53" s="518"/>
      <c r="AV53" s="474"/>
      <c r="AW53" s="493"/>
      <c r="AX53" s="493"/>
      <c r="AY53" s="20"/>
      <c r="AZ53" s="20"/>
      <c r="BA53" s="493"/>
      <c r="BB53" s="493"/>
      <c r="BC53" s="474"/>
      <c r="BD53" s="492"/>
      <c r="BE53" s="493"/>
      <c r="BF53" s="493"/>
      <c r="BG53" s="20"/>
      <c r="BH53" s="474"/>
      <c r="BI53" s="488"/>
      <c r="BJ53" s="489"/>
      <c r="BK53" s="473"/>
      <c r="BM53" s="472"/>
      <c r="BN53" s="486"/>
      <c r="BO53" s="503"/>
      <c r="BP53" s="518"/>
      <c r="BQ53" s="474"/>
      <c r="BR53" s="493"/>
      <c r="BS53" s="493"/>
      <c r="BT53" s="20"/>
      <c r="BU53" s="20"/>
      <c r="BV53" s="493"/>
      <c r="BW53" s="493"/>
      <c r="BX53" s="474"/>
      <c r="BY53" s="492"/>
      <c r="BZ53" s="493"/>
      <c r="CA53" s="493"/>
      <c r="CB53" s="20"/>
      <c r="CC53" s="474"/>
      <c r="CD53" s="488"/>
      <c r="CE53" s="489"/>
      <c r="CF53" s="473"/>
    </row>
    <row r="54" spans="1:84">
      <c r="B54" s="472"/>
      <c r="C54" s="474"/>
      <c r="D54" s="474"/>
      <c r="E54" s="518"/>
      <c r="F54" s="474"/>
      <c r="G54" s="493"/>
      <c r="H54" s="493"/>
      <c r="I54" s="20"/>
      <c r="J54" s="20"/>
      <c r="K54" s="493"/>
      <c r="L54" s="493"/>
      <c r="M54" s="474"/>
      <c r="N54" s="492"/>
      <c r="O54" s="493"/>
      <c r="P54" s="493"/>
      <c r="Q54" s="20"/>
      <c r="R54" s="474"/>
      <c r="S54" s="20"/>
      <c r="T54" s="20"/>
      <c r="U54" s="473"/>
      <c r="W54" s="472"/>
      <c r="X54" s="474"/>
      <c r="Y54" s="474"/>
      <c r="Z54" s="518"/>
      <c r="AA54" s="474"/>
      <c r="AB54" s="493"/>
      <c r="AC54" s="493"/>
      <c r="AD54" s="20"/>
      <c r="AE54" s="20"/>
      <c r="AF54" s="493"/>
      <c r="AG54" s="493"/>
      <c r="AH54" s="474"/>
      <c r="AI54" s="492"/>
      <c r="AJ54" s="493"/>
      <c r="AK54" s="493"/>
      <c r="AL54" s="20"/>
      <c r="AM54" s="474"/>
      <c r="AN54" s="20"/>
      <c r="AO54" s="20"/>
      <c r="AP54" s="473"/>
      <c r="AR54" s="472"/>
      <c r="AS54" s="474"/>
      <c r="AT54" s="474"/>
      <c r="AU54" s="518"/>
      <c r="AV54" s="474"/>
      <c r="AW54" s="493"/>
      <c r="AX54" s="493"/>
      <c r="AY54" s="20"/>
      <c r="AZ54" s="20"/>
      <c r="BA54" s="493"/>
      <c r="BB54" s="493"/>
      <c r="BC54" s="474"/>
      <c r="BD54" s="492"/>
      <c r="BE54" s="493"/>
      <c r="BF54" s="493"/>
      <c r="BG54" s="20"/>
      <c r="BH54" s="474"/>
      <c r="BI54" s="20"/>
      <c r="BJ54" s="20"/>
      <c r="BK54" s="473"/>
      <c r="BM54" s="472"/>
      <c r="BN54" s="474"/>
      <c r="BO54" s="474"/>
      <c r="BP54" s="518"/>
      <c r="BQ54" s="474"/>
      <c r="BR54" s="493"/>
      <c r="BS54" s="493"/>
      <c r="BT54" s="20"/>
      <c r="BU54" s="20"/>
      <c r="BV54" s="493"/>
      <c r="BW54" s="493"/>
      <c r="BX54" s="474"/>
      <c r="BY54" s="492"/>
      <c r="BZ54" s="493"/>
      <c r="CA54" s="493"/>
      <c r="CB54" s="20"/>
      <c r="CC54" s="474"/>
      <c r="CD54" s="20"/>
      <c r="CE54" s="20"/>
      <c r="CF54" s="473"/>
    </row>
    <row r="55" spans="1:84">
      <c r="B55" s="472"/>
      <c r="C55" s="474"/>
      <c r="D55" s="474"/>
      <c r="E55" s="518"/>
      <c r="F55" s="474"/>
      <c r="G55" s="493"/>
      <c r="H55" s="493"/>
      <c r="I55" s="20"/>
      <c r="J55" s="20"/>
      <c r="K55" s="493"/>
      <c r="L55" s="493"/>
      <c r="M55" s="474"/>
      <c r="N55" s="485"/>
      <c r="O55" s="488"/>
      <c r="P55" s="488"/>
      <c r="Q55" s="474"/>
      <c r="R55" s="474"/>
      <c r="S55" s="20"/>
      <c r="T55" s="20"/>
      <c r="U55" s="473"/>
      <c r="W55" s="472"/>
      <c r="X55" s="474"/>
      <c r="Y55" s="474"/>
      <c r="Z55" s="518"/>
      <c r="AA55" s="474"/>
      <c r="AB55" s="493"/>
      <c r="AC55" s="493"/>
      <c r="AD55" s="20"/>
      <c r="AE55" s="20"/>
      <c r="AF55" s="493"/>
      <c r="AG55" s="493"/>
      <c r="AH55" s="474"/>
      <c r="AI55" s="485"/>
      <c r="AJ55" s="488"/>
      <c r="AK55" s="488"/>
      <c r="AL55" s="474"/>
      <c r="AM55" s="474"/>
      <c r="AN55" s="20"/>
      <c r="AO55" s="20"/>
      <c r="AP55" s="473"/>
      <c r="AR55" s="472"/>
      <c r="AS55" s="474"/>
      <c r="AT55" s="474"/>
      <c r="AU55" s="518"/>
      <c r="AV55" s="474"/>
      <c r="AW55" s="493"/>
      <c r="AX55" s="493"/>
      <c r="AY55" s="20"/>
      <c r="AZ55" s="20"/>
      <c r="BA55" s="493"/>
      <c r="BB55" s="527"/>
      <c r="BC55" s="474"/>
      <c r="BD55" s="485"/>
      <c r="BE55" s="488"/>
      <c r="BF55" s="488"/>
      <c r="BG55" s="474"/>
      <c r="BH55" s="474"/>
      <c r="BI55" s="20"/>
      <c r="BJ55" s="20"/>
      <c r="BK55" s="473"/>
      <c r="BM55" s="472"/>
      <c r="BN55" s="474"/>
      <c r="BO55" s="474"/>
      <c r="BP55" s="518"/>
      <c r="BQ55" s="474"/>
      <c r="BR55" s="493"/>
      <c r="BS55" s="493"/>
      <c r="BT55" s="20"/>
      <c r="BU55" s="20"/>
      <c r="BV55" s="493"/>
      <c r="BW55" s="493"/>
      <c r="BX55" s="474"/>
      <c r="BY55" s="485"/>
      <c r="BZ55" s="488"/>
      <c r="CA55" s="488"/>
      <c r="CB55" s="474"/>
      <c r="CC55" s="474"/>
      <c r="CD55" s="20"/>
      <c r="CE55" s="20"/>
      <c r="CF55" s="473"/>
    </row>
    <row r="56" spans="1:84">
      <c r="B56" s="472"/>
      <c r="C56" s="474"/>
      <c r="D56" s="474"/>
      <c r="E56" s="518"/>
      <c r="F56" s="474"/>
      <c r="G56" s="493"/>
      <c r="H56" s="493"/>
      <c r="I56" s="20"/>
      <c r="J56" s="20"/>
      <c r="K56" s="493"/>
      <c r="L56" s="493"/>
      <c r="M56" s="474"/>
      <c r="N56" s="485"/>
      <c r="O56" s="476" t="s">
        <v>392</v>
      </c>
      <c r="P56" s="477"/>
      <c r="Q56" s="474"/>
      <c r="R56" s="474"/>
      <c r="S56" s="677" t="s">
        <v>393</v>
      </c>
      <c r="T56" s="678"/>
      <c r="U56" s="473"/>
      <c r="W56" s="472"/>
      <c r="X56" s="474"/>
      <c r="Y56" s="474"/>
      <c r="Z56" s="518"/>
      <c r="AA56" s="474"/>
      <c r="AB56" s="493"/>
      <c r="AC56" s="493"/>
      <c r="AD56" s="20"/>
      <c r="AE56" s="20"/>
      <c r="AF56" s="493"/>
      <c r="AG56" s="493"/>
      <c r="AH56" s="474"/>
      <c r="AI56" s="485"/>
      <c r="AJ56" s="476" t="s">
        <v>392</v>
      </c>
      <c r="AK56" s="477"/>
      <c r="AL56" s="474"/>
      <c r="AM56" s="474"/>
      <c r="AN56" s="677" t="s">
        <v>393</v>
      </c>
      <c r="AO56" s="678"/>
      <c r="AP56" s="473"/>
      <c r="AR56" s="472"/>
      <c r="AS56" s="474"/>
      <c r="AT56" s="474"/>
      <c r="AU56" s="518"/>
      <c r="AV56" s="474"/>
      <c r="AW56" s="493"/>
      <c r="AX56" s="493"/>
      <c r="AY56" s="20"/>
      <c r="AZ56" s="20"/>
      <c r="BA56" s="493"/>
      <c r="BB56" s="493"/>
      <c r="BC56" s="474"/>
      <c r="BD56" s="485"/>
      <c r="BE56" s="476" t="s">
        <v>392</v>
      </c>
      <c r="BF56" s="477"/>
      <c r="BG56" s="474"/>
      <c r="BH56" s="474"/>
      <c r="BI56" s="677" t="s">
        <v>393</v>
      </c>
      <c r="BJ56" s="678"/>
      <c r="BK56" s="473"/>
      <c r="BM56" s="472"/>
      <c r="BN56" s="474"/>
      <c r="BO56" s="474"/>
      <c r="BP56" s="518"/>
      <c r="BQ56" s="474"/>
      <c r="BR56" s="493"/>
      <c r="BS56" s="493"/>
      <c r="BT56" s="20"/>
      <c r="BU56" s="20"/>
      <c r="BV56" s="493"/>
      <c r="BW56" s="493"/>
      <c r="BX56" s="474"/>
      <c r="BY56" s="485"/>
      <c r="BZ56" s="476" t="s">
        <v>392</v>
      </c>
      <c r="CA56" s="477"/>
      <c r="CB56" s="474"/>
      <c r="CC56" s="474"/>
      <c r="CD56" s="677" t="s">
        <v>393</v>
      </c>
      <c r="CE56" s="678"/>
      <c r="CF56" s="473"/>
    </row>
    <row r="57" spans="1:84">
      <c r="B57" s="472"/>
      <c r="C57" s="474"/>
      <c r="D57" s="474"/>
      <c r="E57" s="518"/>
      <c r="F57" s="474"/>
      <c r="G57" s="493"/>
      <c r="H57" s="493"/>
      <c r="I57" s="20"/>
      <c r="J57" s="20"/>
      <c r="K57" s="493"/>
      <c r="L57" s="493"/>
      <c r="M57" s="474"/>
      <c r="N57" s="491"/>
      <c r="O57" s="478"/>
      <c r="P57" s="528">
        <f>T57</f>
        <v>573626000</v>
      </c>
      <c r="Q57" s="491"/>
      <c r="R57" s="525"/>
      <c r="S57" s="478"/>
      <c r="T57" s="479">
        <f>'INDICADORES BASICOS'!C61+'INDICADORES BASICOS'!C62</f>
        <v>573626000</v>
      </c>
      <c r="U57" s="473"/>
      <c r="W57" s="472"/>
      <c r="X57" s="474"/>
      <c r="Y57" s="474"/>
      <c r="Z57" s="518"/>
      <c r="AA57" s="474"/>
      <c r="AB57" s="493"/>
      <c r="AC57" s="493"/>
      <c r="AD57" s="20"/>
      <c r="AE57" s="20"/>
      <c r="AF57" s="493"/>
      <c r="AG57" s="493"/>
      <c r="AH57" s="474"/>
      <c r="AI57" s="491"/>
      <c r="AJ57" s="478"/>
      <c r="AK57" s="528">
        <f>AO57</f>
        <v>721989000</v>
      </c>
      <c r="AL57" s="491"/>
      <c r="AM57" s="525"/>
      <c r="AN57" s="478"/>
      <c r="AO57" s="479">
        <f>'INDICADORES BASICOS'!F61+'INDICADORES BASICOS'!F62</f>
        <v>721989000</v>
      </c>
      <c r="AP57" s="473"/>
      <c r="AR57" s="472"/>
      <c r="AS57" s="474"/>
      <c r="AT57" s="474"/>
      <c r="AU57" s="518"/>
      <c r="AV57" s="474"/>
      <c r="AW57" s="493"/>
      <c r="AX57" s="493"/>
      <c r="AY57" s="20"/>
      <c r="AZ57" s="20"/>
      <c r="BA57" s="493"/>
      <c r="BB57" s="493"/>
      <c r="BC57" s="474"/>
      <c r="BD57" s="491"/>
      <c r="BE57" s="478"/>
      <c r="BF57" s="528">
        <f>BJ57</f>
        <v>751100000</v>
      </c>
      <c r="BG57" s="491"/>
      <c r="BH57" s="525"/>
      <c r="BI57" s="478"/>
      <c r="BJ57" s="479">
        <f>'INDICADORES BASICOS'!F93+'INDICADORES BASICOS'!F92</f>
        <v>751100000</v>
      </c>
      <c r="BK57" s="473"/>
      <c r="BM57" s="472"/>
      <c r="BN57" s="474"/>
      <c r="BO57" s="474"/>
      <c r="BP57" s="518"/>
      <c r="BQ57" s="474"/>
      <c r="BR57" s="493"/>
      <c r="BS57" s="493"/>
      <c r="BT57" s="20"/>
      <c r="BU57" s="20"/>
      <c r="BV57" s="493"/>
      <c r="BW57" s="493"/>
      <c r="BX57" s="474"/>
      <c r="BY57" s="491"/>
      <c r="BZ57" s="478"/>
      <c r="CA57" s="528">
        <f>CE57</f>
        <v>600000000</v>
      </c>
      <c r="CB57" s="491"/>
      <c r="CC57" s="525"/>
      <c r="CD57" s="478"/>
      <c r="CE57" s="479">
        <f>'INDICADORES BASICOS'!F122</f>
        <v>600000000</v>
      </c>
      <c r="CF57" s="473"/>
    </row>
    <row r="58" spans="1:84">
      <c r="B58" s="472"/>
      <c r="C58" s="474"/>
      <c r="D58" s="474"/>
      <c r="E58" s="518"/>
      <c r="F58" s="474"/>
      <c r="G58" s="493"/>
      <c r="H58" s="493"/>
      <c r="I58" s="20"/>
      <c r="J58" s="474"/>
      <c r="K58" s="488"/>
      <c r="L58" s="493"/>
      <c r="M58" s="474"/>
      <c r="N58" s="474"/>
      <c r="O58" s="482"/>
      <c r="P58" s="529"/>
      <c r="Q58" s="474"/>
      <c r="R58" s="474"/>
      <c r="S58" s="482"/>
      <c r="T58" s="483"/>
      <c r="U58" s="473"/>
      <c r="W58" s="472"/>
      <c r="X58" s="474"/>
      <c r="Y58" s="474"/>
      <c r="Z58" s="518"/>
      <c r="AA58" s="474"/>
      <c r="AB58" s="493"/>
      <c r="AC58" s="493"/>
      <c r="AD58" s="20"/>
      <c r="AE58" s="474"/>
      <c r="AF58" s="488"/>
      <c r="AG58" s="493"/>
      <c r="AH58" s="474"/>
      <c r="AI58" s="474"/>
      <c r="AJ58" s="482"/>
      <c r="AK58" s="529"/>
      <c r="AL58" s="474"/>
      <c r="AM58" s="474"/>
      <c r="AN58" s="482"/>
      <c r="AO58" s="483"/>
      <c r="AP58" s="473"/>
      <c r="AR58" s="472"/>
      <c r="AS58" s="474"/>
      <c r="AT58" s="474"/>
      <c r="AU58" s="518"/>
      <c r="AV58" s="474"/>
      <c r="AW58" s="493"/>
      <c r="AX58" s="493"/>
      <c r="AY58" s="20"/>
      <c r="AZ58" s="474"/>
      <c r="BA58" s="488"/>
      <c r="BB58" s="493"/>
      <c r="BC58" s="474"/>
      <c r="BD58" s="474"/>
      <c r="BE58" s="482"/>
      <c r="BF58" s="529"/>
      <c r="BG58" s="474"/>
      <c r="BH58" s="474"/>
      <c r="BI58" s="482"/>
      <c r="BJ58" s="483"/>
      <c r="BK58" s="473"/>
      <c r="BM58" s="472"/>
      <c r="BN58" s="474"/>
      <c r="BO58" s="474"/>
      <c r="BP58" s="518"/>
      <c r="BQ58" s="474"/>
      <c r="BR58" s="493"/>
      <c r="BS58" s="493"/>
      <c r="BT58" s="20"/>
      <c r="BU58" s="474"/>
      <c r="BV58" s="488"/>
      <c r="BW58" s="493"/>
      <c r="BX58" s="474"/>
      <c r="BY58" s="474"/>
      <c r="BZ58" s="482"/>
      <c r="CA58" s="529"/>
      <c r="CB58" s="474"/>
      <c r="CC58" s="474"/>
      <c r="CD58" s="482"/>
      <c r="CE58" s="483"/>
      <c r="CF58" s="473"/>
    </row>
    <row r="59" spans="1:84">
      <c r="B59" s="472"/>
      <c r="C59" s="474"/>
      <c r="D59" s="474"/>
      <c r="E59" s="518"/>
      <c r="F59" s="474"/>
      <c r="G59" s="488"/>
      <c r="H59" s="488"/>
      <c r="I59" s="474"/>
      <c r="J59" s="20"/>
      <c r="K59" s="493"/>
      <c r="L59" s="493"/>
      <c r="M59" s="474"/>
      <c r="N59" s="474"/>
      <c r="O59" s="486"/>
      <c r="P59" s="487"/>
      <c r="Q59" s="474"/>
      <c r="R59" s="474"/>
      <c r="S59" s="486"/>
      <c r="T59" s="487"/>
      <c r="U59" s="473"/>
      <c r="W59" s="472"/>
      <c r="X59" s="474"/>
      <c r="Y59" s="474"/>
      <c r="Z59" s="518"/>
      <c r="AA59" s="474"/>
      <c r="AB59" s="488"/>
      <c r="AC59" s="488"/>
      <c r="AD59" s="474"/>
      <c r="AE59" s="20"/>
      <c r="AF59" s="493"/>
      <c r="AG59" s="493"/>
      <c r="AH59" s="474"/>
      <c r="AI59" s="474"/>
      <c r="AJ59" s="486"/>
      <c r="AK59" s="487"/>
      <c r="AL59" s="474"/>
      <c r="AM59" s="474"/>
      <c r="AN59" s="486"/>
      <c r="AO59" s="487"/>
      <c r="AP59" s="473"/>
      <c r="AR59" s="472"/>
      <c r="AS59" s="474"/>
      <c r="AT59" s="474"/>
      <c r="AU59" s="518"/>
      <c r="AV59" s="474"/>
      <c r="AW59" s="488"/>
      <c r="AX59" s="488"/>
      <c r="AY59" s="474"/>
      <c r="AZ59" s="20"/>
      <c r="BA59" s="493"/>
      <c r="BB59" s="493"/>
      <c r="BC59" s="474"/>
      <c r="BD59" s="474"/>
      <c r="BE59" s="486"/>
      <c r="BF59" s="487"/>
      <c r="BG59" s="474"/>
      <c r="BH59" s="474"/>
      <c r="BI59" s="486"/>
      <c r="BJ59" s="487"/>
      <c r="BK59" s="473"/>
      <c r="BM59" s="472"/>
      <c r="BN59" s="474"/>
      <c r="BO59" s="474"/>
      <c r="BP59" s="518"/>
      <c r="BQ59" s="474"/>
      <c r="BR59" s="488"/>
      <c r="BS59" s="488"/>
      <c r="BT59" s="474"/>
      <c r="BU59" s="20"/>
      <c r="BV59" s="493"/>
      <c r="BW59" s="493"/>
      <c r="BX59" s="474"/>
      <c r="BY59" s="474"/>
      <c r="BZ59" s="486"/>
      <c r="CA59" s="487"/>
      <c r="CB59" s="474"/>
      <c r="CC59" s="474"/>
      <c r="CD59" s="486"/>
      <c r="CE59" s="487"/>
      <c r="CF59" s="473"/>
    </row>
    <row r="60" spans="1:84">
      <c r="B60" s="472"/>
      <c r="C60" s="474"/>
      <c r="D60" s="474"/>
      <c r="E60" s="518"/>
      <c r="F60" s="474"/>
      <c r="G60" s="20"/>
      <c r="H60" s="20"/>
      <c r="I60" s="20"/>
      <c r="J60" s="20"/>
      <c r="K60" s="493"/>
      <c r="L60" s="493"/>
      <c r="M60" s="474"/>
      <c r="N60" s="474"/>
      <c r="O60" s="488"/>
      <c r="P60" s="489"/>
      <c r="Q60" s="474"/>
      <c r="R60" s="474"/>
      <c r="S60" s="488"/>
      <c r="T60" s="511"/>
      <c r="U60" s="473"/>
      <c r="W60" s="472"/>
      <c r="X60" s="474"/>
      <c r="Y60" s="474"/>
      <c r="Z60" s="518"/>
      <c r="AA60" s="474"/>
      <c r="AB60" s="20"/>
      <c r="AC60" s="20"/>
      <c r="AD60" s="20"/>
      <c r="AE60" s="20"/>
      <c r="AF60" s="493"/>
      <c r="AG60" s="493"/>
      <c r="AH60" s="474"/>
      <c r="AI60" s="474"/>
      <c r="AJ60" s="488"/>
      <c r="AK60" s="489"/>
      <c r="AL60" s="474"/>
      <c r="AM60" s="474"/>
      <c r="AN60" s="488"/>
      <c r="AO60" s="511"/>
      <c r="AP60" s="473"/>
      <c r="AR60" s="472"/>
      <c r="AS60" s="474"/>
      <c r="AT60" s="474"/>
      <c r="AU60" s="518"/>
      <c r="AV60" s="474"/>
      <c r="AW60" s="20"/>
      <c r="AX60" s="20"/>
      <c r="AY60" s="20"/>
      <c r="AZ60" s="20"/>
      <c r="BA60" s="493"/>
      <c r="BB60" s="493"/>
      <c r="BC60" s="474"/>
      <c r="BD60" s="474"/>
      <c r="BE60" s="488"/>
      <c r="BF60" s="489"/>
      <c r="BG60" s="474"/>
      <c r="BH60" s="474"/>
      <c r="BI60" s="488"/>
      <c r="BJ60" s="511"/>
      <c r="BK60" s="473"/>
      <c r="BM60" s="472"/>
      <c r="BN60" s="474"/>
      <c r="BO60" s="474"/>
      <c r="BP60" s="518"/>
      <c r="BQ60" s="474"/>
      <c r="BR60" s="20"/>
      <c r="BS60" s="20"/>
      <c r="BT60" s="20"/>
      <c r="BU60" s="20"/>
      <c r="BV60" s="493"/>
      <c r="BW60" s="493"/>
      <c r="BX60" s="474"/>
      <c r="BY60" s="474"/>
      <c r="BZ60" s="488"/>
      <c r="CA60" s="489"/>
      <c r="CB60" s="474"/>
      <c r="CC60" s="474"/>
      <c r="CD60" s="488"/>
      <c r="CE60" s="511"/>
      <c r="CF60" s="473"/>
    </row>
    <row r="61" spans="1:84">
      <c r="B61" s="472"/>
      <c r="C61" s="474"/>
      <c r="D61" s="474"/>
      <c r="E61" s="518"/>
      <c r="F61" s="474"/>
      <c r="G61" s="20"/>
      <c r="H61" s="20"/>
      <c r="I61" s="20"/>
      <c r="J61" s="20"/>
      <c r="K61" s="20"/>
      <c r="L61" s="20"/>
      <c r="M61" s="20"/>
      <c r="N61" s="20"/>
      <c r="O61" s="20"/>
      <c r="P61" s="20"/>
      <c r="Q61" s="474"/>
      <c r="R61" s="474"/>
      <c r="S61" s="488"/>
      <c r="T61" s="511"/>
      <c r="U61" s="473"/>
      <c r="W61" s="472"/>
      <c r="X61" s="474"/>
      <c r="Y61" s="474"/>
      <c r="Z61" s="518"/>
      <c r="AA61" s="474"/>
      <c r="AB61" s="20"/>
      <c r="AC61" s="20"/>
      <c r="AD61" s="20"/>
      <c r="AE61" s="20"/>
      <c r="AF61" s="20"/>
      <c r="AG61" s="20"/>
      <c r="AH61" s="20"/>
      <c r="AI61" s="20"/>
      <c r="AJ61" s="20"/>
      <c r="AK61" s="20"/>
      <c r="AL61" s="474"/>
      <c r="AM61" s="474"/>
      <c r="AN61" s="488"/>
      <c r="AO61" s="511"/>
      <c r="AP61" s="473"/>
      <c r="AR61" s="472"/>
      <c r="AS61" s="474"/>
      <c r="AT61" s="474"/>
      <c r="AU61" s="518"/>
      <c r="AV61" s="474"/>
      <c r="AW61" s="20"/>
      <c r="AX61" s="20"/>
      <c r="AY61" s="20"/>
      <c r="AZ61" s="20"/>
      <c r="BA61" s="20"/>
      <c r="BB61" s="20"/>
      <c r="BC61" s="20"/>
      <c r="BD61" s="20"/>
      <c r="BE61" s="20"/>
      <c r="BF61" s="20"/>
      <c r="BG61" s="474"/>
      <c r="BH61" s="474"/>
      <c r="BI61" s="488"/>
      <c r="BJ61" s="511"/>
      <c r="BK61" s="473"/>
      <c r="BM61" s="472"/>
      <c r="BN61" s="474"/>
      <c r="BO61" s="474"/>
      <c r="BP61" s="518"/>
      <c r="BQ61" s="474"/>
      <c r="BR61" s="20"/>
      <c r="BS61" s="20"/>
      <c r="BT61" s="20"/>
      <c r="BU61" s="20"/>
      <c r="BV61" s="20"/>
      <c r="BW61" s="20"/>
      <c r="BX61" s="20"/>
      <c r="BY61" s="20"/>
      <c r="BZ61" s="20"/>
      <c r="CA61" s="20"/>
      <c r="CB61" s="474"/>
      <c r="CC61" s="474"/>
      <c r="CD61" s="488"/>
      <c r="CE61" s="511"/>
      <c r="CF61" s="473"/>
    </row>
    <row r="62" spans="1:84">
      <c r="B62" s="472"/>
      <c r="C62" s="474"/>
      <c r="D62" s="474"/>
      <c r="E62" s="518"/>
      <c r="F62" s="474"/>
      <c r="G62" s="488"/>
      <c r="H62" s="488"/>
      <c r="I62" s="474"/>
      <c r="J62" s="474"/>
      <c r="K62" s="476" t="s">
        <v>388</v>
      </c>
      <c r="L62" s="477"/>
      <c r="M62" s="20"/>
      <c r="N62" s="474"/>
      <c r="O62" s="488"/>
      <c r="P62" s="504"/>
      <c r="Q62" s="20"/>
      <c r="R62" s="474"/>
      <c r="S62" s="513"/>
      <c r="T62" s="514"/>
      <c r="U62" s="473"/>
      <c r="W62" s="472"/>
      <c r="X62" s="474"/>
      <c r="Y62" s="474"/>
      <c r="Z62" s="518"/>
      <c r="AA62" s="474"/>
      <c r="AB62" s="488"/>
      <c r="AC62" s="488"/>
      <c r="AD62" s="474"/>
      <c r="AE62" s="474"/>
      <c r="AF62" s="476" t="s">
        <v>388</v>
      </c>
      <c r="AG62" s="477"/>
      <c r="AH62" s="20"/>
      <c r="AI62" s="474"/>
      <c r="AJ62" s="488"/>
      <c r="AK62" s="504"/>
      <c r="AL62" s="20"/>
      <c r="AM62" s="474"/>
      <c r="AN62" s="513"/>
      <c r="AO62" s="514"/>
      <c r="AP62" s="473"/>
      <c r="AR62" s="472"/>
      <c r="AS62" s="474"/>
      <c r="AT62" s="474"/>
      <c r="AU62" s="518"/>
      <c r="AV62" s="474"/>
      <c r="AW62" s="488"/>
      <c r="AX62" s="488"/>
      <c r="AY62" s="474"/>
      <c r="AZ62" s="474"/>
      <c r="BA62" s="476" t="s">
        <v>388</v>
      </c>
      <c r="BB62" s="477"/>
      <c r="BC62" s="20"/>
      <c r="BD62" s="474"/>
      <c r="BE62" s="488"/>
      <c r="BF62" s="504"/>
      <c r="BG62" s="20"/>
      <c r="BH62" s="474"/>
      <c r="BI62" s="513"/>
      <c r="BJ62" s="514"/>
      <c r="BK62" s="473"/>
      <c r="BM62" s="472"/>
      <c r="BN62" s="474"/>
      <c r="BO62" s="474"/>
      <c r="BP62" s="518"/>
      <c r="BQ62" s="474"/>
      <c r="BR62" s="488"/>
      <c r="BS62" s="488"/>
      <c r="BT62" s="474"/>
      <c r="BU62" s="474"/>
      <c r="BV62" s="476" t="s">
        <v>388</v>
      </c>
      <c r="BW62" s="477"/>
      <c r="BX62" s="20"/>
      <c r="BY62" s="474"/>
      <c r="BZ62" s="488"/>
      <c r="CA62" s="504"/>
      <c r="CB62" s="20"/>
      <c r="CC62" s="474"/>
      <c r="CD62" s="513"/>
      <c r="CE62" s="514"/>
      <c r="CF62" s="473"/>
    </row>
    <row r="63" spans="1:84">
      <c r="B63" s="472"/>
      <c r="C63" s="474"/>
      <c r="D63" s="474"/>
      <c r="E63" s="518"/>
      <c r="F63" s="474"/>
      <c r="G63" s="493"/>
      <c r="H63" s="493"/>
      <c r="I63" s="474"/>
      <c r="J63" s="474"/>
      <c r="K63" s="478"/>
      <c r="L63" s="479">
        <f>'INDICADORES BASICOS'!C64</f>
        <v>1010330000</v>
      </c>
      <c r="M63" s="20"/>
      <c r="N63" s="20"/>
      <c r="O63" s="493"/>
      <c r="P63" s="493"/>
      <c r="Q63" s="474"/>
      <c r="R63" s="474"/>
      <c r="S63" s="488"/>
      <c r="T63" s="489"/>
      <c r="U63" s="473"/>
      <c r="W63" s="472"/>
      <c r="X63" s="474"/>
      <c r="Y63" s="474"/>
      <c r="Z63" s="518"/>
      <c r="AA63" s="474"/>
      <c r="AB63" s="493"/>
      <c r="AC63" s="493"/>
      <c r="AD63" s="474"/>
      <c r="AE63" s="474"/>
      <c r="AF63" s="478"/>
      <c r="AG63" s="479">
        <f>'INDICADORES BASICOS'!F64</f>
        <v>859045000</v>
      </c>
      <c r="AH63" s="20"/>
      <c r="AI63" s="20"/>
      <c r="AJ63" s="493"/>
      <c r="AK63" s="493"/>
      <c r="AL63" s="474"/>
      <c r="AM63" s="474"/>
      <c r="AN63" s="488"/>
      <c r="AO63" s="489"/>
      <c r="AP63" s="473"/>
      <c r="AR63" s="472"/>
      <c r="AS63" s="474"/>
      <c r="AT63" s="474"/>
      <c r="AU63" s="518"/>
      <c r="AV63" s="474"/>
      <c r="AW63" s="493"/>
      <c r="AX63" s="493"/>
      <c r="AY63" s="474"/>
      <c r="AZ63" s="474"/>
      <c r="BA63" s="478"/>
      <c r="BB63" s="479">
        <f>'INDICADORES BASICOS'!F95</f>
        <v>798251000</v>
      </c>
      <c r="BC63" s="20"/>
      <c r="BD63" s="20"/>
      <c r="BE63" s="493"/>
      <c r="BF63" s="493"/>
      <c r="BG63" s="474"/>
      <c r="BH63" s="474"/>
      <c r="BI63" s="488"/>
      <c r="BJ63" s="489"/>
      <c r="BK63" s="473"/>
      <c r="BM63" s="472"/>
      <c r="BN63" s="474"/>
      <c r="BO63" s="474"/>
      <c r="BP63" s="518"/>
      <c r="BQ63" s="474"/>
      <c r="BR63" s="493"/>
      <c r="BS63" s="493"/>
      <c r="BT63" s="474"/>
      <c r="BU63" s="474"/>
      <c r="BV63" s="478"/>
      <c r="BW63" s="479">
        <f>'INDICADORES BASICOS'!F124</f>
        <v>657903000</v>
      </c>
      <c r="BX63" s="20"/>
      <c r="BY63" s="20"/>
      <c r="BZ63" s="493"/>
      <c r="CA63" s="493"/>
      <c r="CB63" s="474"/>
      <c r="CC63" s="474"/>
      <c r="CD63" s="488"/>
      <c r="CE63" s="489"/>
      <c r="CF63" s="473"/>
    </row>
    <row r="64" spans="1:84">
      <c r="B64" s="472"/>
      <c r="C64" s="474"/>
      <c r="D64" s="474"/>
      <c r="E64" s="518"/>
      <c r="F64" s="474"/>
      <c r="G64" s="494" t="s">
        <v>394</v>
      </c>
      <c r="H64" s="495"/>
      <c r="I64" s="474"/>
      <c r="J64" s="481"/>
      <c r="K64" s="482"/>
      <c r="L64" s="483"/>
      <c r="M64" s="20"/>
      <c r="N64" s="474"/>
      <c r="O64" s="476" t="s">
        <v>388</v>
      </c>
      <c r="P64" s="477"/>
      <c r="Q64" s="474"/>
      <c r="R64" s="20"/>
      <c r="S64" s="493"/>
      <c r="T64" s="493"/>
      <c r="U64" s="473"/>
      <c r="W64" s="472"/>
      <c r="X64" s="474"/>
      <c r="Y64" s="474"/>
      <c r="Z64" s="518"/>
      <c r="AA64" s="474"/>
      <c r="AB64" s="494" t="s">
        <v>394</v>
      </c>
      <c r="AC64" s="495"/>
      <c r="AD64" s="474"/>
      <c r="AE64" s="481"/>
      <c r="AF64" s="482"/>
      <c r="AG64" s="483"/>
      <c r="AH64" s="20"/>
      <c r="AI64" s="474"/>
      <c r="AJ64" s="476" t="s">
        <v>388</v>
      </c>
      <c r="AK64" s="477"/>
      <c r="AL64" s="474"/>
      <c r="AM64" s="20"/>
      <c r="AN64" s="493"/>
      <c r="AO64" s="493"/>
      <c r="AP64" s="473"/>
      <c r="AR64" s="472"/>
      <c r="AS64" s="474"/>
      <c r="AT64" s="474"/>
      <c r="AU64" s="518"/>
      <c r="AV64" s="474"/>
      <c r="AW64" s="494" t="s">
        <v>394</v>
      </c>
      <c r="AX64" s="495"/>
      <c r="AY64" s="474"/>
      <c r="AZ64" s="481"/>
      <c r="BA64" s="482"/>
      <c r="BB64" s="483"/>
      <c r="BC64" s="20"/>
      <c r="BD64" s="474"/>
      <c r="BE64" s="476" t="s">
        <v>388</v>
      </c>
      <c r="BF64" s="477"/>
      <c r="BG64" s="474"/>
      <c r="BH64" s="20"/>
      <c r="BI64" s="493"/>
      <c r="BJ64" s="493"/>
      <c r="BK64" s="473"/>
      <c r="BM64" s="472"/>
      <c r="BN64" s="474"/>
      <c r="BO64" s="474"/>
      <c r="BP64" s="518"/>
      <c r="BQ64" s="474"/>
      <c r="BR64" s="494" t="s">
        <v>394</v>
      </c>
      <c r="BS64" s="495"/>
      <c r="BT64" s="474"/>
      <c r="BU64" s="481"/>
      <c r="BV64" s="482"/>
      <c r="BW64" s="483"/>
      <c r="BX64" s="20"/>
      <c r="BY64" s="474"/>
      <c r="BZ64" s="476" t="s">
        <v>388</v>
      </c>
      <c r="CA64" s="477"/>
      <c r="CB64" s="474"/>
      <c r="CC64" s="20"/>
      <c r="CD64" s="493"/>
      <c r="CE64" s="493"/>
      <c r="CF64" s="473"/>
    </row>
    <row r="65" spans="2:84">
      <c r="B65" s="472"/>
      <c r="C65" s="474"/>
      <c r="D65" s="474"/>
      <c r="E65" s="518"/>
      <c r="F65" s="474"/>
      <c r="G65" s="497" t="s">
        <v>395</v>
      </c>
      <c r="H65" s="498"/>
      <c r="I65" s="474"/>
      <c r="J65" s="485"/>
      <c r="K65" s="486"/>
      <c r="L65" s="487"/>
      <c r="M65" s="20"/>
      <c r="N65" s="474"/>
      <c r="O65" s="478"/>
      <c r="P65" s="479">
        <f>'INDICADORES BASICOS'!C64</f>
        <v>1010330000</v>
      </c>
      <c r="Q65" s="474"/>
      <c r="R65" s="20"/>
      <c r="S65" s="493"/>
      <c r="T65" s="493"/>
      <c r="U65" s="473"/>
      <c r="W65" s="472"/>
      <c r="X65" s="474"/>
      <c r="Y65" s="474"/>
      <c r="Z65" s="518"/>
      <c r="AA65" s="474"/>
      <c r="AB65" s="497" t="s">
        <v>395</v>
      </c>
      <c r="AC65" s="498"/>
      <c r="AD65" s="474"/>
      <c r="AE65" s="485"/>
      <c r="AF65" s="486"/>
      <c r="AG65" s="487"/>
      <c r="AH65" s="20"/>
      <c r="AI65" s="474"/>
      <c r="AJ65" s="478"/>
      <c r="AK65" s="479">
        <f>'INDICADORES BASICOS'!F64</f>
        <v>859045000</v>
      </c>
      <c r="AL65" s="474"/>
      <c r="AM65" s="20"/>
      <c r="AN65" s="493"/>
      <c r="AO65" s="493"/>
      <c r="AP65" s="473"/>
      <c r="AR65" s="472"/>
      <c r="AS65" s="474"/>
      <c r="AT65" s="474"/>
      <c r="AU65" s="518"/>
      <c r="AV65" s="474"/>
      <c r="AW65" s="497" t="s">
        <v>395</v>
      </c>
      <c r="AX65" s="498"/>
      <c r="AY65" s="474"/>
      <c r="AZ65" s="485"/>
      <c r="BA65" s="486"/>
      <c r="BB65" s="487"/>
      <c r="BC65" s="20"/>
      <c r="BD65" s="474"/>
      <c r="BE65" s="478"/>
      <c r="BF65" s="479">
        <f>'INDICADORES BASICOS'!F95</f>
        <v>798251000</v>
      </c>
      <c r="BG65" s="474"/>
      <c r="BH65" s="20"/>
      <c r="BI65" s="493"/>
      <c r="BJ65" s="493"/>
      <c r="BK65" s="473"/>
      <c r="BM65" s="472"/>
      <c r="BN65" s="474"/>
      <c r="BO65" s="474"/>
      <c r="BP65" s="518"/>
      <c r="BQ65" s="474"/>
      <c r="BR65" s="497" t="s">
        <v>395</v>
      </c>
      <c r="BS65" s="498"/>
      <c r="BT65" s="474"/>
      <c r="BU65" s="485"/>
      <c r="BV65" s="486"/>
      <c r="BW65" s="487"/>
      <c r="BX65" s="20"/>
      <c r="BY65" s="474"/>
      <c r="BZ65" s="478"/>
      <c r="CA65" s="479">
        <f>'INDICADORES BASICOS'!F124</f>
        <v>657903000</v>
      </c>
      <c r="CB65" s="474"/>
      <c r="CC65" s="20"/>
      <c r="CD65" s="493"/>
      <c r="CE65" s="493"/>
      <c r="CF65" s="473"/>
    </row>
    <row r="66" spans="2:84">
      <c r="B66" s="472"/>
      <c r="C66" s="474"/>
      <c r="D66" s="474"/>
      <c r="E66" s="518"/>
      <c r="F66" s="490"/>
      <c r="G66" s="478"/>
      <c r="H66" s="530">
        <f>L63/L69</f>
        <v>1.3867834661556917</v>
      </c>
      <c r="I66" s="491"/>
      <c r="J66" s="485"/>
      <c r="K66" s="488"/>
      <c r="L66" s="489"/>
      <c r="M66" s="20"/>
      <c r="N66" s="481"/>
      <c r="O66" s="482"/>
      <c r="P66" s="483"/>
      <c r="Q66" s="474"/>
      <c r="R66" s="20"/>
      <c r="S66" s="493"/>
      <c r="T66" s="493"/>
      <c r="U66" s="473"/>
      <c r="W66" s="472"/>
      <c r="X66" s="474"/>
      <c r="Y66" s="474"/>
      <c r="Z66" s="518"/>
      <c r="AA66" s="490"/>
      <c r="AB66" s="478"/>
      <c r="AC66" s="530">
        <f>AG63/AG69</f>
        <v>1.2325511324098053</v>
      </c>
      <c r="AD66" s="491"/>
      <c r="AE66" s="485"/>
      <c r="AF66" s="488"/>
      <c r="AG66" s="489"/>
      <c r="AH66" s="20"/>
      <c r="AI66" s="481"/>
      <c r="AJ66" s="482"/>
      <c r="AK66" s="483"/>
      <c r="AL66" s="474"/>
      <c r="AM66" s="20"/>
      <c r="AN66" s="493"/>
      <c r="AO66" s="493"/>
      <c r="AP66" s="473"/>
      <c r="AR66" s="472"/>
      <c r="AS66" s="474"/>
      <c r="AT66" s="474"/>
      <c r="AU66" s="518"/>
      <c r="AV66" s="490"/>
      <c r="AW66" s="478"/>
      <c r="AX66" s="530">
        <f>BB63/BB69</f>
        <v>1.1857349542194733</v>
      </c>
      <c r="AY66" s="491"/>
      <c r="AZ66" s="485"/>
      <c r="BA66" s="488"/>
      <c r="BB66" s="489"/>
      <c r="BC66" s="20"/>
      <c r="BD66" s="481"/>
      <c r="BE66" s="482"/>
      <c r="BF66" s="483"/>
      <c r="BG66" s="474"/>
      <c r="BH66" s="20"/>
      <c r="BI66" s="493"/>
      <c r="BJ66" s="493"/>
      <c r="BK66" s="473"/>
      <c r="BM66" s="472"/>
      <c r="BN66" s="474"/>
      <c r="BO66" s="474"/>
      <c r="BP66" s="518"/>
      <c r="BQ66" s="490"/>
      <c r="BR66" s="478"/>
      <c r="BS66" s="530">
        <f>BW63/BW69</f>
        <v>1.0519816307799563</v>
      </c>
      <c r="BT66" s="491"/>
      <c r="BU66" s="485"/>
      <c r="BV66" s="488"/>
      <c r="BW66" s="489"/>
      <c r="BX66" s="20"/>
      <c r="BY66" s="481"/>
      <c r="BZ66" s="482"/>
      <c r="CA66" s="483"/>
      <c r="CB66" s="474"/>
      <c r="CC66" s="20"/>
      <c r="CD66" s="493"/>
      <c r="CE66" s="493"/>
      <c r="CF66" s="473"/>
    </row>
    <row r="67" spans="2:84">
      <c r="B67" s="472"/>
      <c r="C67" s="474"/>
      <c r="D67" s="474"/>
      <c r="E67" s="474"/>
      <c r="F67" s="474"/>
      <c r="G67" s="482"/>
      <c r="H67" s="531"/>
      <c r="I67" s="474"/>
      <c r="J67" s="485"/>
      <c r="K67" s="488"/>
      <c r="L67" s="493"/>
      <c r="M67" s="20"/>
      <c r="N67" s="485"/>
      <c r="O67" s="486"/>
      <c r="P67" s="487"/>
      <c r="Q67" s="20"/>
      <c r="R67" s="20"/>
      <c r="S67" s="20"/>
      <c r="T67" s="20"/>
      <c r="U67" s="473"/>
      <c r="W67" s="472"/>
      <c r="X67" s="474"/>
      <c r="Y67" s="474"/>
      <c r="Z67" s="474"/>
      <c r="AA67" s="474"/>
      <c r="AB67" s="482"/>
      <c r="AC67" s="531"/>
      <c r="AD67" s="474"/>
      <c r="AE67" s="485"/>
      <c r="AF67" s="488"/>
      <c r="AG67" s="493"/>
      <c r="AH67" s="20"/>
      <c r="AI67" s="485"/>
      <c r="AJ67" s="486"/>
      <c r="AK67" s="487"/>
      <c r="AL67" s="20"/>
      <c r="AM67" s="20"/>
      <c r="AN67" s="20"/>
      <c r="AO67" s="20"/>
      <c r="AP67" s="473"/>
      <c r="AR67" s="472"/>
      <c r="AS67" s="474"/>
      <c r="AT67" s="474"/>
      <c r="AU67" s="474"/>
      <c r="AV67" s="474"/>
      <c r="AW67" s="482"/>
      <c r="AX67" s="531"/>
      <c r="AY67" s="474"/>
      <c r="AZ67" s="485"/>
      <c r="BA67" s="488"/>
      <c r="BB67" s="493"/>
      <c r="BC67" s="20"/>
      <c r="BD67" s="485"/>
      <c r="BE67" s="486"/>
      <c r="BF67" s="487"/>
      <c r="BG67" s="20"/>
      <c r="BH67" s="20"/>
      <c r="BI67" s="20"/>
      <c r="BJ67" s="20"/>
      <c r="BK67" s="473"/>
      <c r="BM67" s="472"/>
      <c r="BN67" s="474"/>
      <c r="BO67" s="474"/>
      <c r="BP67" s="474"/>
      <c r="BQ67" s="474"/>
      <c r="BR67" s="482"/>
      <c r="BS67" s="531"/>
      <c r="BT67" s="474"/>
      <c r="BU67" s="485"/>
      <c r="BV67" s="488"/>
      <c r="BW67" s="493"/>
      <c r="BX67" s="20"/>
      <c r="BY67" s="485"/>
      <c r="BZ67" s="486"/>
      <c r="CA67" s="487"/>
      <c r="CB67" s="20"/>
      <c r="CC67" s="20"/>
      <c r="CD67" s="20"/>
      <c r="CE67" s="20"/>
      <c r="CF67" s="473"/>
    </row>
    <row r="68" spans="2:84">
      <c r="B68" s="472"/>
      <c r="C68" s="474"/>
      <c r="D68" s="474"/>
      <c r="E68" s="474"/>
      <c r="F68" s="474"/>
      <c r="G68" s="486"/>
      <c r="H68" s="523"/>
      <c r="I68" s="474"/>
      <c r="J68" s="485"/>
      <c r="K68" s="476" t="s">
        <v>396</v>
      </c>
      <c r="L68" s="477"/>
      <c r="M68" s="20"/>
      <c r="N68" s="485"/>
      <c r="O68" s="488"/>
      <c r="P68" s="489"/>
      <c r="Q68" s="20"/>
      <c r="R68" s="20"/>
      <c r="S68" s="20"/>
      <c r="T68" s="20"/>
      <c r="U68" s="473"/>
      <c r="W68" s="472"/>
      <c r="X68" s="474"/>
      <c r="Y68" s="474"/>
      <c r="Z68" s="474"/>
      <c r="AA68" s="474"/>
      <c r="AB68" s="486"/>
      <c r="AC68" s="523"/>
      <c r="AD68" s="474"/>
      <c r="AE68" s="485"/>
      <c r="AF68" s="476" t="s">
        <v>396</v>
      </c>
      <c r="AG68" s="477"/>
      <c r="AH68" s="20"/>
      <c r="AI68" s="485"/>
      <c r="AJ68" s="488"/>
      <c r="AK68" s="489"/>
      <c r="AL68" s="20"/>
      <c r="AM68" s="20"/>
      <c r="AN68" s="20"/>
      <c r="AO68" s="20"/>
      <c r="AP68" s="473"/>
      <c r="AR68" s="472"/>
      <c r="AS68" s="474"/>
      <c r="AT68" s="474"/>
      <c r="AU68" s="474"/>
      <c r="AV68" s="474"/>
      <c r="AW68" s="486"/>
      <c r="AX68" s="523"/>
      <c r="AY68" s="474"/>
      <c r="AZ68" s="485"/>
      <c r="BA68" s="476" t="s">
        <v>396</v>
      </c>
      <c r="BB68" s="477"/>
      <c r="BC68" s="20"/>
      <c r="BD68" s="485"/>
      <c r="BE68" s="488"/>
      <c r="BF68" s="489"/>
      <c r="BG68" s="20"/>
      <c r="BH68" s="20"/>
      <c r="BI68" s="20"/>
      <c r="BJ68" s="20"/>
      <c r="BK68" s="473"/>
      <c r="BM68" s="472"/>
      <c r="BN68" s="474"/>
      <c r="BO68" s="474"/>
      <c r="BP68" s="474"/>
      <c r="BQ68" s="474"/>
      <c r="BR68" s="486"/>
      <c r="BS68" s="523"/>
      <c r="BT68" s="474"/>
      <c r="BU68" s="485"/>
      <c r="BV68" s="476" t="s">
        <v>396</v>
      </c>
      <c r="BW68" s="477"/>
      <c r="BX68" s="20"/>
      <c r="BY68" s="485"/>
      <c r="BZ68" s="488"/>
      <c r="CA68" s="489"/>
      <c r="CB68" s="20"/>
      <c r="CC68" s="20"/>
      <c r="CD68" s="20"/>
      <c r="CE68" s="20"/>
      <c r="CF68" s="473"/>
    </row>
    <row r="69" spans="2:84">
      <c r="B69" s="472"/>
      <c r="C69" s="474"/>
      <c r="D69" s="474"/>
      <c r="E69" s="474"/>
      <c r="F69" s="474"/>
      <c r="G69" s="488"/>
      <c r="H69" s="532"/>
      <c r="I69" s="474"/>
      <c r="J69" s="491"/>
      <c r="K69" s="478"/>
      <c r="L69" s="479">
        <f>P65-P72</f>
        <v>728542000</v>
      </c>
      <c r="M69" s="474"/>
      <c r="N69" s="485"/>
      <c r="O69" s="488"/>
      <c r="P69" s="488"/>
      <c r="Q69" s="474"/>
      <c r="R69" s="474"/>
      <c r="S69" s="476" t="s">
        <v>397</v>
      </c>
      <c r="T69" s="477"/>
      <c r="U69" s="473"/>
      <c r="W69" s="472"/>
      <c r="X69" s="474"/>
      <c r="Y69" s="474"/>
      <c r="Z69" s="474"/>
      <c r="AA69" s="474"/>
      <c r="AB69" s="488"/>
      <c r="AC69" s="532"/>
      <c r="AD69" s="474"/>
      <c r="AE69" s="491"/>
      <c r="AF69" s="478"/>
      <c r="AG69" s="479">
        <f>AK65-AK72</f>
        <v>696965000</v>
      </c>
      <c r="AH69" s="474"/>
      <c r="AI69" s="485"/>
      <c r="AJ69" s="488"/>
      <c r="AK69" s="488"/>
      <c r="AL69" s="474"/>
      <c r="AM69" s="474"/>
      <c r="AN69" s="476" t="s">
        <v>397</v>
      </c>
      <c r="AO69" s="477"/>
      <c r="AP69" s="473"/>
      <c r="AR69" s="472"/>
      <c r="AS69" s="474"/>
      <c r="AT69" s="474"/>
      <c r="AU69" s="474"/>
      <c r="AV69" s="474"/>
      <c r="AW69" s="488"/>
      <c r="AX69" s="532"/>
      <c r="AY69" s="474"/>
      <c r="AZ69" s="491"/>
      <c r="BA69" s="478"/>
      <c r="BB69" s="479">
        <f>BF65-BF72</f>
        <v>673212000</v>
      </c>
      <c r="BC69" s="474"/>
      <c r="BD69" s="485"/>
      <c r="BE69" s="488"/>
      <c r="BF69" s="488"/>
      <c r="BG69" s="474"/>
      <c r="BH69" s="474"/>
      <c r="BI69" s="476" t="s">
        <v>397</v>
      </c>
      <c r="BJ69" s="477"/>
      <c r="BK69" s="473"/>
      <c r="BM69" s="472"/>
      <c r="BN69" s="474"/>
      <c r="BO69" s="474"/>
      <c r="BP69" s="474"/>
      <c r="BQ69" s="474"/>
      <c r="BR69" s="488"/>
      <c r="BS69" s="532"/>
      <c r="BT69" s="474"/>
      <c r="BU69" s="491"/>
      <c r="BV69" s="478"/>
      <c r="BW69" s="479">
        <f>CA65-CA72</f>
        <v>625394000</v>
      </c>
      <c r="BX69" s="474"/>
      <c r="BY69" s="485"/>
      <c r="BZ69" s="488"/>
      <c r="CA69" s="488"/>
      <c r="CB69" s="474"/>
      <c r="CC69" s="474"/>
      <c r="CD69" s="476" t="s">
        <v>397</v>
      </c>
      <c r="CE69" s="477"/>
      <c r="CF69" s="473"/>
    </row>
    <row r="70" spans="2:84">
      <c r="B70" s="472"/>
      <c r="C70" s="474"/>
      <c r="D70" s="474"/>
      <c r="E70" s="474"/>
      <c r="F70" s="474"/>
      <c r="G70" s="488"/>
      <c r="H70" s="532"/>
      <c r="I70" s="474"/>
      <c r="J70" s="474"/>
      <c r="K70" s="482"/>
      <c r="L70" s="483"/>
      <c r="M70" s="522"/>
      <c r="N70" s="485"/>
      <c r="O70" s="488"/>
      <c r="P70" s="488"/>
      <c r="Q70" s="474"/>
      <c r="R70" s="474"/>
      <c r="S70" s="478"/>
      <c r="T70" s="479">
        <f>'INDICADORES BASICOS'!C73</f>
        <v>281788000</v>
      </c>
      <c r="U70" s="473"/>
      <c r="W70" s="472"/>
      <c r="X70" s="474"/>
      <c r="Y70" s="474"/>
      <c r="Z70" s="474"/>
      <c r="AA70" s="474"/>
      <c r="AB70" s="488"/>
      <c r="AC70" s="532"/>
      <c r="AD70" s="474"/>
      <c r="AE70" s="474"/>
      <c r="AF70" s="482"/>
      <c r="AG70" s="483"/>
      <c r="AH70" s="522"/>
      <c r="AI70" s="485"/>
      <c r="AJ70" s="488"/>
      <c r="AK70" s="488"/>
      <c r="AL70" s="474"/>
      <c r="AM70" s="474"/>
      <c r="AN70" s="478"/>
      <c r="AO70" s="479">
        <f>'INDICADORES BASICOS'!F73</f>
        <v>162080000</v>
      </c>
      <c r="AP70" s="473"/>
      <c r="AR70" s="472"/>
      <c r="AS70" s="474"/>
      <c r="AT70" s="474"/>
      <c r="AU70" s="474"/>
      <c r="AV70" s="474"/>
      <c r="AW70" s="488"/>
      <c r="AX70" s="532"/>
      <c r="AY70" s="474"/>
      <c r="AZ70" s="474"/>
      <c r="BA70" s="482"/>
      <c r="BB70" s="483"/>
      <c r="BC70" s="522"/>
      <c r="BD70" s="485"/>
      <c r="BE70" s="488"/>
      <c r="BF70" s="488"/>
      <c r="BG70" s="474"/>
      <c r="BH70" s="474"/>
      <c r="BI70" s="478"/>
      <c r="BJ70" s="479">
        <f>'INDICADORES BASICOS'!F104</f>
        <v>125039000</v>
      </c>
      <c r="BK70" s="473"/>
      <c r="BM70" s="472"/>
      <c r="BN70" s="474"/>
      <c r="BO70" s="474"/>
      <c r="BP70" s="474"/>
      <c r="BQ70" s="474"/>
      <c r="BR70" s="488"/>
      <c r="BS70" s="532"/>
      <c r="BT70" s="474"/>
      <c r="BU70" s="474"/>
      <c r="BV70" s="482"/>
      <c r="BW70" s="483"/>
      <c r="BX70" s="522"/>
      <c r="BY70" s="485"/>
      <c r="BZ70" s="488"/>
      <c r="CA70" s="488"/>
      <c r="CB70" s="474"/>
      <c r="CC70" s="474"/>
      <c r="CD70" s="478"/>
      <c r="CE70" s="479">
        <f>'INDICADORES BASICOS'!F130</f>
        <v>32509000</v>
      </c>
      <c r="CF70" s="473"/>
    </row>
    <row r="71" spans="2:84">
      <c r="B71" s="472"/>
      <c r="C71" s="474"/>
      <c r="D71" s="474"/>
      <c r="E71" s="474"/>
      <c r="F71" s="474"/>
      <c r="G71" s="488"/>
      <c r="H71" s="488"/>
      <c r="I71" s="474"/>
      <c r="J71" s="474"/>
      <c r="K71" s="486"/>
      <c r="L71" s="487"/>
      <c r="M71" s="474"/>
      <c r="N71" s="485"/>
      <c r="O71" s="476" t="s">
        <v>398</v>
      </c>
      <c r="P71" s="477"/>
      <c r="Q71" s="474"/>
      <c r="R71" s="481"/>
      <c r="S71" s="482"/>
      <c r="T71" s="483"/>
      <c r="U71" s="473"/>
      <c r="W71" s="472"/>
      <c r="X71" s="474"/>
      <c r="Y71" s="474"/>
      <c r="Z71" s="474"/>
      <c r="AA71" s="474"/>
      <c r="AB71" s="488"/>
      <c r="AC71" s="488"/>
      <c r="AD71" s="474"/>
      <c r="AE71" s="474"/>
      <c r="AF71" s="486"/>
      <c r="AG71" s="487"/>
      <c r="AH71" s="474"/>
      <c r="AI71" s="485"/>
      <c r="AJ71" s="476" t="s">
        <v>398</v>
      </c>
      <c r="AK71" s="477"/>
      <c r="AL71" s="474"/>
      <c r="AM71" s="481"/>
      <c r="AN71" s="482"/>
      <c r="AO71" s="483"/>
      <c r="AP71" s="473"/>
      <c r="AR71" s="472"/>
      <c r="AS71" s="474"/>
      <c r="AT71" s="474"/>
      <c r="AU71" s="474"/>
      <c r="AV71" s="474"/>
      <c r="AW71" s="488"/>
      <c r="AX71" s="488"/>
      <c r="AY71" s="474"/>
      <c r="AZ71" s="474"/>
      <c r="BA71" s="486"/>
      <c r="BB71" s="487"/>
      <c r="BC71" s="474"/>
      <c r="BD71" s="485"/>
      <c r="BE71" s="476" t="s">
        <v>398</v>
      </c>
      <c r="BF71" s="477"/>
      <c r="BG71" s="474"/>
      <c r="BH71" s="481"/>
      <c r="BI71" s="482"/>
      <c r="BJ71" s="483"/>
      <c r="BK71" s="473"/>
      <c r="BM71" s="472"/>
      <c r="BN71" s="474"/>
      <c r="BO71" s="474"/>
      <c r="BP71" s="474"/>
      <c r="BQ71" s="474"/>
      <c r="BR71" s="488"/>
      <c r="BS71" s="488"/>
      <c r="BT71" s="474"/>
      <c r="BU71" s="474"/>
      <c r="BV71" s="486"/>
      <c r="BW71" s="487"/>
      <c r="BX71" s="474"/>
      <c r="BY71" s="485"/>
      <c r="BZ71" s="476" t="s">
        <v>398</v>
      </c>
      <c r="CA71" s="477"/>
      <c r="CB71" s="474"/>
      <c r="CC71" s="481"/>
      <c r="CD71" s="482"/>
      <c r="CE71" s="483"/>
      <c r="CF71" s="473"/>
    </row>
    <row r="72" spans="2:84">
      <c r="B72" s="472"/>
      <c r="C72" s="474"/>
      <c r="D72" s="474"/>
      <c r="E72" s="474"/>
      <c r="F72" s="474"/>
      <c r="G72" s="488"/>
      <c r="H72" s="488"/>
      <c r="I72" s="474"/>
      <c r="J72" s="474"/>
      <c r="K72" s="488"/>
      <c r="L72" s="489"/>
      <c r="M72" s="474"/>
      <c r="N72" s="491"/>
      <c r="O72" s="478"/>
      <c r="P72" s="479">
        <f>T70+T75</f>
        <v>281788000</v>
      </c>
      <c r="Q72" s="499"/>
      <c r="R72" s="485"/>
      <c r="S72" s="486"/>
      <c r="T72" s="487"/>
      <c r="U72" s="473"/>
      <c r="W72" s="472"/>
      <c r="X72" s="474"/>
      <c r="Y72" s="474"/>
      <c r="Z72" s="474"/>
      <c r="AA72" s="474"/>
      <c r="AB72" s="488"/>
      <c r="AC72" s="488"/>
      <c r="AD72" s="474"/>
      <c r="AE72" s="474"/>
      <c r="AF72" s="488"/>
      <c r="AG72" s="489"/>
      <c r="AH72" s="474"/>
      <c r="AI72" s="491"/>
      <c r="AJ72" s="478"/>
      <c r="AK72" s="479">
        <f>AO70+AO75</f>
        <v>162080000</v>
      </c>
      <c r="AL72" s="499"/>
      <c r="AM72" s="485"/>
      <c r="AN72" s="486"/>
      <c r="AO72" s="487"/>
      <c r="AP72" s="473"/>
      <c r="AR72" s="472"/>
      <c r="AS72" s="474"/>
      <c r="AT72" s="474"/>
      <c r="AU72" s="474"/>
      <c r="AV72" s="474"/>
      <c r="AW72" s="488"/>
      <c r="AX72" s="488"/>
      <c r="AY72" s="474"/>
      <c r="AZ72" s="474"/>
      <c r="BA72" s="488"/>
      <c r="BB72" s="489"/>
      <c r="BC72" s="474"/>
      <c r="BD72" s="491"/>
      <c r="BE72" s="478"/>
      <c r="BF72" s="479">
        <f>BJ70+BJ75</f>
        <v>125039000</v>
      </c>
      <c r="BG72" s="499"/>
      <c r="BH72" s="485"/>
      <c r="BI72" s="486"/>
      <c r="BJ72" s="487"/>
      <c r="BK72" s="473"/>
      <c r="BM72" s="472"/>
      <c r="BN72" s="474"/>
      <c r="BO72" s="474"/>
      <c r="BP72" s="474"/>
      <c r="BQ72" s="474"/>
      <c r="BR72" s="488"/>
      <c r="BS72" s="488"/>
      <c r="BT72" s="474"/>
      <c r="BU72" s="474"/>
      <c r="BV72" s="488"/>
      <c r="BW72" s="489"/>
      <c r="BX72" s="474"/>
      <c r="BY72" s="491"/>
      <c r="BZ72" s="478"/>
      <c r="CA72" s="479">
        <f>CE70+CE75</f>
        <v>32509000</v>
      </c>
      <c r="CB72" s="499"/>
      <c r="CC72" s="485"/>
      <c r="CD72" s="486"/>
      <c r="CE72" s="487"/>
      <c r="CF72" s="473"/>
    </row>
    <row r="73" spans="2:84">
      <c r="B73" s="472"/>
      <c r="C73" s="474"/>
      <c r="D73" s="474"/>
      <c r="E73" s="474"/>
      <c r="F73" s="474"/>
      <c r="G73" s="488"/>
      <c r="H73" s="533"/>
      <c r="I73" s="474"/>
      <c r="J73" s="474"/>
      <c r="K73" s="488"/>
      <c r="L73" s="488"/>
      <c r="M73" s="474"/>
      <c r="N73" s="474"/>
      <c r="O73" s="482"/>
      <c r="P73" s="483"/>
      <c r="Q73" s="474"/>
      <c r="R73" s="485"/>
      <c r="S73" s="488"/>
      <c r="T73" s="489"/>
      <c r="U73" s="473"/>
      <c r="W73" s="472"/>
      <c r="X73" s="474"/>
      <c r="Y73" s="474"/>
      <c r="Z73" s="474"/>
      <c r="AA73" s="474"/>
      <c r="AB73" s="488"/>
      <c r="AC73" s="533"/>
      <c r="AD73" s="474"/>
      <c r="AE73" s="474"/>
      <c r="AF73" s="488"/>
      <c r="AG73" s="488"/>
      <c r="AH73" s="474"/>
      <c r="AI73" s="474"/>
      <c r="AJ73" s="482"/>
      <c r="AK73" s="483"/>
      <c r="AL73" s="474"/>
      <c r="AM73" s="485"/>
      <c r="AN73" s="488"/>
      <c r="AO73" s="489"/>
      <c r="AP73" s="473"/>
      <c r="AR73" s="472"/>
      <c r="AS73" s="474"/>
      <c r="AT73" s="474"/>
      <c r="AU73" s="474"/>
      <c r="AV73" s="474"/>
      <c r="AW73" s="488"/>
      <c r="AX73" s="533"/>
      <c r="AY73" s="474"/>
      <c r="AZ73" s="474"/>
      <c r="BA73" s="488"/>
      <c r="BB73" s="488"/>
      <c r="BC73" s="474"/>
      <c r="BD73" s="474"/>
      <c r="BE73" s="482"/>
      <c r="BF73" s="483"/>
      <c r="BG73" s="474"/>
      <c r="BH73" s="485"/>
      <c r="BI73" s="488"/>
      <c r="BJ73" s="489"/>
      <c r="BK73" s="473"/>
      <c r="BM73" s="472"/>
      <c r="BN73" s="474"/>
      <c r="BO73" s="474"/>
      <c r="BP73" s="474"/>
      <c r="BQ73" s="474"/>
      <c r="BR73" s="488"/>
      <c r="BS73" s="533"/>
      <c r="BT73" s="474"/>
      <c r="BU73" s="474"/>
      <c r="BV73" s="488"/>
      <c r="BW73" s="488"/>
      <c r="BX73" s="474"/>
      <c r="BY73" s="474"/>
      <c r="BZ73" s="482"/>
      <c r="CA73" s="483"/>
      <c r="CB73" s="474"/>
      <c r="CC73" s="485"/>
      <c r="CD73" s="488"/>
      <c r="CE73" s="489"/>
      <c r="CF73" s="473"/>
    </row>
    <row r="74" spans="2:84">
      <c r="B74" s="472"/>
      <c r="C74" s="474"/>
      <c r="D74" s="474"/>
      <c r="E74" s="474"/>
      <c r="F74" s="474"/>
      <c r="G74" s="488"/>
      <c r="H74" s="533"/>
      <c r="I74" s="474"/>
      <c r="J74" s="474"/>
      <c r="K74" s="488"/>
      <c r="L74" s="488"/>
      <c r="M74" s="474"/>
      <c r="N74" s="474"/>
      <c r="O74" s="486"/>
      <c r="P74" s="487"/>
      <c r="Q74" s="474"/>
      <c r="R74" s="485"/>
      <c r="S74" s="476" t="s">
        <v>399</v>
      </c>
      <c r="T74" s="477"/>
      <c r="U74" s="473"/>
      <c r="W74" s="472"/>
      <c r="X74" s="474"/>
      <c r="Y74" s="474"/>
      <c r="Z74" s="474"/>
      <c r="AA74" s="474"/>
      <c r="AB74" s="488"/>
      <c r="AC74" s="533"/>
      <c r="AD74" s="474"/>
      <c r="AE74" s="474"/>
      <c r="AF74" s="488"/>
      <c r="AG74" s="488"/>
      <c r="AH74" s="474"/>
      <c r="AI74" s="474"/>
      <c r="AJ74" s="486"/>
      <c r="AK74" s="487"/>
      <c r="AL74" s="474"/>
      <c r="AM74" s="485"/>
      <c r="AN74" s="476" t="s">
        <v>399</v>
      </c>
      <c r="AO74" s="477"/>
      <c r="AP74" s="473"/>
      <c r="AR74" s="472"/>
      <c r="AS74" s="474"/>
      <c r="AT74" s="474"/>
      <c r="AU74" s="474"/>
      <c r="AV74" s="474"/>
      <c r="AW74" s="488"/>
      <c r="AX74" s="533"/>
      <c r="AY74" s="474"/>
      <c r="AZ74" s="474"/>
      <c r="BA74" s="488"/>
      <c r="BB74" s="488"/>
      <c r="BC74" s="474"/>
      <c r="BD74" s="474"/>
      <c r="BE74" s="486"/>
      <c r="BF74" s="487"/>
      <c r="BG74" s="474"/>
      <c r="BH74" s="485"/>
      <c r="BI74" s="476" t="s">
        <v>399</v>
      </c>
      <c r="BJ74" s="477"/>
      <c r="BK74" s="473"/>
      <c r="BM74" s="472"/>
      <c r="BN74" s="474"/>
      <c r="BO74" s="474"/>
      <c r="BP74" s="474"/>
      <c r="BQ74" s="474"/>
      <c r="BR74" s="488"/>
      <c r="BS74" s="533"/>
      <c r="BT74" s="474"/>
      <c r="BU74" s="474"/>
      <c r="BV74" s="488"/>
      <c r="BW74" s="488"/>
      <c r="BX74" s="474"/>
      <c r="BY74" s="474"/>
      <c r="BZ74" s="486"/>
      <c r="CA74" s="487"/>
      <c r="CB74" s="474"/>
      <c r="CC74" s="485"/>
      <c r="CD74" s="476" t="s">
        <v>399</v>
      </c>
      <c r="CE74" s="477"/>
      <c r="CF74" s="473"/>
    </row>
    <row r="75" spans="2:84">
      <c r="B75" s="472"/>
      <c r="C75" s="474"/>
      <c r="D75" s="474"/>
      <c r="E75" s="474"/>
      <c r="F75" s="474"/>
      <c r="G75" s="488"/>
      <c r="H75" s="488"/>
      <c r="I75" s="474"/>
      <c r="J75" s="474"/>
      <c r="K75" s="488"/>
      <c r="L75" s="488"/>
      <c r="M75" s="474"/>
      <c r="N75" s="474"/>
      <c r="O75" s="488"/>
      <c r="P75" s="489"/>
      <c r="Q75" s="474"/>
      <c r="R75" s="491"/>
      <c r="S75" s="478"/>
      <c r="T75" s="479">
        <v>0</v>
      </c>
      <c r="U75" s="473"/>
      <c r="W75" s="472"/>
      <c r="X75" s="474"/>
      <c r="Y75" s="474"/>
      <c r="Z75" s="474"/>
      <c r="AA75" s="474"/>
      <c r="AB75" s="488"/>
      <c r="AC75" s="488"/>
      <c r="AD75" s="474"/>
      <c r="AE75" s="474"/>
      <c r="AF75" s="488"/>
      <c r="AG75" s="488"/>
      <c r="AH75" s="474"/>
      <c r="AI75" s="474"/>
      <c r="AJ75" s="488"/>
      <c r="AK75" s="489"/>
      <c r="AL75" s="474"/>
      <c r="AM75" s="491"/>
      <c r="AN75" s="478"/>
      <c r="AO75" s="479">
        <v>0</v>
      </c>
      <c r="AP75" s="473"/>
      <c r="AR75" s="472"/>
      <c r="AS75" s="474"/>
      <c r="AT75" s="474"/>
      <c r="AU75" s="474"/>
      <c r="AV75" s="474"/>
      <c r="AW75" s="488"/>
      <c r="AX75" s="488"/>
      <c r="AY75" s="474"/>
      <c r="AZ75" s="474"/>
      <c r="BA75" s="488"/>
      <c r="BB75" s="488"/>
      <c r="BC75" s="474"/>
      <c r="BD75" s="474"/>
      <c r="BE75" s="488"/>
      <c r="BF75" s="489"/>
      <c r="BG75" s="474"/>
      <c r="BH75" s="491"/>
      <c r="BI75" s="478"/>
      <c r="BJ75" s="479">
        <v>0</v>
      </c>
      <c r="BK75" s="473"/>
      <c r="BM75" s="472"/>
      <c r="BN75" s="474"/>
      <c r="BO75" s="474"/>
      <c r="BP75" s="474"/>
      <c r="BQ75" s="474"/>
      <c r="BR75" s="488"/>
      <c r="BS75" s="488"/>
      <c r="BT75" s="474"/>
      <c r="BU75" s="474"/>
      <c r="BV75" s="488"/>
      <c r="BW75" s="488"/>
      <c r="BX75" s="474"/>
      <c r="BY75" s="474"/>
      <c r="BZ75" s="488"/>
      <c r="CA75" s="489"/>
      <c r="CB75" s="474"/>
      <c r="CC75" s="491"/>
      <c r="CD75" s="478"/>
      <c r="CE75" s="479">
        <v>0</v>
      </c>
      <c r="CF75" s="473"/>
    </row>
    <row r="76" spans="2:84">
      <c r="B76" s="472"/>
      <c r="C76" s="474"/>
      <c r="D76" s="20"/>
      <c r="E76" s="20"/>
      <c r="F76" s="20"/>
      <c r="G76" s="20"/>
      <c r="H76" s="20"/>
      <c r="I76" s="474"/>
      <c r="J76" s="474"/>
      <c r="K76" s="488"/>
      <c r="L76" s="488"/>
      <c r="M76" s="474"/>
      <c r="N76" s="474"/>
      <c r="O76" s="488"/>
      <c r="P76" s="488"/>
      <c r="Q76" s="474"/>
      <c r="R76" s="474"/>
      <c r="S76" s="482"/>
      <c r="T76" s="483"/>
      <c r="U76" s="473"/>
      <c r="W76" s="472"/>
      <c r="X76" s="474"/>
      <c r="Y76" s="20"/>
      <c r="Z76" s="20"/>
      <c r="AA76" s="20"/>
      <c r="AB76" s="20"/>
      <c r="AC76" s="20"/>
      <c r="AD76" s="474"/>
      <c r="AE76" s="474"/>
      <c r="AF76" s="488"/>
      <c r="AG76" s="488"/>
      <c r="AH76" s="474"/>
      <c r="AI76" s="474"/>
      <c r="AJ76" s="488"/>
      <c r="AK76" s="488"/>
      <c r="AL76" s="474"/>
      <c r="AM76" s="474"/>
      <c r="AN76" s="482"/>
      <c r="AO76" s="483"/>
      <c r="AP76" s="473"/>
      <c r="AR76" s="472"/>
      <c r="AS76" s="474"/>
      <c r="AT76" s="20"/>
      <c r="AU76" s="20"/>
      <c r="AV76" s="20"/>
      <c r="AW76" s="20"/>
      <c r="AX76" s="20"/>
      <c r="AY76" s="474"/>
      <c r="AZ76" s="474"/>
      <c r="BA76" s="488"/>
      <c r="BB76" s="488"/>
      <c r="BC76" s="474"/>
      <c r="BD76" s="474"/>
      <c r="BE76" s="488"/>
      <c r="BF76" s="488"/>
      <c r="BG76" s="474"/>
      <c r="BH76" s="474"/>
      <c r="BI76" s="482"/>
      <c r="BJ76" s="483"/>
      <c r="BK76" s="473"/>
      <c r="BM76" s="472"/>
      <c r="BN76" s="474"/>
      <c r="BO76" s="20"/>
      <c r="BP76" s="20"/>
      <c r="BQ76" s="20"/>
      <c r="BR76" s="20"/>
      <c r="BS76" s="20"/>
      <c r="BT76" s="474"/>
      <c r="BU76" s="474"/>
      <c r="BV76" s="488"/>
      <c r="BW76" s="488"/>
      <c r="BX76" s="474"/>
      <c r="BY76" s="474"/>
      <c r="BZ76" s="488"/>
      <c r="CA76" s="488"/>
      <c r="CB76" s="474"/>
      <c r="CC76" s="474"/>
      <c r="CD76" s="482"/>
      <c r="CE76" s="483"/>
      <c r="CF76" s="473"/>
    </row>
    <row r="77" spans="2:84">
      <c r="B77" s="472"/>
      <c r="C77" s="474"/>
      <c r="D77" s="474"/>
      <c r="E77" s="474"/>
      <c r="F77" s="474"/>
      <c r="G77" s="488"/>
      <c r="H77" s="488"/>
      <c r="I77" s="474"/>
      <c r="J77" s="474"/>
      <c r="K77" s="488"/>
      <c r="L77" s="488"/>
      <c r="M77" s="474"/>
      <c r="N77" s="474"/>
      <c r="O77" s="488"/>
      <c r="P77" s="488"/>
      <c r="Q77" s="474"/>
      <c r="R77" s="474"/>
      <c r="S77" s="486"/>
      <c r="T77" s="487"/>
      <c r="U77" s="473"/>
      <c r="W77" s="472"/>
      <c r="X77" s="474"/>
      <c r="Y77" s="474"/>
      <c r="Z77" s="474"/>
      <c r="AA77" s="474"/>
      <c r="AB77" s="488"/>
      <c r="AC77" s="488"/>
      <c r="AD77" s="474"/>
      <c r="AE77" s="474"/>
      <c r="AF77" s="488"/>
      <c r="AG77" s="488"/>
      <c r="AH77" s="474"/>
      <c r="AI77" s="474"/>
      <c r="AJ77" s="488"/>
      <c r="AK77" s="488"/>
      <c r="AL77" s="474"/>
      <c r="AM77" s="474"/>
      <c r="AN77" s="486"/>
      <c r="AO77" s="487"/>
      <c r="AP77" s="473"/>
      <c r="AR77" s="472"/>
      <c r="AS77" s="474"/>
      <c r="AT77" s="474"/>
      <c r="AU77" s="474"/>
      <c r="AV77" s="474"/>
      <c r="AW77" s="488"/>
      <c r="AX77" s="488"/>
      <c r="AY77" s="474"/>
      <c r="AZ77" s="474"/>
      <c r="BA77" s="488"/>
      <c r="BB77" s="488"/>
      <c r="BC77" s="474"/>
      <c r="BD77" s="474"/>
      <c r="BE77" s="488"/>
      <c r="BF77" s="488"/>
      <c r="BG77" s="474"/>
      <c r="BH77" s="474"/>
      <c r="BI77" s="486"/>
      <c r="BJ77" s="487"/>
      <c r="BK77" s="473"/>
      <c r="BM77" s="472"/>
      <c r="BN77" s="474"/>
      <c r="BO77" s="474"/>
      <c r="BP77" s="474"/>
      <c r="BQ77" s="474"/>
      <c r="BR77" s="488"/>
      <c r="BS77" s="488"/>
      <c r="BT77" s="474"/>
      <c r="BU77" s="474"/>
      <c r="BV77" s="488"/>
      <c r="BW77" s="488"/>
      <c r="BX77" s="474"/>
      <c r="BY77" s="474"/>
      <c r="BZ77" s="488"/>
      <c r="CA77" s="488"/>
      <c r="CB77" s="474"/>
      <c r="CC77" s="474"/>
      <c r="CD77" s="486"/>
      <c r="CE77" s="487"/>
      <c r="CF77" s="473"/>
    </row>
    <row r="78" spans="2:84">
      <c r="B78" s="472"/>
      <c r="C78" s="474"/>
      <c r="D78" s="474"/>
      <c r="E78" s="474"/>
      <c r="F78" s="474"/>
      <c r="G78" s="488"/>
      <c r="H78" s="488"/>
      <c r="I78" s="474"/>
      <c r="J78" s="474"/>
      <c r="K78" s="488"/>
      <c r="L78" s="488"/>
      <c r="M78" s="474"/>
      <c r="N78" s="474"/>
      <c r="O78" s="488"/>
      <c r="P78" s="488"/>
      <c r="Q78" s="474"/>
      <c r="R78" s="474"/>
      <c r="S78" s="488"/>
      <c r="T78" s="489"/>
      <c r="U78" s="473"/>
      <c r="W78" s="472"/>
      <c r="X78" s="474"/>
      <c r="Y78" s="474"/>
      <c r="Z78" s="474"/>
      <c r="AA78" s="474"/>
      <c r="AB78" s="488"/>
      <c r="AC78" s="488"/>
      <c r="AD78" s="474"/>
      <c r="AE78" s="474"/>
      <c r="AF78" s="488"/>
      <c r="AG78" s="488"/>
      <c r="AH78" s="474"/>
      <c r="AI78" s="474"/>
      <c r="AJ78" s="488"/>
      <c r="AK78" s="488"/>
      <c r="AL78" s="474"/>
      <c r="AM78" s="474"/>
      <c r="AN78" s="488"/>
      <c r="AO78" s="489"/>
      <c r="AP78" s="473"/>
      <c r="AR78" s="472"/>
      <c r="AS78" s="474"/>
      <c r="AT78" s="474"/>
      <c r="AU78" s="474"/>
      <c r="AV78" s="474"/>
      <c r="AW78" s="488"/>
      <c r="AX78" s="488"/>
      <c r="AY78" s="474"/>
      <c r="AZ78" s="474"/>
      <c r="BA78" s="488"/>
      <c r="BB78" s="488"/>
      <c r="BC78" s="474"/>
      <c r="BD78" s="474"/>
      <c r="BE78" s="488"/>
      <c r="BF78" s="488"/>
      <c r="BG78" s="474"/>
      <c r="BH78" s="474"/>
      <c r="BI78" s="488"/>
      <c r="BJ78" s="489"/>
      <c r="BK78" s="473"/>
      <c r="BM78" s="472"/>
      <c r="BN78" s="474"/>
      <c r="BO78" s="474"/>
      <c r="BP78" s="474"/>
      <c r="BQ78" s="474"/>
      <c r="BR78" s="488"/>
      <c r="BS78" s="488"/>
      <c r="BT78" s="474"/>
      <c r="BU78" s="474"/>
      <c r="BV78" s="488"/>
      <c r="BW78" s="488"/>
      <c r="BX78" s="474"/>
      <c r="BY78" s="474"/>
      <c r="BZ78" s="488"/>
      <c r="CA78" s="488"/>
      <c r="CB78" s="474"/>
      <c r="CC78" s="474"/>
      <c r="CD78" s="488"/>
      <c r="CE78" s="489"/>
      <c r="CF78" s="473"/>
    </row>
    <row r="79" spans="2:84" ht="16.5" thickBot="1">
      <c r="B79" s="534"/>
      <c r="C79" s="535"/>
      <c r="D79" s="535"/>
      <c r="E79" s="535"/>
      <c r="F79" s="535"/>
      <c r="G79" s="535"/>
      <c r="H79" s="535"/>
      <c r="I79" s="535"/>
      <c r="J79" s="535"/>
      <c r="K79" s="535"/>
      <c r="L79" s="535"/>
      <c r="M79" s="535"/>
      <c r="N79" s="535"/>
      <c r="O79" s="535"/>
      <c r="P79" s="535"/>
      <c r="Q79" s="535"/>
      <c r="R79" s="535"/>
      <c r="S79" s="535"/>
      <c r="T79" s="535"/>
      <c r="U79" s="536"/>
      <c r="W79" s="534"/>
      <c r="X79" s="535"/>
      <c r="Y79" s="535"/>
      <c r="Z79" s="535"/>
      <c r="AA79" s="535"/>
      <c r="AB79" s="535"/>
      <c r="AC79" s="535"/>
      <c r="AD79" s="535"/>
      <c r="AE79" s="535"/>
      <c r="AF79" s="535"/>
      <c r="AG79" s="535"/>
      <c r="AH79" s="535"/>
      <c r="AI79" s="535"/>
      <c r="AJ79" s="535"/>
      <c r="AK79" s="535"/>
      <c r="AL79" s="535"/>
      <c r="AM79" s="535"/>
      <c r="AN79" s="535"/>
      <c r="AO79" s="535"/>
      <c r="AP79" s="536"/>
      <c r="AR79" s="534"/>
      <c r="AS79" s="535"/>
      <c r="AT79" s="535"/>
      <c r="AU79" s="535"/>
      <c r="AV79" s="535"/>
      <c r="AW79" s="535"/>
      <c r="AX79" s="535"/>
      <c r="AY79" s="535"/>
      <c r="AZ79" s="535"/>
      <c r="BA79" s="535"/>
      <c r="BB79" s="535"/>
      <c r="BC79" s="535"/>
      <c r="BD79" s="535"/>
      <c r="BE79" s="535"/>
      <c r="BF79" s="535"/>
      <c r="BG79" s="535"/>
      <c r="BH79" s="535"/>
      <c r="BI79" s="535"/>
      <c r="BJ79" s="535"/>
      <c r="BK79" s="536"/>
      <c r="BM79" s="534"/>
      <c r="BN79" s="535"/>
      <c r="BO79" s="535"/>
      <c r="BP79" s="535"/>
      <c r="BQ79" s="535"/>
      <c r="BR79" s="535"/>
      <c r="BS79" s="535"/>
      <c r="BT79" s="535"/>
      <c r="BU79" s="535"/>
      <c r="BV79" s="535"/>
      <c r="BW79" s="535"/>
      <c r="BX79" s="535"/>
      <c r="BY79" s="535"/>
      <c r="BZ79" s="535"/>
      <c r="CA79" s="535"/>
      <c r="CB79" s="535"/>
      <c r="CC79" s="535"/>
      <c r="CD79" s="535"/>
      <c r="CE79" s="535"/>
      <c r="CF79" s="536"/>
    </row>
    <row r="82" spans="4:15">
      <c r="D82" s="662" t="s">
        <v>409</v>
      </c>
      <c r="E82" s="662"/>
      <c r="F82" s="662"/>
      <c r="G82" s="662"/>
      <c r="H82" s="662"/>
      <c r="I82" s="662"/>
      <c r="J82" s="662"/>
      <c r="K82" s="662"/>
      <c r="L82" s="662"/>
      <c r="M82" s="662"/>
      <c r="N82" s="662"/>
      <c r="O82" s="662"/>
    </row>
    <row r="84" spans="4:15">
      <c r="D84" s="649" t="s">
        <v>410</v>
      </c>
      <c r="E84" s="649"/>
      <c r="F84" s="649"/>
      <c r="G84" s="649"/>
      <c r="H84" s="591">
        <v>2017</v>
      </c>
      <c r="I84" s="649">
        <v>2016</v>
      </c>
      <c r="J84" s="649"/>
      <c r="K84" s="649"/>
      <c r="L84" s="591">
        <v>2015</v>
      </c>
      <c r="M84" s="649">
        <v>2014</v>
      </c>
      <c r="N84" s="649"/>
      <c r="O84" s="649"/>
    </row>
    <row r="85" spans="4:15">
      <c r="D85" s="669" t="s">
        <v>404</v>
      </c>
      <c r="E85" s="669"/>
      <c r="F85" s="669"/>
      <c r="G85" s="669"/>
      <c r="H85" s="593">
        <f>D29</f>
        <v>3.1254144685399818E-2</v>
      </c>
      <c r="I85" s="663">
        <f>Y29</f>
        <v>2.765047232682805E-2</v>
      </c>
      <c r="J85" s="664"/>
      <c r="K85" s="664"/>
      <c r="L85" s="593">
        <f>AT29</f>
        <v>5.9903463948056436E-2</v>
      </c>
      <c r="M85" s="663">
        <f>AT29</f>
        <v>5.9903463948056436E-2</v>
      </c>
      <c r="N85" s="664"/>
      <c r="O85" s="664"/>
    </row>
    <row r="86" spans="4:15">
      <c r="D86" s="670" t="s">
        <v>405</v>
      </c>
      <c r="E86" s="670"/>
      <c r="F86" s="670"/>
      <c r="G86" s="670"/>
      <c r="H86" s="595">
        <f>D51</f>
        <v>4.3342731098550247E-2</v>
      </c>
      <c r="I86" s="665">
        <f>Y51</f>
        <v>3.4080620978097893E-2</v>
      </c>
      <c r="J86" s="666"/>
      <c r="K86" s="666"/>
      <c r="L86" s="595">
        <f>Y51</f>
        <v>3.4080620978097893E-2</v>
      </c>
      <c r="M86" s="665">
        <f>Y51</f>
        <v>3.4080620978097893E-2</v>
      </c>
      <c r="N86" s="666"/>
      <c r="O86" s="666"/>
    </row>
    <row r="87" spans="4:15">
      <c r="D87" s="669" t="s">
        <v>406</v>
      </c>
      <c r="E87" s="669"/>
      <c r="F87" s="669"/>
      <c r="G87" s="669"/>
      <c r="H87" s="593">
        <f>H18</f>
        <v>2.7467002541678481E-2</v>
      </c>
      <c r="I87" s="663">
        <f>AC18</f>
        <v>3.5821899421794458E-2</v>
      </c>
      <c r="J87" s="664"/>
      <c r="K87" s="664"/>
      <c r="L87" s="593">
        <f>AC18</f>
        <v>3.5821899421794458E-2</v>
      </c>
      <c r="M87" s="663">
        <f>AC18</f>
        <v>3.5821899421794458E-2</v>
      </c>
      <c r="N87" s="664"/>
      <c r="O87" s="664"/>
    </row>
    <row r="88" spans="4:15">
      <c r="D88" s="670" t="s">
        <v>407</v>
      </c>
      <c r="E88" s="670"/>
      <c r="F88" s="670"/>
      <c r="G88" s="670"/>
      <c r="H88" s="596">
        <f>H40</f>
        <v>1.1378797026714045</v>
      </c>
      <c r="I88" s="667">
        <f>AC40</f>
        <v>0.77188738657462652</v>
      </c>
      <c r="J88" s="666"/>
      <c r="K88" s="666"/>
      <c r="L88" s="596">
        <f>AC40</f>
        <v>0.77188738657462652</v>
      </c>
      <c r="M88" s="667">
        <f>AC40</f>
        <v>0.77188738657462652</v>
      </c>
      <c r="N88" s="666"/>
      <c r="O88" s="666"/>
    </row>
    <row r="89" spans="4:15">
      <c r="D89" s="669" t="s">
        <v>408</v>
      </c>
      <c r="E89" s="669"/>
      <c r="F89" s="669"/>
      <c r="G89" s="669"/>
      <c r="H89" s="594">
        <f>H66</f>
        <v>1.3867834661556917</v>
      </c>
      <c r="I89" s="668">
        <f>AC66</f>
        <v>1.2325511324098053</v>
      </c>
      <c r="J89" s="664"/>
      <c r="K89" s="664"/>
      <c r="L89" s="594">
        <f>AC66</f>
        <v>1.2325511324098053</v>
      </c>
      <c r="M89" s="668">
        <f>AC66</f>
        <v>1.2325511324098053</v>
      </c>
      <c r="N89" s="664"/>
      <c r="O89" s="664"/>
    </row>
    <row r="135" spans="4:16">
      <c r="D135" s="11" t="s">
        <v>360</v>
      </c>
    </row>
    <row r="136" spans="4:16">
      <c r="D136" s="3"/>
    </row>
    <row r="137" spans="4:16">
      <c r="D137" s="661" t="s">
        <v>411</v>
      </c>
      <c r="E137" s="661"/>
      <c r="F137" s="661"/>
      <c r="G137" s="661"/>
      <c r="H137" s="661"/>
      <c r="I137" s="661"/>
      <c r="J137" s="661"/>
      <c r="K137" s="661"/>
      <c r="L137" s="661"/>
      <c r="M137" s="661"/>
      <c r="N137" s="661"/>
      <c r="O137" s="661"/>
      <c r="P137" s="661"/>
    </row>
    <row r="138" spans="4:16">
      <c r="D138" s="661"/>
      <c r="E138" s="661"/>
      <c r="F138" s="661"/>
      <c r="G138" s="661"/>
      <c r="H138" s="661"/>
      <c r="I138" s="661"/>
      <c r="J138" s="661"/>
      <c r="K138" s="661"/>
      <c r="L138" s="661"/>
      <c r="M138" s="661"/>
      <c r="N138" s="661"/>
      <c r="O138" s="661"/>
      <c r="P138" s="661"/>
    </row>
    <row r="139" spans="4:16">
      <c r="D139" s="661"/>
      <c r="E139" s="661"/>
      <c r="F139" s="661"/>
      <c r="G139" s="661"/>
      <c r="H139" s="661"/>
      <c r="I139" s="661"/>
      <c r="J139" s="661"/>
      <c r="K139" s="661"/>
      <c r="L139" s="661"/>
      <c r="M139" s="661"/>
      <c r="N139" s="661"/>
      <c r="O139" s="661"/>
      <c r="P139" s="661"/>
    </row>
    <row r="140" spans="4:16">
      <c r="D140" s="661"/>
      <c r="E140" s="661"/>
      <c r="F140" s="661"/>
      <c r="G140" s="661"/>
      <c r="H140" s="661"/>
      <c r="I140" s="661"/>
      <c r="J140" s="661"/>
      <c r="K140" s="661"/>
      <c r="L140" s="661"/>
      <c r="M140" s="661"/>
      <c r="N140" s="661"/>
      <c r="O140" s="661"/>
      <c r="P140" s="661"/>
    </row>
  </sheetData>
  <mergeCells count="65">
    <mergeCell ref="AR2:BK2"/>
    <mergeCell ref="AR3:BK3"/>
    <mergeCell ref="BM2:CF2"/>
    <mergeCell ref="BM3:CF3"/>
    <mergeCell ref="B2:U2"/>
    <mergeCell ref="B3:U3"/>
    <mergeCell ref="W2:AP2"/>
    <mergeCell ref="W3:AP3"/>
    <mergeCell ref="CD56:CE56"/>
    <mergeCell ref="BN6:CE6"/>
    <mergeCell ref="BN26:BO26"/>
    <mergeCell ref="BN28:BO28"/>
    <mergeCell ref="CD34:CE34"/>
    <mergeCell ref="CD39:CE39"/>
    <mergeCell ref="BN48:BO48"/>
    <mergeCell ref="CD49:CE49"/>
    <mergeCell ref="BN50:BO50"/>
    <mergeCell ref="AS50:AT50"/>
    <mergeCell ref="BI56:BJ56"/>
    <mergeCell ref="AN49:AO49"/>
    <mergeCell ref="X50:Y50"/>
    <mergeCell ref="AN56:AO56"/>
    <mergeCell ref="AS6:BJ6"/>
    <mergeCell ref="AS26:AT26"/>
    <mergeCell ref="AS28:AT28"/>
    <mergeCell ref="BI34:BJ34"/>
    <mergeCell ref="BI39:BJ39"/>
    <mergeCell ref="X48:Y48"/>
    <mergeCell ref="S39:T39"/>
    <mergeCell ref="AS48:AT48"/>
    <mergeCell ref="BI49:BJ49"/>
    <mergeCell ref="C48:D48"/>
    <mergeCell ref="S49:T49"/>
    <mergeCell ref="X6:AO6"/>
    <mergeCell ref="X26:Y26"/>
    <mergeCell ref="X28:Y28"/>
    <mergeCell ref="AN34:AO34"/>
    <mergeCell ref="AN39:AO39"/>
    <mergeCell ref="I85:K85"/>
    <mergeCell ref="I86:K86"/>
    <mergeCell ref="I87:K87"/>
    <mergeCell ref="I88:K88"/>
    <mergeCell ref="C5:T5"/>
    <mergeCell ref="C6:T6"/>
    <mergeCell ref="C26:D26"/>
    <mergeCell ref="C28:D28"/>
    <mergeCell ref="S34:T34"/>
    <mergeCell ref="S56:T56"/>
    <mergeCell ref="C50:D50"/>
    <mergeCell ref="D137:P140"/>
    <mergeCell ref="D82:O82"/>
    <mergeCell ref="M85:O85"/>
    <mergeCell ref="M86:O86"/>
    <mergeCell ref="M87:O87"/>
    <mergeCell ref="M88:O88"/>
    <mergeCell ref="D84:G84"/>
    <mergeCell ref="I89:K89"/>
    <mergeCell ref="M84:O84"/>
    <mergeCell ref="D85:G85"/>
    <mergeCell ref="D86:G86"/>
    <mergeCell ref="D87:G87"/>
    <mergeCell ref="D88:G88"/>
    <mergeCell ref="D89:G89"/>
    <mergeCell ref="M89:O89"/>
    <mergeCell ref="I84:K84"/>
  </mergeCells>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M69"/>
  <sheetViews>
    <sheetView showGridLines="0" topLeftCell="A25" workbookViewId="0">
      <selection activeCell="B51" sqref="B51:H51"/>
    </sheetView>
  </sheetViews>
  <sheetFormatPr baseColWidth="10" defaultRowHeight="15.75"/>
  <cols>
    <col min="1" max="1" width="2.85546875" style="439" customWidth="1"/>
    <col min="2" max="2" width="34.42578125" style="439" customWidth="1"/>
    <col min="3" max="3" width="16.28515625" style="439" customWidth="1"/>
    <col min="4" max="4" width="19.28515625" style="439" customWidth="1"/>
    <col min="5" max="5" width="15.85546875" style="439" customWidth="1"/>
    <col min="6" max="6" width="16.7109375" style="439" customWidth="1"/>
    <col min="7" max="7" width="16.85546875" style="439" customWidth="1"/>
    <col min="8" max="8" width="11.42578125" style="439" customWidth="1"/>
    <col min="9" max="9" width="14.42578125" style="439" bestFit="1" customWidth="1"/>
    <col min="10" max="10" width="15.85546875" style="439" bestFit="1" customWidth="1"/>
    <col min="11" max="11" width="18.5703125" style="439" bestFit="1" customWidth="1"/>
    <col min="12" max="16384" width="11.42578125" style="439"/>
  </cols>
  <sheetData>
    <row r="1" spans="2:13">
      <c r="B1" s="686"/>
      <c r="C1" s="686"/>
      <c r="D1" s="686"/>
      <c r="E1" s="686"/>
      <c r="F1" s="686"/>
      <c r="G1" s="686"/>
      <c r="H1" s="686"/>
      <c r="I1" s="538"/>
      <c r="J1" s="538"/>
      <c r="K1" s="538"/>
      <c r="L1" s="538"/>
      <c r="M1" s="538"/>
    </row>
    <row r="2" spans="2:13">
      <c r="B2" s="687" t="s">
        <v>85</v>
      </c>
      <c r="C2" s="687"/>
      <c r="D2" s="687"/>
      <c r="E2" s="687"/>
      <c r="F2" s="687"/>
      <c r="G2" s="687"/>
      <c r="H2" s="687"/>
      <c r="I2" s="538"/>
      <c r="J2" s="538"/>
      <c r="K2" s="538"/>
      <c r="L2" s="538"/>
      <c r="M2" s="538"/>
    </row>
    <row r="3" spans="2:13" ht="15" customHeight="1">
      <c r="B3" s="687" t="s">
        <v>86</v>
      </c>
      <c r="C3" s="687"/>
      <c r="D3" s="687"/>
      <c r="E3" s="687"/>
      <c r="F3" s="687"/>
      <c r="G3" s="687"/>
      <c r="H3" s="687"/>
      <c r="I3" s="538"/>
      <c r="J3" s="538"/>
      <c r="K3" s="538"/>
      <c r="L3" s="538"/>
      <c r="M3" s="538"/>
    </row>
    <row r="4" spans="2:13" ht="15" customHeight="1">
      <c r="B4" s="537"/>
      <c r="C4" s="537"/>
      <c r="D4" s="537"/>
      <c r="E4" s="537"/>
      <c r="F4" s="537"/>
      <c r="G4" s="537"/>
      <c r="H4" s="537"/>
      <c r="I4" s="538"/>
      <c r="J4" s="538"/>
      <c r="K4" s="538"/>
      <c r="L4" s="538"/>
      <c r="M4" s="538"/>
    </row>
    <row r="5" spans="2:13" ht="15" customHeight="1">
      <c r="B5" s="687" t="s">
        <v>433</v>
      </c>
      <c r="C5" s="687"/>
      <c r="D5" s="687"/>
      <c r="E5" s="687"/>
      <c r="F5" s="687"/>
      <c r="G5" s="687"/>
      <c r="H5" s="687"/>
      <c r="I5" s="538"/>
      <c r="J5" s="538"/>
      <c r="K5" s="538"/>
      <c r="L5" s="538"/>
      <c r="M5" s="538"/>
    </row>
    <row r="6" spans="2:13" ht="15" customHeight="1">
      <c r="B6" s="539"/>
      <c r="C6" s="539"/>
      <c r="D6" s="539"/>
      <c r="E6" s="539"/>
      <c r="F6" s="539"/>
      <c r="G6" s="539"/>
      <c r="H6" s="539"/>
      <c r="I6" s="538"/>
      <c r="J6" s="538"/>
      <c r="K6" s="538"/>
      <c r="L6" s="538"/>
      <c r="M6" s="538"/>
    </row>
    <row r="7" spans="2:13">
      <c r="C7" s="540">
        <v>2017</v>
      </c>
    </row>
    <row r="8" spans="2:13">
      <c r="B8" s="541" t="s">
        <v>412</v>
      </c>
      <c r="C8" s="542">
        <f>'INDICADORES BASICOS'!C8</f>
        <v>1148878000</v>
      </c>
      <c r="D8" s="541"/>
      <c r="E8" s="543"/>
    </row>
    <row r="9" spans="2:13">
      <c r="B9" s="541" t="s">
        <v>413</v>
      </c>
      <c r="C9" s="542">
        <f>'INDICADORES BASICOS'!C15</f>
        <v>13083000</v>
      </c>
      <c r="D9" s="541"/>
      <c r="E9" s="543"/>
    </row>
    <row r="10" spans="2:13">
      <c r="B10" s="544" t="s">
        <v>414</v>
      </c>
      <c r="C10" s="545">
        <f>'INDICADORES BASICOS'!C11+'INDICADORES BASICOS'!C12</f>
        <v>78047000</v>
      </c>
      <c r="D10" s="546"/>
      <c r="E10" s="543"/>
    </row>
    <row r="11" spans="2:13">
      <c r="B11" s="544" t="s">
        <v>415</v>
      </c>
      <c r="C11" s="547">
        <f>+C8-C9-C10</f>
        <v>1057748000</v>
      </c>
      <c r="D11" s="546"/>
      <c r="E11" s="543"/>
    </row>
    <row r="12" spans="2:13">
      <c r="B12" s="544" t="s">
        <v>430</v>
      </c>
      <c r="C12" s="545">
        <f>'[1]ER 2017'!$B$76</f>
        <v>9709000</v>
      </c>
      <c r="D12" s="546"/>
      <c r="E12" s="548"/>
    </row>
    <row r="13" spans="2:13">
      <c r="B13" s="544" t="s">
        <v>416</v>
      </c>
      <c r="C13" s="547">
        <f>+C11-C12</f>
        <v>1048039000</v>
      </c>
      <c r="D13" s="546"/>
      <c r="E13" s="549"/>
    </row>
    <row r="14" spans="2:13">
      <c r="B14" s="544" t="s">
        <v>417</v>
      </c>
      <c r="C14" s="545">
        <f>'INDICADORES BASICOS'!C17+'INDICADORES BASICOS'!C18</f>
        <v>16267000.000000002</v>
      </c>
      <c r="D14" s="546"/>
      <c r="F14" s="548"/>
    </row>
    <row r="15" spans="2:13">
      <c r="B15" s="544" t="s">
        <v>418</v>
      </c>
      <c r="C15" s="547">
        <f>+C13-C14</f>
        <v>1031772000</v>
      </c>
      <c r="D15" s="550"/>
      <c r="E15" s="549"/>
      <c r="F15" s="551"/>
    </row>
    <row r="16" spans="2:13">
      <c r="B16" s="552"/>
      <c r="C16" s="36"/>
      <c r="D16" s="36"/>
      <c r="E16" s="543"/>
      <c r="K16" s="553"/>
    </row>
    <row r="17" spans="2:11">
      <c r="B17" s="684" t="s">
        <v>431</v>
      </c>
      <c r="C17" s="684"/>
      <c r="D17" s="684"/>
      <c r="E17" s="684"/>
      <c r="F17" s="684"/>
      <c r="G17" s="684"/>
      <c r="H17" s="684"/>
      <c r="K17" s="553"/>
    </row>
    <row r="19" spans="2:11" ht="16.5" thickBot="1">
      <c r="D19" s="555" t="s">
        <v>419</v>
      </c>
      <c r="F19" s="556">
        <f>+$C$10</f>
        <v>78047000</v>
      </c>
      <c r="J19" s="551"/>
    </row>
    <row r="20" spans="2:11" ht="16.5" thickBot="1">
      <c r="B20" s="439" t="s">
        <v>420</v>
      </c>
      <c r="C20" s="557" t="s">
        <v>305</v>
      </c>
      <c r="D20" s="558" t="s">
        <v>421</v>
      </c>
      <c r="E20" s="557" t="s">
        <v>305</v>
      </c>
      <c r="F20" s="559">
        <f>(18000/1000000)-($C$9/($C$8/0.018))</f>
        <v>1.779502262207127E-2</v>
      </c>
      <c r="G20" s="560">
        <f>$F$19/($F$20/$F$21)</f>
        <v>78946008.09653151</v>
      </c>
      <c r="I20" s="551"/>
      <c r="K20" s="561"/>
    </row>
    <row r="21" spans="2:11">
      <c r="D21" s="557" t="s">
        <v>422</v>
      </c>
      <c r="F21" s="562">
        <v>1.7999999999999999E-2</v>
      </c>
      <c r="G21" s="563"/>
      <c r="I21" s="551"/>
    </row>
    <row r="22" spans="2:11">
      <c r="I22" s="564"/>
    </row>
    <row r="23" spans="2:11" ht="16.5" thickBot="1">
      <c r="B23" s="439" t="s">
        <v>425</v>
      </c>
      <c r="C23" s="557" t="s">
        <v>305</v>
      </c>
      <c r="D23" s="555" t="s">
        <v>423</v>
      </c>
      <c r="E23" s="557" t="s">
        <v>305</v>
      </c>
      <c r="F23" s="565">
        <f>G20</f>
        <v>78946008.09653151</v>
      </c>
      <c r="G23" s="553">
        <f>$F$23/$F$24</f>
        <v>4385889338.6961956</v>
      </c>
      <c r="H23" s="557" t="s">
        <v>424</v>
      </c>
      <c r="I23" s="553"/>
    </row>
    <row r="24" spans="2:11">
      <c r="D24" s="557" t="s">
        <v>422</v>
      </c>
      <c r="F24" s="566">
        <f>F21</f>
        <v>1.7999999999999999E-2</v>
      </c>
    </row>
    <row r="26" spans="2:11">
      <c r="B26" s="541" t="s">
        <v>412</v>
      </c>
      <c r="C26" s="542">
        <f>+$C$8*1.35</f>
        <v>1550985300</v>
      </c>
    </row>
    <row r="27" spans="2:11">
      <c r="B27" s="541" t="s">
        <v>413</v>
      </c>
      <c r="C27" s="542">
        <f>$C$26*$C$9/$C$8</f>
        <v>17662050</v>
      </c>
      <c r="D27" s="567"/>
    </row>
    <row r="28" spans="2:11">
      <c r="B28" s="544" t="s">
        <v>414</v>
      </c>
      <c r="C28" s="545">
        <f>$F$19+992</f>
        <v>78047992</v>
      </c>
    </row>
    <row r="29" spans="2:11">
      <c r="B29" s="544" t="s">
        <v>277</v>
      </c>
      <c r="C29" s="547">
        <f>+$C$26-$C$27-$C$28</f>
        <v>1455275258</v>
      </c>
    </row>
    <row r="30" spans="2:11">
      <c r="B30" s="544"/>
      <c r="C30" s="568"/>
    </row>
    <row r="31" spans="2:11">
      <c r="D31" s="557"/>
      <c r="F31" s="569"/>
    </row>
    <row r="32" spans="2:11">
      <c r="B32" s="685" t="s">
        <v>442</v>
      </c>
      <c r="C32" s="685"/>
      <c r="D32" s="685"/>
      <c r="E32" s="685"/>
      <c r="F32" s="685"/>
      <c r="G32" s="685"/>
      <c r="H32" s="685"/>
    </row>
    <row r="33" spans="2:8">
      <c r="D33" s="557"/>
      <c r="F33" s="551"/>
    </row>
    <row r="35" spans="2:8" ht="16.5" thickBot="1">
      <c r="B35" s="689" t="s">
        <v>444</v>
      </c>
      <c r="C35" s="555" t="s">
        <v>426</v>
      </c>
      <c r="D35" s="556">
        <f>+$C$8-$C$9</f>
        <v>1135795000</v>
      </c>
      <c r="E35" s="557" t="s">
        <v>305</v>
      </c>
      <c r="F35" s="570">
        <f>+$D$35/$D$36</f>
        <v>1.0737860057404978</v>
      </c>
    </row>
    <row r="36" spans="2:8">
      <c r="B36" s="689"/>
      <c r="C36" s="557" t="s">
        <v>415</v>
      </c>
      <c r="D36" s="551">
        <f>+$C$11</f>
        <v>1057748000</v>
      </c>
    </row>
    <row r="37" spans="2:8" ht="16.5" customHeight="1"/>
    <row r="38" spans="2:8">
      <c r="F38" s="562"/>
      <c r="G38" s="564"/>
    </row>
    <row r="39" spans="2:8">
      <c r="B39" s="685" t="s">
        <v>443</v>
      </c>
      <c r="C39" s="685"/>
      <c r="D39" s="685"/>
      <c r="E39" s="685"/>
      <c r="F39" s="685"/>
      <c r="G39" s="685"/>
      <c r="H39" s="685"/>
    </row>
    <row r="40" spans="2:8">
      <c r="F40" s="562"/>
      <c r="G40" s="564"/>
    </row>
    <row r="41" spans="2:8">
      <c r="B41" s="544"/>
      <c r="C41" s="544"/>
      <c r="D41" s="544"/>
      <c r="E41" s="544"/>
      <c r="F41" s="544"/>
      <c r="G41" s="544"/>
      <c r="H41" s="544"/>
    </row>
    <row r="42" spans="2:8">
      <c r="B42" s="439" t="s">
        <v>427</v>
      </c>
      <c r="C42" s="551">
        <f>+$C$11</f>
        <v>1057748000</v>
      </c>
      <c r="E42" s="544"/>
      <c r="F42" s="544"/>
      <c r="G42" s="544"/>
      <c r="H42" s="544"/>
    </row>
    <row r="43" spans="2:8" ht="16.5" thickBot="1">
      <c r="B43" s="439" t="s">
        <v>242</v>
      </c>
      <c r="C43" s="556">
        <f>+$C$12</f>
        <v>9709000</v>
      </c>
      <c r="E43" s="544"/>
      <c r="F43" s="544"/>
      <c r="G43" s="544"/>
      <c r="H43" s="544"/>
    </row>
    <row r="44" spans="2:8">
      <c r="B44" s="439" t="s">
        <v>416</v>
      </c>
      <c r="C44" s="551">
        <f>+$C$42-$C$43</f>
        <v>1048039000</v>
      </c>
      <c r="E44" s="544"/>
      <c r="F44" s="544"/>
      <c r="G44" s="544"/>
      <c r="H44" s="544"/>
    </row>
    <row r="45" spans="2:8" ht="16.5" thickBot="1">
      <c r="B45" s="439" t="s">
        <v>116</v>
      </c>
      <c r="C45" s="556">
        <f>+$C$44*33%</f>
        <v>345852870</v>
      </c>
      <c r="E45" s="544"/>
      <c r="F45" s="544"/>
      <c r="G45" s="544"/>
      <c r="H45" s="544"/>
    </row>
    <row r="46" spans="2:8">
      <c r="B46" s="439" t="s">
        <v>418</v>
      </c>
      <c r="C46" s="551">
        <f>+$C$44-C45</f>
        <v>702186130</v>
      </c>
      <c r="E46" s="544"/>
      <c r="F46" s="544"/>
      <c r="G46" s="544"/>
      <c r="H46" s="544"/>
    </row>
    <row r="47" spans="2:8">
      <c r="E47" s="544"/>
      <c r="F47" s="544"/>
      <c r="G47" s="544"/>
      <c r="H47" s="544"/>
    </row>
    <row r="48" spans="2:8" ht="16.5" thickBot="1">
      <c r="B48" s="571" t="s">
        <v>428</v>
      </c>
      <c r="D48" s="555" t="s">
        <v>427</v>
      </c>
      <c r="E48" s="572">
        <f>+$C$42</f>
        <v>1057748000</v>
      </c>
      <c r="F48" s="557" t="s">
        <v>305</v>
      </c>
      <c r="G48" s="573">
        <f>+E48/E49</f>
        <v>1.0092639682301898</v>
      </c>
      <c r="H48" s="544"/>
    </row>
    <row r="49" spans="2:8">
      <c r="B49" s="574"/>
      <c r="D49" s="557" t="s">
        <v>416</v>
      </c>
      <c r="E49" s="575">
        <f>+$C$44</f>
        <v>1048039000</v>
      </c>
      <c r="F49" s="544"/>
      <c r="G49" s="544"/>
      <c r="H49" s="544"/>
    </row>
    <row r="50" spans="2:8">
      <c r="B50" s="574"/>
      <c r="D50" s="557"/>
      <c r="E50" s="576"/>
    </row>
    <row r="51" spans="2:8">
      <c r="B51" s="685" t="s">
        <v>432</v>
      </c>
      <c r="C51" s="685"/>
      <c r="D51" s="685"/>
      <c r="E51" s="685"/>
      <c r="F51" s="685"/>
      <c r="G51" s="685"/>
      <c r="H51" s="685"/>
    </row>
    <row r="52" spans="2:8">
      <c r="B52" s="554"/>
      <c r="C52" s="578"/>
      <c r="D52" s="578"/>
      <c r="E52" s="578"/>
      <c r="F52" s="578"/>
    </row>
    <row r="53" spans="2:8" ht="16.5" thickBot="1">
      <c r="B53" s="540" t="s">
        <v>429</v>
      </c>
      <c r="C53" s="579">
        <f>+$C$29-$C$11</f>
        <v>397527258</v>
      </c>
      <c r="D53" s="578">
        <f>+$C$53/$C$54</f>
        <v>0.64117299677419359</v>
      </c>
      <c r="E53" s="551"/>
    </row>
    <row r="54" spans="2:8">
      <c r="B54" s="540"/>
      <c r="C54" s="577">
        <f>'INDICADORES BASICOS'!C77</f>
        <v>620000000</v>
      </c>
      <c r="E54" s="551"/>
    </row>
    <row r="55" spans="2:8">
      <c r="B55" s="540"/>
      <c r="C55" s="577"/>
      <c r="E55" s="551"/>
    </row>
    <row r="56" spans="2:8">
      <c r="B56" s="685" t="s">
        <v>435</v>
      </c>
      <c r="C56" s="685"/>
      <c r="D56" s="685"/>
      <c r="E56" s="685"/>
      <c r="F56" s="685"/>
      <c r="G56" s="685"/>
      <c r="H56" s="685"/>
    </row>
    <row r="57" spans="2:8" ht="15.75" customHeight="1">
      <c r="C57" s="581"/>
      <c r="D57" s="581"/>
      <c r="E57" s="581"/>
      <c r="F57" s="581"/>
      <c r="G57" s="581"/>
      <c r="H57" s="581"/>
    </row>
    <row r="58" spans="2:8" ht="20.25" customHeight="1">
      <c r="B58" s="688" t="s">
        <v>434</v>
      </c>
      <c r="C58" s="688"/>
      <c r="D58" s="688"/>
      <c r="E58" s="688"/>
      <c r="F58" s="688"/>
      <c r="G58" s="688"/>
      <c r="H58" s="688"/>
    </row>
    <row r="59" spans="2:8" ht="20.25" customHeight="1">
      <c r="B59" s="582"/>
      <c r="C59" s="582"/>
      <c r="D59" s="582"/>
      <c r="E59" s="582"/>
      <c r="F59" s="582"/>
      <c r="G59" s="582"/>
      <c r="H59" s="582"/>
    </row>
    <row r="60" spans="2:8">
      <c r="B60" s="683" t="s">
        <v>436</v>
      </c>
      <c r="C60" s="683"/>
      <c r="D60" s="683"/>
      <c r="E60" s="683"/>
      <c r="F60" s="683"/>
      <c r="G60" s="683"/>
      <c r="H60" s="683"/>
    </row>
    <row r="61" spans="2:8">
      <c r="B61" s="683"/>
      <c r="C61" s="683"/>
      <c r="D61" s="683"/>
      <c r="E61" s="683"/>
      <c r="F61" s="683"/>
      <c r="G61" s="683"/>
      <c r="H61" s="683"/>
    </row>
    <row r="62" spans="2:8">
      <c r="B62" s="580"/>
      <c r="C62" s="580"/>
      <c r="D62" s="580"/>
      <c r="E62" s="580"/>
      <c r="F62" s="580"/>
      <c r="G62" s="580"/>
      <c r="H62" s="580"/>
    </row>
    <row r="63" spans="2:8" ht="18.75" customHeight="1">
      <c r="B63" s="683" t="s">
        <v>437</v>
      </c>
      <c r="C63" s="683"/>
      <c r="D63" s="683"/>
      <c r="E63" s="683"/>
      <c r="F63" s="683"/>
      <c r="G63" s="683"/>
      <c r="H63" s="683"/>
    </row>
    <row r="64" spans="2:8">
      <c r="B64" s="683"/>
      <c r="C64" s="683"/>
      <c r="D64" s="683"/>
      <c r="E64" s="683"/>
      <c r="F64" s="683"/>
      <c r="G64" s="683"/>
      <c r="H64" s="683"/>
    </row>
    <row r="65" spans="2:8">
      <c r="B65" s="683"/>
      <c r="C65" s="683"/>
      <c r="D65" s="683"/>
      <c r="E65" s="683"/>
      <c r="F65" s="683"/>
      <c r="G65" s="683"/>
      <c r="H65" s="683"/>
    </row>
    <row r="66" spans="2:8">
      <c r="B66" s="683"/>
      <c r="C66" s="683"/>
      <c r="D66" s="683"/>
      <c r="E66" s="683"/>
      <c r="F66" s="683"/>
      <c r="G66" s="683"/>
      <c r="H66" s="683"/>
    </row>
    <row r="67" spans="2:8">
      <c r="B67" s="580"/>
      <c r="C67" s="580"/>
      <c r="D67" s="580"/>
      <c r="E67" s="580"/>
      <c r="F67" s="580"/>
      <c r="G67" s="580"/>
      <c r="H67" s="580"/>
    </row>
    <row r="68" spans="2:8">
      <c r="B68" s="683" t="s">
        <v>438</v>
      </c>
      <c r="C68" s="683"/>
      <c r="D68" s="683"/>
      <c r="E68" s="683"/>
      <c r="F68" s="683"/>
      <c r="G68" s="683"/>
      <c r="H68" s="683"/>
    </row>
    <row r="69" spans="2:8">
      <c r="B69" s="683"/>
      <c r="C69" s="683"/>
      <c r="D69" s="683"/>
      <c r="E69" s="683"/>
      <c r="F69" s="683"/>
      <c r="G69" s="683"/>
      <c r="H69" s="683"/>
    </row>
  </sheetData>
  <mergeCells count="14">
    <mergeCell ref="B68:H69"/>
    <mergeCell ref="B17:H17"/>
    <mergeCell ref="B32:H32"/>
    <mergeCell ref="B39:H39"/>
    <mergeCell ref="B1:H1"/>
    <mergeCell ref="B3:H3"/>
    <mergeCell ref="B5:H5"/>
    <mergeCell ref="B2:H2"/>
    <mergeCell ref="B51:H51"/>
    <mergeCell ref="B56:H56"/>
    <mergeCell ref="B58:H58"/>
    <mergeCell ref="B60:H61"/>
    <mergeCell ref="B63:H66"/>
    <mergeCell ref="B35:B36"/>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8"/>
  <sheetViews>
    <sheetView workbookViewId="0">
      <selection activeCell="F14" sqref="F14:F15"/>
    </sheetView>
  </sheetViews>
  <sheetFormatPr baseColWidth="10" defaultRowHeight="15"/>
  <cols>
    <col min="1" max="1" width="11.42578125" style="624"/>
    <col min="2" max="2" width="14.140625" style="624" customWidth="1"/>
    <col min="3" max="3" width="11.42578125" style="624"/>
    <col min="4" max="4" width="17.7109375" style="624" customWidth="1"/>
    <col min="5" max="5" width="18.140625" style="624" customWidth="1"/>
    <col min="6" max="16384" width="11.42578125" style="624"/>
  </cols>
  <sheetData>
    <row r="1" spans="1:5" ht="15.75">
      <c r="A1" s="690" t="s">
        <v>456</v>
      </c>
      <c r="B1" s="690"/>
      <c r="C1" s="690"/>
      <c r="D1" s="690"/>
      <c r="E1" s="690"/>
    </row>
    <row r="2" spans="1:5">
      <c r="A2" s="625"/>
      <c r="B2" s="626"/>
      <c r="C2" s="625"/>
      <c r="D2" s="625" t="s">
        <v>457</v>
      </c>
      <c r="E2" s="627">
        <v>60000000</v>
      </c>
    </row>
    <row r="3" spans="1:5">
      <c r="A3" s="628"/>
      <c r="B3" s="628"/>
      <c r="C3" s="625"/>
      <c r="D3" s="625" t="s">
        <v>458</v>
      </c>
      <c r="E3" s="629">
        <v>12</v>
      </c>
    </row>
    <row r="4" spans="1:5" ht="15.75" thickBot="1">
      <c r="A4" s="628"/>
      <c r="B4" s="628"/>
      <c r="C4" s="628"/>
      <c r="D4" s="628" t="s">
        <v>459</v>
      </c>
      <c r="E4" s="630">
        <v>0.14710000000000001</v>
      </c>
    </row>
    <row r="5" spans="1:5" ht="15.75" thickBot="1">
      <c r="A5" s="631" t="s">
        <v>460</v>
      </c>
      <c r="B5" s="632" t="s">
        <v>461</v>
      </c>
      <c r="C5" s="632" t="s">
        <v>462</v>
      </c>
      <c r="D5" s="633" t="s">
        <v>463</v>
      </c>
      <c r="E5" s="634" t="s">
        <v>464</v>
      </c>
    </row>
    <row r="6" spans="1:5">
      <c r="A6" s="635">
        <v>0</v>
      </c>
      <c r="B6" s="636"/>
      <c r="C6" s="636"/>
      <c r="D6" s="636"/>
      <c r="E6" s="637">
        <f>+E2</f>
        <v>60000000</v>
      </c>
    </row>
    <row r="7" spans="1:5">
      <c r="A7" s="638">
        <f>+A6+1</f>
        <v>1</v>
      </c>
      <c r="B7" s="639">
        <f>PMT(E4,E3,-E2)</f>
        <v>10932155.565104261</v>
      </c>
      <c r="C7" s="639">
        <f>+E6*$E$4</f>
        <v>8826000</v>
      </c>
      <c r="D7" s="639">
        <f>+B7-C7</f>
        <v>2106155.565104261</v>
      </c>
      <c r="E7" s="640">
        <f>+E6-D7</f>
        <v>57893844.434895739</v>
      </c>
    </row>
    <row r="8" spans="1:5">
      <c r="A8" s="638">
        <f t="shared" ref="A8:A18" si="0">+A7+1</f>
        <v>2</v>
      </c>
      <c r="B8" s="639">
        <f>+B7</f>
        <v>10932155.565104261</v>
      </c>
      <c r="C8" s="639">
        <f t="shared" ref="C8:C18" si="1">+E7*$E$4</f>
        <v>8516184.5163731631</v>
      </c>
      <c r="D8" s="639">
        <f t="shared" ref="D8:D18" si="2">+B8-C8</f>
        <v>2415971.048731098</v>
      </c>
      <c r="E8" s="640">
        <f t="shared" ref="E8:E18" si="3">+E7-D8</f>
        <v>55477873.386164643</v>
      </c>
    </row>
    <row r="9" spans="1:5">
      <c r="A9" s="638">
        <f t="shared" si="0"/>
        <v>3</v>
      </c>
      <c r="B9" s="639">
        <f t="shared" ref="B9:B18" si="4">+B8</f>
        <v>10932155.565104261</v>
      </c>
      <c r="C9" s="639">
        <f t="shared" si="1"/>
        <v>8160795.1751048192</v>
      </c>
      <c r="D9" s="639">
        <f t="shared" si="2"/>
        <v>2771360.3899994418</v>
      </c>
      <c r="E9" s="640">
        <f t="shared" si="3"/>
        <v>52706512.996165201</v>
      </c>
    </row>
    <row r="10" spans="1:5">
      <c r="A10" s="638">
        <f t="shared" si="0"/>
        <v>4</v>
      </c>
      <c r="B10" s="639">
        <f t="shared" si="4"/>
        <v>10932155.565104261</v>
      </c>
      <c r="C10" s="639">
        <f t="shared" si="1"/>
        <v>7753128.061735902</v>
      </c>
      <c r="D10" s="639">
        <f t="shared" si="2"/>
        <v>3179027.5033683591</v>
      </c>
      <c r="E10" s="640">
        <f t="shared" si="3"/>
        <v>49527485.492796838</v>
      </c>
    </row>
    <row r="11" spans="1:5">
      <c r="A11" s="638">
        <f t="shared" si="0"/>
        <v>5</v>
      </c>
      <c r="B11" s="639">
        <f t="shared" si="4"/>
        <v>10932155.565104261</v>
      </c>
      <c r="C11" s="639">
        <f t="shared" si="1"/>
        <v>7285493.1159904152</v>
      </c>
      <c r="D11" s="639">
        <f t="shared" si="2"/>
        <v>3646662.4491138458</v>
      </c>
      <c r="E11" s="640">
        <f t="shared" si="3"/>
        <v>45880823.043682992</v>
      </c>
    </row>
    <row r="12" spans="1:5">
      <c r="A12" s="638">
        <f t="shared" si="0"/>
        <v>6</v>
      </c>
      <c r="B12" s="639">
        <f t="shared" si="4"/>
        <v>10932155.565104261</v>
      </c>
      <c r="C12" s="639">
        <f t="shared" si="1"/>
        <v>6749069.0697257686</v>
      </c>
      <c r="D12" s="639">
        <f t="shared" si="2"/>
        <v>4183086.4953784924</v>
      </c>
      <c r="E12" s="640">
        <f t="shared" si="3"/>
        <v>41697736.548304498</v>
      </c>
    </row>
    <row r="13" spans="1:5">
      <c r="A13" s="638">
        <f t="shared" si="0"/>
        <v>7</v>
      </c>
      <c r="B13" s="639">
        <f t="shared" si="4"/>
        <v>10932155.565104261</v>
      </c>
      <c r="C13" s="639">
        <f t="shared" si="1"/>
        <v>6133737.0462555923</v>
      </c>
      <c r="D13" s="639">
        <f t="shared" si="2"/>
        <v>4798418.5188486688</v>
      </c>
      <c r="E13" s="640">
        <f t="shared" si="3"/>
        <v>36899318.029455826</v>
      </c>
    </row>
    <row r="14" spans="1:5">
      <c r="A14" s="638">
        <f t="shared" si="0"/>
        <v>8</v>
      </c>
      <c r="B14" s="639">
        <f t="shared" si="4"/>
        <v>10932155.565104261</v>
      </c>
      <c r="C14" s="639">
        <f t="shared" si="1"/>
        <v>5427889.6821329519</v>
      </c>
      <c r="D14" s="639">
        <f t="shared" si="2"/>
        <v>5504265.8829713091</v>
      </c>
      <c r="E14" s="640">
        <f t="shared" si="3"/>
        <v>31395052.146484517</v>
      </c>
    </row>
    <row r="15" spans="1:5">
      <c r="A15" s="638">
        <f t="shared" si="0"/>
        <v>9</v>
      </c>
      <c r="B15" s="639">
        <f t="shared" si="4"/>
        <v>10932155.565104261</v>
      </c>
      <c r="C15" s="639">
        <f t="shared" si="1"/>
        <v>4618212.1707478724</v>
      </c>
      <c r="D15" s="639">
        <f t="shared" si="2"/>
        <v>6313943.3943563886</v>
      </c>
      <c r="E15" s="640">
        <f t="shared" si="3"/>
        <v>25081108.752128128</v>
      </c>
    </row>
    <row r="16" spans="1:5">
      <c r="A16" s="638">
        <f t="shared" si="0"/>
        <v>10</v>
      </c>
      <c r="B16" s="639">
        <f t="shared" si="4"/>
        <v>10932155.565104261</v>
      </c>
      <c r="C16" s="639">
        <f t="shared" si="1"/>
        <v>3689431.0974380476</v>
      </c>
      <c r="D16" s="639">
        <f t="shared" si="2"/>
        <v>7242724.4676662134</v>
      </c>
      <c r="E16" s="640">
        <f t="shared" si="3"/>
        <v>17838384.284461915</v>
      </c>
    </row>
    <row r="17" spans="1:5">
      <c r="A17" s="638">
        <f t="shared" si="0"/>
        <v>11</v>
      </c>
      <c r="B17" s="639">
        <f t="shared" si="4"/>
        <v>10932155.565104261</v>
      </c>
      <c r="C17" s="639">
        <f t="shared" si="1"/>
        <v>2624026.3282443481</v>
      </c>
      <c r="D17" s="639">
        <f t="shared" si="2"/>
        <v>8308129.236859913</v>
      </c>
      <c r="E17" s="640">
        <f t="shared" si="3"/>
        <v>9530255.0476020016</v>
      </c>
    </row>
    <row r="18" spans="1:5" ht="15.75" thickBot="1">
      <c r="A18" s="641">
        <f t="shared" si="0"/>
        <v>12</v>
      </c>
      <c r="B18" s="642">
        <f t="shared" si="4"/>
        <v>10932155.565104261</v>
      </c>
      <c r="C18" s="642">
        <f t="shared" si="1"/>
        <v>1401900.5175022546</v>
      </c>
      <c r="D18" s="642">
        <f t="shared" si="2"/>
        <v>9530255.0476020072</v>
      </c>
      <c r="E18" s="643">
        <f t="shared" si="3"/>
        <v>0</v>
      </c>
    </row>
  </sheetData>
  <mergeCells count="1">
    <mergeCell ref="A1:E1"/>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E6"/>
  <sheetViews>
    <sheetView workbookViewId="0">
      <selection activeCell="I10" sqref="I10"/>
    </sheetView>
  </sheetViews>
  <sheetFormatPr baseColWidth="10" defaultRowHeight="15.75"/>
  <cols>
    <col min="1" max="1" width="29.140625" style="36" customWidth="1"/>
    <col min="2" max="2" width="11.85546875" style="36" bestFit="1" customWidth="1"/>
    <col min="3" max="3" width="16.28515625" style="36" customWidth="1"/>
    <col min="4" max="4" width="14.28515625" style="36" customWidth="1"/>
    <col min="5" max="5" width="13.28515625" style="36" customWidth="1"/>
    <col min="6" max="16384" width="11.42578125" style="36"/>
  </cols>
  <sheetData>
    <row r="2" spans="1:5">
      <c r="A2" s="691" t="s">
        <v>453</v>
      </c>
      <c r="B2" s="687"/>
      <c r="C2" s="687"/>
      <c r="D2" s="687"/>
      <c r="E2" s="687"/>
    </row>
    <row r="3" spans="1:5">
      <c r="A3" s="613"/>
      <c r="B3" s="621">
        <v>1</v>
      </c>
      <c r="C3" s="621">
        <v>2</v>
      </c>
      <c r="D3" s="621">
        <v>3</v>
      </c>
      <c r="E3" s="621">
        <v>4</v>
      </c>
    </row>
    <row r="4" spans="1:5">
      <c r="A4" s="614"/>
      <c r="B4" s="615">
        <v>2014</v>
      </c>
      <c r="C4" s="615">
        <f>+B4+1</f>
        <v>2015</v>
      </c>
      <c r="D4" s="615">
        <f t="shared" ref="D4:E4" si="0">+C4+1</f>
        <v>2016</v>
      </c>
      <c r="E4" s="615">
        <f t="shared" si="0"/>
        <v>2017</v>
      </c>
    </row>
    <row r="5" spans="1:5">
      <c r="A5" s="616" t="s">
        <v>455</v>
      </c>
      <c r="B5" s="617">
        <f>+'ER 2014'!C43</f>
        <v>5394000</v>
      </c>
      <c r="C5" s="617">
        <f>+'ER 2015'!C53</f>
        <v>47818000</v>
      </c>
      <c r="D5" s="617">
        <f>+' ER 2016'!C72</f>
        <v>23753000</v>
      </c>
      <c r="E5" s="617">
        <f>+'ER 2017'!C60</f>
        <v>60171000</v>
      </c>
    </row>
    <row r="6" spans="1:5">
      <c r="A6" s="618" t="s">
        <v>454</v>
      </c>
      <c r="B6" s="619"/>
      <c r="C6" s="620">
        <f>+((C5/$B$5)^(1/C3))-1</f>
        <v>1.9774209014385793</v>
      </c>
      <c r="D6" s="620">
        <f>+((D5/$B$5)^(1/D3))-1</f>
        <v>0.63908889865144758</v>
      </c>
      <c r="E6" s="620">
        <f>+((E5/$B$5)^(1/E3))-1</f>
        <v>0.82754917566543562</v>
      </c>
    </row>
  </sheetData>
  <mergeCells count="1">
    <mergeCell ref="A2:E2"/>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L99"/>
  <sheetViews>
    <sheetView showGridLines="0" tabSelected="1" zoomScaleNormal="100" workbookViewId="0">
      <selection activeCell="G12" sqref="G12"/>
    </sheetView>
  </sheetViews>
  <sheetFormatPr baseColWidth="10" defaultRowHeight="15.75"/>
  <cols>
    <col min="1" max="1" width="6.85546875" style="36" customWidth="1"/>
    <col min="2" max="2" width="21.42578125" style="36" customWidth="1"/>
    <col min="3" max="3" width="20.5703125" style="36" customWidth="1"/>
    <col min="4" max="4" width="18.42578125" style="36" customWidth="1"/>
    <col min="5" max="5" width="17.7109375" style="36" customWidth="1"/>
    <col min="6" max="6" width="17.28515625" style="36" customWidth="1"/>
    <col min="7" max="16384" width="11.42578125" style="36"/>
  </cols>
  <sheetData>
    <row r="2" spans="1:12">
      <c r="B2" s="649" t="s">
        <v>371</v>
      </c>
      <c r="C2" s="649"/>
      <c r="D2" s="649"/>
      <c r="E2" s="649"/>
      <c r="F2" s="649"/>
    </row>
    <row r="3" spans="1:12">
      <c r="B3" s="649" t="s">
        <v>86</v>
      </c>
      <c r="C3" s="649"/>
      <c r="D3" s="649"/>
      <c r="E3" s="649"/>
      <c r="F3" s="649"/>
    </row>
    <row r="4" spans="1:12">
      <c r="B4" s="226"/>
      <c r="C4" s="226"/>
      <c r="D4" s="226"/>
      <c r="E4" s="226"/>
      <c r="F4" s="226"/>
    </row>
    <row r="5" spans="1:12">
      <c r="B5" s="597" t="s">
        <v>368</v>
      </c>
      <c r="C5" s="597">
        <v>2014</v>
      </c>
      <c r="D5" s="597">
        <v>2015</v>
      </c>
      <c r="E5" s="597">
        <v>2016</v>
      </c>
      <c r="F5" s="597">
        <v>2017</v>
      </c>
    </row>
    <row r="6" spans="1:12">
      <c r="B6" s="51" t="s">
        <v>369</v>
      </c>
      <c r="C6" s="645">
        <v>0</v>
      </c>
      <c r="D6" s="645">
        <v>0</v>
      </c>
      <c r="E6" s="644">
        <f>EBITDA!D21/FCL!$E$13</f>
        <v>15.032999164578111</v>
      </c>
      <c r="F6" s="644">
        <f>EBITDA!C21/FCL!$D$13</f>
        <v>5.9277989494283654</v>
      </c>
    </row>
    <row r="7" spans="1:12">
      <c r="B7" s="602" t="s">
        <v>370</v>
      </c>
      <c r="C7" s="603">
        <f>+PKT!D48</f>
        <v>43365000</v>
      </c>
      <c r="D7" s="603">
        <f>+PKT!C48</f>
        <v>-59990000</v>
      </c>
      <c r="E7" s="603">
        <f>+PKT!C33</f>
        <v>22181000</v>
      </c>
      <c r="F7" s="603">
        <f>+PKT!C17</f>
        <v>94053000</v>
      </c>
    </row>
    <row r="8" spans="1:12">
      <c r="B8" s="51" t="s">
        <v>359</v>
      </c>
      <c r="C8" s="601">
        <f>+PKT!D50</f>
        <v>0.6996611810261375</v>
      </c>
      <c r="D8" s="601">
        <f>+PKT!C50</f>
        <v>-0.17431757820899513</v>
      </c>
      <c r="E8" s="601">
        <f>+PKT!C35</f>
        <v>3.3451166213733965E-2</v>
      </c>
      <c r="F8" s="601">
        <f>+PKT!C19</f>
        <v>8.186508924359244E-2</v>
      </c>
    </row>
    <row r="9" spans="1:12">
      <c r="B9" s="602" t="s">
        <v>275</v>
      </c>
      <c r="C9" s="603">
        <f>+EBITDA!F21</f>
        <v>8174000</v>
      </c>
      <c r="D9" s="603">
        <f>+EBITDA!E25</f>
        <v>68781000</v>
      </c>
      <c r="E9" s="603">
        <f>+EBITDA!D25</f>
        <v>71099000</v>
      </c>
      <c r="F9" s="603">
        <f>+EBITDA!C25</f>
        <v>208506000</v>
      </c>
    </row>
    <row r="10" spans="1:12">
      <c r="B10" s="51" t="s">
        <v>282</v>
      </c>
      <c r="C10" s="601">
        <f>+EBITDA!F27</f>
        <v>0.13188125201677961</v>
      </c>
      <c r="D10" s="601">
        <f>+EBITDA!E27</f>
        <v>0.19986226615757449</v>
      </c>
      <c r="E10" s="601">
        <f>+EBITDA!D27</f>
        <v>0.10722440226456297</v>
      </c>
      <c r="F10" s="601">
        <f>+EBITDA!C27</f>
        <v>0.18148663304545826</v>
      </c>
    </row>
    <row r="11" spans="1:12">
      <c r="A11" s="80"/>
      <c r="B11" s="602" t="s">
        <v>372</v>
      </c>
      <c r="C11" s="604">
        <f>+'PALANCA DE CRECIMIENTO'!F13</f>
        <v>0.18849302432837542</v>
      </c>
      <c r="D11" s="604">
        <f>'PALANCA DE CRECIMIENTO'!E13</f>
        <v>-1.146541090181697</v>
      </c>
      <c r="E11" s="604">
        <f>'PALANCA DE CRECIMIENTO'!D13</f>
        <v>3.2054010188900408</v>
      </c>
      <c r="F11" s="604">
        <f>'PALANCA DE CRECIMIENTO'!C13</f>
        <v>2.2168989824885967</v>
      </c>
    </row>
    <row r="12" spans="1:12">
      <c r="B12" s="51" t="s">
        <v>465</v>
      </c>
      <c r="C12" s="601">
        <v>0</v>
      </c>
      <c r="D12" s="601">
        <f>+'CRECIMIENTO ANUAL COMPUESTO'!C6</f>
        <v>1.9774209014385793</v>
      </c>
      <c r="E12" s="601">
        <f>+'CRECIMIENTO ANUAL COMPUESTO'!D6</f>
        <v>0.63908889865144758</v>
      </c>
      <c r="F12" s="601">
        <f>+'CRECIMIENTO ANUAL COMPUESTO'!E6</f>
        <v>0.82754917566543562</v>
      </c>
    </row>
    <row r="13" spans="1:12">
      <c r="B13" s="602" t="s">
        <v>373</v>
      </c>
      <c r="C13" s="623">
        <f>+'CICLO DE CAJA '!F15</f>
        <v>-135.45719821390128</v>
      </c>
      <c r="D13" s="623">
        <f>+'CICLO DE CAJA '!E15</f>
        <v>-68.50936503043178</v>
      </c>
      <c r="E13" s="623">
        <f>+'CICLO DE CAJA '!D15</f>
        <v>-18.427194069762521</v>
      </c>
      <c r="F13" s="623">
        <f>+'CICLO DE CAJA '!C15</f>
        <v>-34.723659017013375</v>
      </c>
    </row>
    <row r="14" spans="1:12">
      <c r="B14" s="74" t="s">
        <v>452</v>
      </c>
      <c r="C14" s="622">
        <f>+FCL!$G$21</f>
        <v>8174000</v>
      </c>
      <c r="D14" s="622">
        <f>+FCL!$F$21</f>
        <v>21036000</v>
      </c>
      <c r="E14" s="622">
        <f>+FCL!$E$21</f>
        <v>-15602000</v>
      </c>
      <c r="F14" s="622">
        <f>+FCL!$D$21</f>
        <v>124335000</v>
      </c>
      <c r="H14" s="611"/>
      <c r="I14" s="612"/>
      <c r="J14" s="612"/>
      <c r="K14" s="612"/>
      <c r="L14" s="612"/>
    </row>
    <row r="15" spans="1:12">
      <c r="B15" s="27"/>
      <c r="C15" s="586"/>
      <c r="D15" s="586"/>
      <c r="E15" s="586"/>
      <c r="F15" s="586"/>
    </row>
    <row r="65" spans="2:8">
      <c r="B65" s="662" t="s">
        <v>271</v>
      </c>
      <c r="C65" s="662"/>
      <c r="D65" s="662"/>
      <c r="E65" s="662"/>
      <c r="F65" s="662"/>
      <c r="G65" s="662"/>
    </row>
    <row r="67" spans="2:8" ht="15.75" customHeight="1">
      <c r="B67" s="693" t="s">
        <v>362</v>
      </c>
      <c r="C67" s="693"/>
      <c r="D67" s="693"/>
      <c r="E67" s="693"/>
      <c r="F67" s="693"/>
      <c r="G67" s="693"/>
      <c r="H67" s="587"/>
    </row>
    <row r="68" spans="2:8">
      <c r="B68" s="693"/>
      <c r="C68" s="693"/>
      <c r="D68" s="693"/>
      <c r="E68" s="693"/>
      <c r="F68" s="693"/>
      <c r="G68" s="693"/>
    </row>
    <row r="69" spans="2:8">
      <c r="B69" s="693"/>
      <c r="C69" s="693"/>
      <c r="D69" s="693"/>
      <c r="E69" s="693"/>
      <c r="F69" s="693"/>
      <c r="G69" s="693"/>
    </row>
    <row r="71" spans="2:8">
      <c r="B71" s="694" t="s">
        <v>365</v>
      </c>
      <c r="C71" s="694"/>
      <c r="D71" s="694"/>
      <c r="E71" s="694"/>
      <c r="F71" s="694"/>
      <c r="G71" s="694"/>
    </row>
    <row r="72" spans="2:8">
      <c r="B72" s="694"/>
      <c r="C72" s="694"/>
      <c r="D72" s="694"/>
      <c r="E72" s="694"/>
      <c r="F72" s="694"/>
      <c r="G72" s="694"/>
    </row>
    <row r="73" spans="2:8">
      <c r="B73" s="694"/>
      <c r="C73" s="694"/>
      <c r="D73" s="694"/>
      <c r="E73" s="694"/>
      <c r="F73" s="694"/>
      <c r="G73" s="694"/>
    </row>
    <row r="74" spans="2:8">
      <c r="B74" s="694"/>
      <c r="C74" s="694"/>
      <c r="D74" s="694"/>
      <c r="E74" s="694"/>
      <c r="F74" s="694"/>
      <c r="G74" s="694"/>
    </row>
    <row r="76" spans="2:8" ht="15.75" customHeight="1">
      <c r="B76" s="683" t="s">
        <v>361</v>
      </c>
      <c r="C76" s="683"/>
      <c r="D76" s="683"/>
      <c r="E76" s="683"/>
      <c r="F76" s="683"/>
      <c r="G76" s="683"/>
    </row>
    <row r="77" spans="2:8">
      <c r="B77" s="683"/>
      <c r="C77" s="683"/>
      <c r="D77" s="683"/>
      <c r="E77" s="683"/>
      <c r="F77" s="683"/>
      <c r="G77" s="683"/>
    </row>
    <row r="78" spans="2:8">
      <c r="B78" s="683"/>
      <c r="C78" s="683"/>
      <c r="D78" s="683"/>
      <c r="E78" s="683"/>
      <c r="F78" s="683"/>
      <c r="G78" s="683"/>
    </row>
    <row r="79" spans="2:8">
      <c r="B79" s="683"/>
      <c r="C79" s="683"/>
      <c r="D79" s="683"/>
      <c r="E79" s="683"/>
      <c r="F79" s="683"/>
      <c r="G79" s="683"/>
    </row>
    <row r="80" spans="2:8">
      <c r="B80" s="683"/>
      <c r="C80" s="683"/>
      <c r="D80" s="683"/>
      <c r="E80" s="683"/>
      <c r="F80" s="683"/>
      <c r="G80" s="683"/>
    </row>
    <row r="81" spans="2:7">
      <c r="B81" s="588"/>
      <c r="C81" s="588"/>
      <c r="D81" s="588"/>
      <c r="E81" s="588"/>
    </row>
    <row r="82" spans="2:7" ht="15.75" customHeight="1">
      <c r="B82" s="692" t="s">
        <v>439</v>
      </c>
      <c r="C82" s="692"/>
      <c r="D82" s="692"/>
      <c r="E82" s="692"/>
      <c r="F82" s="692"/>
      <c r="G82" s="692"/>
    </row>
    <row r="83" spans="2:7">
      <c r="B83" s="692"/>
      <c r="C83" s="692"/>
      <c r="D83" s="692"/>
      <c r="E83" s="692"/>
      <c r="F83" s="692"/>
      <c r="G83" s="692"/>
    </row>
    <row r="84" spans="2:7">
      <c r="B84" s="692"/>
      <c r="C84" s="692"/>
      <c r="D84" s="692"/>
      <c r="E84" s="692"/>
      <c r="F84" s="692"/>
      <c r="G84" s="692"/>
    </row>
    <row r="85" spans="2:7">
      <c r="B85" s="692"/>
      <c r="C85" s="692"/>
      <c r="D85" s="692"/>
      <c r="E85" s="692"/>
      <c r="F85" s="692"/>
      <c r="G85" s="692"/>
    </row>
    <row r="86" spans="2:7">
      <c r="B86" s="589"/>
      <c r="C86" s="589"/>
      <c r="D86" s="589"/>
      <c r="E86" s="589"/>
      <c r="F86" s="589"/>
      <c r="G86" s="589"/>
    </row>
    <row r="87" spans="2:7" ht="15.75" customHeight="1">
      <c r="B87" s="694" t="s">
        <v>364</v>
      </c>
      <c r="C87" s="694"/>
      <c r="D87" s="694"/>
      <c r="E87" s="694"/>
      <c r="F87" s="694"/>
      <c r="G87" s="694"/>
    </row>
    <row r="88" spans="2:7">
      <c r="B88" s="694"/>
      <c r="C88" s="694"/>
      <c r="D88" s="694"/>
      <c r="E88" s="694"/>
      <c r="F88" s="694"/>
      <c r="G88" s="694"/>
    </row>
    <row r="89" spans="2:7">
      <c r="B89" s="694"/>
      <c r="C89" s="694"/>
      <c r="D89" s="694"/>
      <c r="E89" s="694"/>
      <c r="F89" s="694"/>
      <c r="G89" s="694"/>
    </row>
    <row r="90" spans="2:7">
      <c r="B90" s="694"/>
      <c r="C90" s="694"/>
      <c r="D90" s="694"/>
      <c r="E90" s="694"/>
      <c r="F90" s="694"/>
      <c r="G90" s="694"/>
    </row>
    <row r="91" spans="2:7">
      <c r="B91" s="590"/>
      <c r="C91" s="590"/>
      <c r="D91" s="590"/>
      <c r="E91" s="590"/>
      <c r="F91" s="590"/>
      <c r="G91" s="590"/>
    </row>
    <row r="92" spans="2:7" ht="15.75" customHeight="1">
      <c r="B92" s="692" t="s">
        <v>440</v>
      </c>
      <c r="C92" s="692"/>
      <c r="D92" s="692"/>
      <c r="E92" s="692"/>
      <c r="F92" s="692"/>
      <c r="G92" s="692"/>
    </row>
    <row r="93" spans="2:7">
      <c r="B93" s="692"/>
      <c r="C93" s="692"/>
      <c r="D93" s="692"/>
      <c r="E93" s="692"/>
      <c r="F93" s="692"/>
      <c r="G93" s="692"/>
    </row>
    <row r="94" spans="2:7">
      <c r="B94" s="692"/>
      <c r="C94" s="692"/>
      <c r="D94" s="692"/>
      <c r="E94" s="692"/>
      <c r="F94" s="692"/>
      <c r="G94" s="692"/>
    </row>
    <row r="95" spans="2:7">
      <c r="B95" s="589"/>
      <c r="C95" s="589"/>
    </row>
    <row r="96" spans="2:7" ht="15.75" customHeight="1">
      <c r="B96" s="692" t="s">
        <v>441</v>
      </c>
      <c r="C96" s="692"/>
      <c r="D96" s="692"/>
      <c r="E96" s="692"/>
      <c r="F96" s="692"/>
      <c r="G96" s="692"/>
    </row>
    <row r="97" spans="2:7">
      <c r="B97" s="692"/>
      <c r="C97" s="692"/>
      <c r="D97" s="692"/>
      <c r="E97" s="692"/>
      <c r="F97" s="692"/>
      <c r="G97" s="692"/>
    </row>
    <row r="98" spans="2:7">
      <c r="B98" s="692"/>
      <c r="C98" s="692"/>
      <c r="D98" s="692"/>
      <c r="E98" s="692"/>
      <c r="F98" s="692"/>
      <c r="G98" s="692"/>
    </row>
    <row r="99" spans="2:7">
      <c r="B99" s="692"/>
      <c r="C99" s="692"/>
      <c r="D99" s="692"/>
      <c r="E99" s="692"/>
      <c r="F99" s="692"/>
      <c r="G99" s="692"/>
    </row>
  </sheetData>
  <mergeCells count="10">
    <mergeCell ref="B96:G99"/>
    <mergeCell ref="B2:F2"/>
    <mergeCell ref="B3:F3"/>
    <mergeCell ref="B65:G65"/>
    <mergeCell ref="B67:G69"/>
    <mergeCell ref="B71:G74"/>
    <mergeCell ref="B76:G80"/>
    <mergeCell ref="B82:G85"/>
    <mergeCell ref="B87:G90"/>
    <mergeCell ref="B92:G94"/>
  </mergeCells>
  <pageMargins left="0.7" right="0.7" top="0.75" bottom="0.75" header="0.3" footer="0.3"/>
  <pageSetup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6"/>
  <sheetViews>
    <sheetView workbookViewId="0">
      <selection activeCell="A44" sqref="A44:C46"/>
    </sheetView>
  </sheetViews>
  <sheetFormatPr baseColWidth="10" defaultColWidth="10.7109375" defaultRowHeight="15.75"/>
  <cols>
    <col min="1" max="1" width="56" style="27" customWidth="1"/>
    <col min="2" max="2" width="23.140625" style="29" customWidth="1"/>
    <col min="3" max="3" width="56.7109375" style="29" customWidth="1"/>
    <col min="4" max="4" width="23.140625" style="29" customWidth="1"/>
    <col min="5" max="5" width="56.42578125" style="27" customWidth="1"/>
    <col min="6" max="6" width="23.140625" style="27" customWidth="1"/>
    <col min="7" max="16384" width="10.7109375" style="27"/>
  </cols>
  <sheetData>
    <row r="1" spans="1:7" ht="15.75" customHeight="1">
      <c r="A1" s="695" t="s">
        <v>85</v>
      </c>
      <c r="B1" s="695"/>
      <c r="C1" s="699" t="s">
        <v>85</v>
      </c>
      <c r="D1" s="699"/>
      <c r="E1" s="695" t="s">
        <v>85</v>
      </c>
      <c r="F1" s="695"/>
    </row>
    <row r="2" spans="1:7">
      <c r="A2" s="696" t="s">
        <v>86</v>
      </c>
      <c r="B2" s="696"/>
      <c r="C2" s="700" t="s">
        <v>86</v>
      </c>
      <c r="D2" s="700"/>
      <c r="E2" s="696" t="s">
        <v>86</v>
      </c>
      <c r="F2" s="696"/>
      <c r="G2" s="342"/>
    </row>
    <row r="3" spans="1:7" ht="15.75" customHeight="1">
      <c r="A3" s="697" t="s">
        <v>321</v>
      </c>
      <c r="B3" s="697"/>
      <c r="C3" s="698" t="s">
        <v>321</v>
      </c>
      <c r="D3" s="698"/>
      <c r="E3" s="697" t="s">
        <v>321</v>
      </c>
      <c r="F3" s="697"/>
    </row>
    <row r="4" spans="1:7">
      <c r="A4" s="697" t="s">
        <v>322</v>
      </c>
      <c r="B4" s="697"/>
      <c r="C4" s="698" t="s">
        <v>351</v>
      </c>
      <c r="D4" s="698"/>
      <c r="E4" s="697" t="s">
        <v>357</v>
      </c>
      <c r="F4" s="697"/>
    </row>
    <row r="5" spans="1:7">
      <c r="A5" s="343"/>
      <c r="B5" s="425"/>
      <c r="C5" s="425"/>
      <c r="D5" s="425"/>
      <c r="E5" s="343"/>
      <c r="F5" s="344"/>
    </row>
    <row r="6" spans="1:7">
      <c r="A6" s="345" t="s">
        <v>323</v>
      </c>
      <c r="B6" s="426"/>
      <c r="C6" s="427" t="s">
        <v>323</v>
      </c>
      <c r="D6" s="426"/>
      <c r="E6" s="345" t="s">
        <v>323</v>
      </c>
      <c r="F6" s="346"/>
    </row>
    <row r="7" spans="1:7">
      <c r="A7" s="347" t="s">
        <v>341</v>
      </c>
      <c r="B7" s="426">
        <f>+'INDICADORES BASICOS'!C13</f>
        <v>60171000</v>
      </c>
      <c r="C7" s="428" t="s">
        <v>341</v>
      </c>
      <c r="D7" s="426">
        <f>+' ER 2016'!C52</f>
        <v>38383000</v>
      </c>
      <c r="E7" s="347" t="s">
        <v>341</v>
      </c>
      <c r="F7" s="346">
        <f>+'ER 2015'!C36</f>
        <v>72212000</v>
      </c>
    </row>
    <row r="8" spans="1:7">
      <c r="A8" s="347" t="s">
        <v>231</v>
      </c>
      <c r="B8" s="426">
        <f>+'ER 2017'!B32+'ER 2017'!B48</f>
        <v>150953000</v>
      </c>
      <c r="C8" s="428" t="s">
        <v>231</v>
      </c>
      <c r="D8" s="426">
        <f>+' ER 2016'!B29</f>
        <v>35110000</v>
      </c>
      <c r="E8" s="347" t="s">
        <v>231</v>
      </c>
      <c r="F8" s="346">
        <f>+'ER 2017'!F32+'ER 2017'!F48</f>
        <v>0</v>
      </c>
    </row>
    <row r="9" spans="1:7">
      <c r="A9" s="347" t="s">
        <v>350</v>
      </c>
      <c r="B9" s="426">
        <f>-'ESF CONSOLI 17-16'!C78</f>
        <v>-12236000</v>
      </c>
      <c r="C9" s="428" t="s">
        <v>350</v>
      </c>
      <c r="D9" s="426">
        <f>-'ER 2015'!C51</f>
        <v>-20963000</v>
      </c>
      <c r="E9" s="347" t="s">
        <v>350</v>
      </c>
      <c r="F9" s="346">
        <f>-'BALANCE 2014'!C41</f>
        <v>-2780000</v>
      </c>
    </row>
    <row r="10" spans="1:7">
      <c r="A10" s="347" t="s">
        <v>346</v>
      </c>
      <c r="B10" s="426">
        <f>+'ER 2017'!C73</f>
        <v>756000</v>
      </c>
      <c r="C10" s="428" t="s">
        <v>346</v>
      </c>
      <c r="D10" s="426"/>
      <c r="E10" s="347" t="s">
        <v>346</v>
      </c>
      <c r="F10" s="346">
        <f>+'ER 2015'!B39</f>
        <v>25000</v>
      </c>
    </row>
    <row r="11" spans="1:7">
      <c r="A11" s="347" t="s">
        <v>347</v>
      </c>
      <c r="B11" s="426">
        <f>-'ER 2017'!C78</f>
        <v>-13083000</v>
      </c>
      <c r="C11" s="428" t="s">
        <v>347</v>
      </c>
      <c r="D11" s="426">
        <f>-' ER 2016'!C63</f>
        <v>-2394000</v>
      </c>
      <c r="E11" s="428" t="s">
        <v>347</v>
      </c>
      <c r="F11" s="346">
        <f>-'ER 2015'!B43</f>
        <v>-3456000</v>
      </c>
    </row>
    <row r="12" spans="1:7">
      <c r="A12" s="347"/>
      <c r="B12" s="426"/>
      <c r="C12" s="428"/>
      <c r="D12" s="426"/>
      <c r="E12" s="347"/>
      <c r="F12" s="346"/>
    </row>
    <row r="13" spans="1:7">
      <c r="A13" s="345" t="s">
        <v>324</v>
      </c>
      <c r="B13" s="426"/>
      <c r="C13" s="427" t="s">
        <v>324</v>
      </c>
      <c r="D13" s="426"/>
      <c r="E13" s="345" t="s">
        <v>324</v>
      </c>
      <c r="F13" s="346"/>
    </row>
    <row r="14" spans="1:7">
      <c r="A14" s="348" t="s">
        <v>325</v>
      </c>
      <c r="B14" s="426">
        <f>-'ESF CONSOLI 17-16'!D14</f>
        <v>-105477000</v>
      </c>
      <c r="C14" s="429" t="s">
        <v>325</v>
      </c>
      <c r="D14" s="426">
        <f>-'ESF CONSOLI 16-15'!D14</f>
        <v>-77704000</v>
      </c>
      <c r="E14" s="348" t="s">
        <v>325</v>
      </c>
      <c r="F14" s="346">
        <f>+-'ESF CONSOLI 15-14'!D14</f>
        <v>-27351000</v>
      </c>
    </row>
    <row r="15" spans="1:7">
      <c r="A15" s="348" t="s">
        <v>344</v>
      </c>
      <c r="B15" s="426">
        <f>-'ESF CONSOLI 17-16'!D16</f>
        <v>-116900000</v>
      </c>
      <c r="C15" s="429" t="s">
        <v>344</v>
      </c>
      <c r="D15" s="426">
        <f>-'ESF CONSOLI 16-15'!D15</f>
        <v>-5358000</v>
      </c>
      <c r="E15" s="348" t="s">
        <v>344</v>
      </c>
      <c r="F15" s="346">
        <f>-'ESF CONSOLI 17-16'!G16</f>
        <v>0</v>
      </c>
    </row>
    <row r="16" spans="1:7">
      <c r="A16" s="348" t="s">
        <v>326</v>
      </c>
      <c r="B16" s="426">
        <f>-'ESF CONSOLI 17-16'!D15</f>
        <v>-63610000</v>
      </c>
      <c r="C16" s="429" t="s">
        <v>326</v>
      </c>
      <c r="D16" s="426">
        <f>-'ESF CONSOLI 16-15'!D16</f>
        <v>0</v>
      </c>
      <c r="E16" s="348" t="s">
        <v>326</v>
      </c>
      <c r="F16" s="346">
        <f>-'ESF CONSOLI 17-16'!G15</f>
        <v>0</v>
      </c>
    </row>
    <row r="17" spans="1:6">
      <c r="A17" s="348" t="s">
        <v>327</v>
      </c>
      <c r="B17" s="426">
        <f>-'ESF CONSOLI 17-16'!D17</f>
        <v>-4040000</v>
      </c>
      <c r="C17" s="429" t="s">
        <v>327</v>
      </c>
      <c r="D17" s="426">
        <f>-'ESF CONSOLI 16-15'!D17</f>
        <v>-6255000</v>
      </c>
      <c r="E17" s="348" t="s">
        <v>327</v>
      </c>
      <c r="F17" s="346">
        <f>-'ESF CONSOLI 15-14'!D17</f>
        <v>-5621000</v>
      </c>
    </row>
    <row r="18" spans="1:6">
      <c r="A18" s="348" t="s">
        <v>349</v>
      </c>
      <c r="B18" s="426">
        <f>+'ESF CONSOLI 17-16'!D59</f>
        <v>-7923000</v>
      </c>
      <c r="C18" s="429" t="s">
        <v>349</v>
      </c>
      <c r="D18" s="426">
        <f>+'ESF CONSOLI 16-15'!D56</f>
        <v>38622000</v>
      </c>
      <c r="E18" s="348" t="s">
        <v>349</v>
      </c>
      <c r="F18" s="346">
        <f>+'ESF CONSOLI 15-14'!D42</f>
        <v>-29729000</v>
      </c>
    </row>
    <row r="19" spans="1:6">
      <c r="A19" s="348" t="s">
        <v>328</v>
      </c>
      <c r="B19" s="426">
        <f>+'ESF CONSOLI 17-16'!D55</f>
        <v>53044000</v>
      </c>
      <c r="C19" s="429" t="s">
        <v>328</v>
      </c>
      <c r="D19" s="426">
        <f>+'ESF CONSOLI 17-16'!E55</f>
        <v>0</v>
      </c>
      <c r="E19" s="348" t="s">
        <v>328</v>
      </c>
      <c r="F19" s="346">
        <f>+'ESF CONSOLI 17-16'!G55</f>
        <v>0</v>
      </c>
    </row>
    <row r="20" spans="1:6" ht="31.5">
      <c r="A20" s="349" t="s">
        <v>329</v>
      </c>
      <c r="B20" s="426">
        <f>SUM('ESF CONSOLI 17-16'!D63:D66)</f>
        <v>-70300000</v>
      </c>
      <c r="C20" s="430" t="s">
        <v>329</v>
      </c>
      <c r="D20" s="426">
        <f>+SUM('ESF CONSOLI 16-15'!D60:D64)</f>
        <v>-32712000</v>
      </c>
      <c r="E20" s="349" t="s">
        <v>329</v>
      </c>
      <c r="F20" s="346">
        <f>+'ESF CONSOLI 15-14'!D51</f>
        <v>104076000</v>
      </c>
    </row>
    <row r="21" spans="1:6">
      <c r="A21" s="350" t="s">
        <v>345</v>
      </c>
      <c r="B21" s="426">
        <f>+SUM('ESF CONSOLI 17-16'!D70:D72)</f>
        <v>140856000</v>
      </c>
      <c r="C21" s="431" t="s">
        <v>345</v>
      </c>
      <c r="D21" s="426">
        <f>+'ESF CONSOLI 16-15'!D68+'ESF CONSOLI 16-15'!D70</f>
        <v>39858000</v>
      </c>
      <c r="E21" s="350" t="s">
        <v>345</v>
      </c>
      <c r="F21" s="346">
        <f>+SUM('ESF CONSOLI 17-16'!G70:G72)</f>
        <v>0</v>
      </c>
    </row>
    <row r="22" spans="1:6">
      <c r="A22" s="345" t="s">
        <v>324</v>
      </c>
      <c r="B22" s="432">
        <f>SUM(B14:B21)</f>
        <v>-174350000</v>
      </c>
      <c r="C22" s="427" t="s">
        <v>324</v>
      </c>
      <c r="D22" s="432">
        <f>SUM(D14:D21)</f>
        <v>-43549000</v>
      </c>
      <c r="E22" s="345" t="s">
        <v>324</v>
      </c>
      <c r="F22" s="351">
        <f>SUM(F14:F21)</f>
        <v>41375000</v>
      </c>
    </row>
    <row r="23" spans="1:6" ht="16.5" thickBot="1">
      <c r="A23" s="352" t="s">
        <v>330</v>
      </c>
      <c r="B23" s="433">
        <f>+B7+B8+B10+B11+B22+B9</f>
        <v>12211000</v>
      </c>
      <c r="C23" s="434" t="s">
        <v>330</v>
      </c>
      <c r="D23" s="433">
        <f>+D7+D8+D10+D11+D22+D9</f>
        <v>6587000</v>
      </c>
      <c r="E23" s="352" t="s">
        <v>330</v>
      </c>
      <c r="F23" s="353">
        <f>+F7+F8+F10+F11+F22+F9</f>
        <v>107376000</v>
      </c>
    </row>
    <row r="24" spans="1:6">
      <c r="A24" s="352"/>
      <c r="B24" s="432"/>
      <c r="C24" s="434"/>
      <c r="D24" s="432"/>
      <c r="E24" s="352"/>
      <c r="F24" s="351"/>
    </row>
    <row r="25" spans="1:6">
      <c r="A25" s="345" t="s">
        <v>331</v>
      </c>
      <c r="B25" s="426"/>
      <c r="C25" s="427" t="s">
        <v>331</v>
      </c>
      <c r="D25" s="426"/>
      <c r="E25" s="427" t="s">
        <v>331</v>
      </c>
      <c r="F25" s="346"/>
    </row>
    <row r="26" spans="1:6">
      <c r="A26" s="429" t="s">
        <v>356</v>
      </c>
      <c r="B26" s="29">
        <v>0</v>
      </c>
      <c r="C26" s="429" t="s">
        <v>356</v>
      </c>
      <c r="D26" s="29">
        <f>-'ESF 2016'!C26</f>
        <v>-1730000</v>
      </c>
      <c r="E26" s="429" t="s">
        <v>356</v>
      </c>
      <c r="F26" s="346">
        <f>-'ESF CONSOLI 17-16'!G41</f>
        <v>0</v>
      </c>
    </row>
    <row r="27" spans="1:6">
      <c r="A27" s="429" t="s">
        <v>355</v>
      </c>
      <c r="B27" s="426">
        <v>0</v>
      </c>
      <c r="C27" s="429" t="s">
        <v>355</v>
      </c>
      <c r="D27" s="426">
        <f>-'ESF 2016'!C30</f>
        <v>-2800000</v>
      </c>
      <c r="E27" s="429" t="s">
        <v>355</v>
      </c>
      <c r="F27" s="346"/>
    </row>
    <row r="28" spans="1:6">
      <c r="A28" s="429" t="s">
        <v>358</v>
      </c>
      <c r="B28" s="426"/>
      <c r="C28" s="429" t="s">
        <v>358</v>
      </c>
      <c r="D28" s="426"/>
      <c r="E28" s="429" t="s">
        <v>358</v>
      </c>
      <c r="F28" s="346">
        <f>-'ESF CONSOLI 15-14'!D26</f>
        <v>-151100000</v>
      </c>
    </row>
    <row r="29" spans="1:6">
      <c r="A29" s="348" t="s">
        <v>348</v>
      </c>
      <c r="B29" s="426">
        <f>-'ESF CONSOLI 17-16'!D41</f>
        <v>-2590000</v>
      </c>
      <c r="C29" s="429" t="s">
        <v>348</v>
      </c>
      <c r="D29" s="426">
        <f>-'ESF CONSOLI 16-15'!D41</f>
        <v>-1469000</v>
      </c>
      <c r="E29" s="429" t="s">
        <v>348</v>
      </c>
      <c r="F29" s="346"/>
    </row>
    <row r="30" spans="1:6">
      <c r="A30" s="348"/>
      <c r="B30" s="426"/>
      <c r="C30" s="429"/>
      <c r="D30" s="426"/>
      <c r="E30" s="348"/>
      <c r="F30" s="346"/>
    </row>
    <row r="31" spans="1:6" ht="16.5" thickBot="1">
      <c r="A31" s="352" t="s">
        <v>332</v>
      </c>
      <c r="B31" s="433">
        <f>+B29</f>
        <v>-2590000</v>
      </c>
      <c r="C31" s="434" t="s">
        <v>332</v>
      </c>
      <c r="D31" s="433">
        <f>+D26+D27+D29</f>
        <v>-5999000</v>
      </c>
      <c r="E31" s="352" t="s">
        <v>332</v>
      </c>
      <c r="F31" s="433">
        <f>+F26+F27+F29+F28</f>
        <v>-151100000</v>
      </c>
    </row>
    <row r="32" spans="1:6">
      <c r="A32" s="352"/>
      <c r="B32" s="432"/>
      <c r="C32" s="434"/>
      <c r="D32" s="432"/>
      <c r="E32" s="352"/>
      <c r="F32" s="351"/>
    </row>
    <row r="33" spans="1:6">
      <c r="A33" s="345" t="s">
        <v>333</v>
      </c>
      <c r="B33" s="426"/>
      <c r="C33" s="427" t="s">
        <v>333</v>
      </c>
      <c r="D33" s="426"/>
      <c r="E33" s="345" t="s">
        <v>333</v>
      </c>
      <c r="F33" s="346"/>
    </row>
    <row r="34" spans="1:6">
      <c r="A34" s="347" t="s">
        <v>334</v>
      </c>
      <c r="B34" s="426"/>
      <c r="C34" s="428" t="s">
        <v>334</v>
      </c>
      <c r="D34" s="426"/>
      <c r="E34" s="347" t="s">
        <v>334</v>
      </c>
      <c r="F34" s="346"/>
    </row>
    <row r="35" spans="1:6">
      <c r="A35" s="347" t="s">
        <v>335</v>
      </c>
      <c r="B35" s="435"/>
      <c r="C35" s="428" t="s">
        <v>335</v>
      </c>
      <c r="D35" s="435"/>
      <c r="E35" s="347" t="s">
        <v>335</v>
      </c>
      <c r="F35" s="354"/>
    </row>
    <row r="36" spans="1:6" ht="16.5" thickBot="1">
      <c r="A36" s="352" t="s">
        <v>336</v>
      </c>
      <c r="B36" s="436"/>
      <c r="C36" s="434" t="s">
        <v>336</v>
      </c>
      <c r="D36" s="436"/>
      <c r="E36" s="352" t="s">
        <v>336</v>
      </c>
      <c r="F36" s="355"/>
    </row>
    <row r="37" spans="1:6">
      <c r="A37" s="352"/>
      <c r="B37" s="426"/>
      <c r="C37" s="434"/>
      <c r="D37" s="426"/>
      <c r="E37" s="352"/>
      <c r="F37" s="346"/>
    </row>
    <row r="38" spans="1:6">
      <c r="A38" s="345" t="s">
        <v>337</v>
      </c>
      <c r="B38" s="426">
        <f>+B23+B31+B36</f>
        <v>9621000</v>
      </c>
      <c r="C38" s="427" t="s">
        <v>337</v>
      </c>
      <c r="D38" s="426">
        <f>+D23+D31+D36</f>
        <v>588000</v>
      </c>
      <c r="E38" s="345" t="s">
        <v>337</v>
      </c>
      <c r="F38" s="346">
        <f>+F23+F31+F36</f>
        <v>-43724000</v>
      </c>
    </row>
    <row r="39" spans="1:6">
      <c r="A39" s="345" t="s">
        <v>338</v>
      </c>
      <c r="B39" s="426">
        <f>+'ESF CONSOLI 17-16'!C11</f>
        <v>3653000</v>
      </c>
      <c r="C39" s="427" t="s">
        <v>338</v>
      </c>
      <c r="D39" s="426">
        <f>+'ESF 2015'!C12</f>
        <v>3065000</v>
      </c>
      <c r="E39" s="345" t="s">
        <v>338</v>
      </c>
      <c r="F39" s="346">
        <f>+'ESF CONSOLI 15-14'!C11</f>
        <v>46789000</v>
      </c>
    </row>
    <row r="40" spans="1:6">
      <c r="A40" s="345" t="s">
        <v>339</v>
      </c>
      <c r="B40" s="432">
        <f>+B38+B39</f>
        <v>13274000</v>
      </c>
      <c r="C40" s="427" t="s">
        <v>339</v>
      </c>
      <c r="D40" s="432">
        <f>+D38+D39</f>
        <v>3653000</v>
      </c>
      <c r="E40" s="345" t="s">
        <v>339</v>
      </c>
      <c r="F40" s="351">
        <f>+F38+F39</f>
        <v>3065000</v>
      </c>
    </row>
    <row r="43" spans="1:6">
      <c r="A43" s="455" t="s">
        <v>360</v>
      </c>
    </row>
    <row r="44" spans="1:6">
      <c r="A44" s="658" t="s">
        <v>366</v>
      </c>
      <c r="B44" s="658"/>
      <c r="C44" s="658"/>
    </row>
    <row r="45" spans="1:6">
      <c r="A45" s="658"/>
      <c r="B45" s="658"/>
      <c r="C45" s="658"/>
    </row>
    <row r="46" spans="1:6">
      <c r="A46" s="658"/>
      <c r="B46" s="658"/>
      <c r="C46" s="658"/>
    </row>
  </sheetData>
  <mergeCells count="13">
    <mergeCell ref="A44:C46"/>
    <mergeCell ref="E1:F1"/>
    <mergeCell ref="E2:F2"/>
    <mergeCell ref="E3:F3"/>
    <mergeCell ref="E4:F4"/>
    <mergeCell ref="C4:D4"/>
    <mergeCell ref="A3:B3"/>
    <mergeCell ref="A4:B4"/>
    <mergeCell ref="A1:B1"/>
    <mergeCell ref="A2:B2"/>
    <mergeCell ref="C1:D1"/>
    <mergeCell ref="C2:D2"/>
    <mergeCell ref="C3:D3"/>
  </mergeCells>
  <pageMargins left="0.7" right="0.7" top="0.75" bottom="0.75" header="0.3" footer="0.3"/>
  <pageSetup orientation="portrait" horizontalDpi="0"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M738"/>
  <sheetViews>
    <sheetView showGridLines="0" zoomScale="90" zoomScaleNormal="90" zoomScaleSheetLayoutView="100" workbookViewId="0">
      <selection activeCell="B736" sqref="B736:J738"/>
    </sheetView>
  </sheetViews>
  <sheetFormatPr baseColWidth="10" defaultColWidth="11.42578125" defaultRowHeight="15.75"/>
  <cols>
    <col min="1" max="1" width="7" style="36" customWidth="1"/>
    <col min="2" max="2" width="52.28515625" style="36" customWidth="1"/>
    <col min="3" max="3" width="17.140625" style="36" bestFit="1" customWidth="1"/>
    <col min="4" max="4" width="14.5703125" style="36" customWidth="1"/>
    <col min="5" max="5" width="16.85546875" style="36" customWidth="1"/>
    <col min="6" max="6" width="14.140625" style="36" bestFit="1" customWidth="1"/>
    <col min="7" max="7" width="15" style="36" customWidth="1"/>
    <col min="8" max="8" width="17.85546875" style="36" customWidth="1"/>
    <col min="9" max="9" width="14.7109375" style="37" customWidth="1"/>
    <col min="10" max="10" width="13.7109375" style="36" customWidth="1"/>
    <col min="11" max="11" width="16.85546875" style="36" customWidth="1"/>
    <col min="12" max="12" width="13" style="36" bestFit="1" customWidth="1"/>
    <col min="13" max="16384" width="11.42578125" style="36"/>
  </cols>
  <sheetData>
    <row r="2" spans="2:11">
      <c r="B2" s="662" t="s">
        <v>85</v>
      </c>
      <c r="C2" s="662"/>
      <c r="D2" s="662"/>
      <c r="E2" s="662"/>
      <c r="F2" s="662"/>
      <c r="G2" s="662"/>
    </row>
    <row r="3" spans="2:11">
      <c r="B3" s="662" t="s">
        <v>86</v>
      </c>
      <c r="C3" s="662"/>
      <c r="D3" s="662"/>
      <c r="E3" s="662"/>
      <c r="F3" s="662"/>
      <c r="G3" s="662"/>
    </row>
    <row r="5" spans="2:11">
      <c r="B5" s="662" t="s">
        <v>299</v>
      </c>
      <c r="C5" s="703"/>
      <c r="D5" s="703"/>
      <c r="E5" s="703"/>
      <c r="F5" s="703"/>
      <c r="G5" s="703"/>
    </row>
    <row r="7" spans="2:11" ht="31.5">
      <c r="B7" s="442" t="s">
        <v>0</v>
      </c>
      <c r="C7" s="442">
        <v>2017</v>
      </c>
      <c r="D7" s="442" t="s">
        <v>1</v>
      </c>
      <c r="E7" s="442" t="s">
        <v>2</v>
      </c>
      <c r="F7" s="442">
        <v>2016</v>
      </c>
      <c r="G7" s="442" t="s">
        <v>1</v>
      </c>
      <c r="H7" s="38"/>
      <c r="I7" s="437"/>
      <c r="J7" s="437"/>
      <c r="K7" s="437"/>
    </row>
    <row r="8" spans="2:11">
      <c r="B8" s="40" t="s">
        <v>3</v>
      </c>
      <c r="C8" s="106">
        <f>'ER 2017'!C10</f>
        <v>1148878000</v>
      </c>
      <c r="D8" s="41">
        <f>(C8/$C$8)*100%</f>
        <v>1</v>
      </c>
      <c r="E8" s="41">
        <f>((C8/F8)-1)*100%</f>
        <v>0.73262291769091803</v>
      </c>
      <c r="F8" s="42">
        <f>' ER 2016'!C10</f>
        <v>663086000</v>
      </c>
      <c r="G8" s="41">
        <f>(F8/$F$8)/100%</f>
        <v>1</v>
      </c>
      <c r="H8" s="43"/>
      <c r="I8" s="438"/>
      <c r="J8" s="437"/>
      <c r="K8" s="101"/>
    </row>
    <row r="9" spans="2:11">
      <c r="B9" s="45" t="s">
        <v>4</v>
      </c>
      <c r="C9" s="107">
        <f>'ER 2017'!C33</f>
        <v>1010660000</v>
      </c>
      <c r="D9" s="46">
        <f t="shared" ref="D9:D19" si="0">(C9/$C$8)*100%</f>
        <v>0.87969305705218481</v>
      </c>
      <c r="E9" s="46">
        <f t="shared" ref="E9:E19" si="1">((C9/F9)-1)*100%</f>
        <v>0.77447305352424256</v>
      </c>
      <c r="F9" s="47">
        <f>' ER 2016'!C31</f>
        <v>569555000</v>
      </c>
      <c r="G9" s="46">
        <f t="shared" ref="G9:G19" si="2">(F9/$F$8)/100%</f>
        <v>0.85894589842041602</v>
      </c>
      <c r="I9" s="101"/>
      <c r="J9" s="437"/>
      <c r="K9" s="101"/>
    </row>
    <row r="10" spans="2:11">
      <c r="B10" s="40" t="s">
        <v>5</v>
      </c>
      <c r="C10" s="106">
        <f>'ER 2017'!C35</f>
        <v>138218000</v>
      </c>
      <c r="D10" s="41">
        <f t="shared" si="0"/>
        <v>0.12030694294781517</v>
      </c>
      <c r="E10" s="41">
        <f t="shared" si="1"/>
        <v>0.4777774213896997</v>
      </c>
      <c r="F10" s="42">
        <f>' ER 2016'!C33</f>
        <v>93531000</v>
      </c>
      <c r="G10" s="41">
        <f t="shared" si="2"/>
        <v>0.14105410157958395</v>
      </c>
      <c r="I10" s="101"/>
      <c r="J10" s="437"/>
      <c r="K10" s="101"/>
    </row>
    <row r="11" spans="2:11">
      <c r="B11" s="45" t="s">
        <v>43</v>
      </c>
      <c r="C11" s="107">
        <f>'ER 2017'!C50</f>
        <v>76822000</v>
      </c>
      <c r="D11" s="46">
        <f>(C11/$C$8)*100%</f>
        <v>6.6866978042925365E-2</v>
      </c>
      <c r="E11" s="46">
        <f t="shared" si="1"/>
        <v>0.40025153564332983</v>
      </c>
      <c r="F11" s="47">
        <f>' ER 2016'!C44</f>
        <v>54863000</v>
      </c>
      <c r="G11" s="46">
        <f t="shared" si="2"/>
        <v>8.273889058131223E-2</v>
      </c>
      <c r="I11" s="101"/>
      <c r="J11" s="437"/>
      <c r="K11" s="101"/>
    </row>
    <row r="12" spans="2:11">
      <c r="B12" s="40" t="s">
        <v>6</v>
      </c>
      <c r="C12" s="106">
        <f>'ER 2017'!C56</f>
        <v>1225000</v>
      </c>
      <c r="D12" s="41">
        <f t="shared" si="0"/>
        <v>1.0662576879355336E-3</v>
      </c>
      <c r="E12" s="41">
        <f t="shared" si="1"/>
        <v>3.2982456140350873</v>
      </c>
      <c r="F12" s="42">
        <f>' ER 2016'!C48</f>
        <v>285000</v>
      </c>
      <c r="G12" s="41">
        <f t="shared" si="2"/>
        <v>4.298085014613489E-4</v>
      </c>
      <c r="I12" s="101"/>
      <c r="J12" s="437"/>
      <c r="K12" s="101"/>
    </row>
    <row r="13" spans="2:11">
      <c r="B13" s="45" t="s">
        <v>7</v>
      </c>
      <c r="C13" s="107">
        <f>'ER 2017'!C60</f>
        <v>60171000</v>
      </c>
      <c r="D13" s="46">
        <f t="shared" si="0"/>
        <v>5.2373707216954279E-2</v>
      </c>
      <c r="E13" s="46">
        <f t="shared" si="1"/>
        <v>0.56764713545059009</v>
      </c>
      <c r="F13" s="47">
        <f>' ER 2016'!C52</f>
        <v>38383000</v>
      </c>
      <c r="G13" s="46">
        <f t="shared" si="2"/>
        <v>5.7885402496810366E-2</v>
      </c>
      <c r="I13" s="101"/>
      <c r="J13" s="437"/>
      <c r="K13" s="101"/>
    </row>
    <row r="14" spans="2:11">
      <c r="B14" s="40" t="s">
        <v>8</v>
      </c>
      <c r="C14" s="106">
        <f>'ER 2017'!C73</f>
        <v>756000</v>
      </c>
      <c r="D14" s="41">
        <f t="shared" si="0"/>
        <v>6.5803331598307221E-4</v>
      </c>
      <c r="E14" s="41">
        <v>0</v>
      </c>
      <c r="F14" s="42"/>
      <c r="G14" s="41">
        <f t="shared" si="2"/>
        <v>0</v>
      </c>
      <c r="I14" s="101"/>
      <c r="J14" s="437"/>
      <c r="K14" s="101"/>
    </row>
    <row r="15" spans="2:11">
      <c r="B15" s="45" t="s">
        <v>9</v>
      </c>
      <c r="C15" s="107">
        <f>'ER 2017'!C78</f>
        <v>13083000</v>
      </c>
      <c r="D15" s="46">
        <f t="shared" si="0"/>
        <v>1.1387632107151499E-2</v>
      </c>
      <c r="E15" s="46">
        <f t="shared" si="1"/>
        <v>4.4649122807017543</v>
      </c>
      <c r="F15" s="47">
        <f>' ER 2016'!C63</f>
        <v>2394000</v>
      </c>
      <c r="G15" s="46">
        <f t="shared" si="2"/>
        <v>3.6103914122753307E-3</v>
      </c>
      <c r="I15" s="101"/>
      <c r="J15" s="437"/>
      <c r="K15" s="101"/>
    </row>
    <row r="16" spans="2:11">
      <c r="B16" s="40" t="s">
        <v>10</v>
      </c>
      <c r="C16" s="106">
        <f>'ER 2017'!C80</f>
        <v>47844000</v>
      </c>
      <c r="D16" s="41">
        <f t="shared" si="0"/>
        <v>4.1644108425785857E-2</v>
      </c>
      <c r="E16" s="41">
        <f t="shared" si="1"/>
        <v>0.329406207452277</v>
      </c>
      <c r="F16" s="42">
        <f>' ER 2016'!C65</f>
        <v>35989000</v>
      </c>
      <c r="G16" s="41">
        <f t="shared" si="2"/>
        <v>5.4275011084535037E-2</v>
      </c>
      <c r="I16" s="101"/>
      <c r="J16" s="437"/>
      <c r="K16" s="101"/>
    </row>
    <row r="17" spans="2:11">
      <c r="B17" s="48" t="s">
        <v>12</v>
      </c>
      <c r="C17" s="108"/>
      <c r="D17" s="49">
        <f t="shared" si="0"/>
        <v>0</v>
      </c>
      <c r="E17" s="49">
        <f t="shared" si="1"/>
        <v>-1</v>
      </c>
      <c r="F17" s="50">
        <f>' ER 2016'!B69</f>
        <v>3239000</v>
      </c>
      <c r="G17" s="49">
        <f t="shared" si="2"/>
        <v>4.8847359166081022E-3</v>
      </c>
      <c r="I17" s="44"/>
      <c r="J17" s="39"/>
      <c r="K17" s="44"/>
    </row>
    <row r="18" spans="2:11">
      <c r="B18" s="51" t="s">
        <v>13</v>
      </c>
      <c r="C18" s="109">
        <f>'ER 2017'!B83</f>
        <v>16267000.000000002</v>
      </c>
      <c r="D18" s="52">
        <f t="shared" si="0"/>
        <v>1.4159031681344757E-2</v>
      </c>
      <c r="E18" s="52">
        <f t="shared" si="1"/>
        <v>0.80804712682005131</v>
      </c>
      <c r="F18" s="53">
        <f>' ER 2016'!B68</f>
        <v>8997000</v>
      </c>
      <c r="G18" s="52">
        <f t="shared" si="2"/>
        <v>1.3568375746132478E-2</v>
      </c>
      <c r="I18" s="44"/>
      <c r="J18" s="39"/>
      <c r="K18" s="44"/>
    </row>
    <row r="19" spans="2:11">
      <c r="B19" s="48" t="s">
        <v>14</v>
      </c>
      <c r="C19" s="108">
        <f>'ER 2017'!C86</f>
        <v>31577000</v>
      </c>
      <c r="D19" s="49">
        <f t="shared" si="0"/>
        <v>2.74850767444411E-2</v>
      </c>
      <c r="E19" s="49">
        <f t="shared" si="1"/>
        <v>0.32938997179303664</v>
      </c>
      <c r="F19" s="50">
        <f>' ER 2016'!C72</f>
        <v>23753000</v>
      </c>
      <c r="G19" s="49">
        <f t="shared" si="2"/>
        <v>3.5821899421794458E-2</v>
      </c>
      <c r="I19" s="44"/>
      <c r="J19" s="39"/>
      <c r="K19" s="44"/>
    </row>
    <row r="23" spans="2:11">
      <c r="B23" s="662" t="s">
        <v>303</v>
      </c>
      <c r="C23" s="703"/>
      <c r="D23" s="703"/>
      <c r="E23" s="703"/>
      <c r="F23" s="703"/>
      <c r="G23" s="703"/>
    </row>
    <row r="25" spans="2:11" ht="31.5">
      <c r="B25" s="442" t="s">
        <v>0</v>
      </c>
      <c r="C25" s="442">
        <v>2016</v>
      </c>
      <c r="D25" s="442" t="s">
        <v>1</v>
      </c>
      <c r="E25" s="442" t="s">
        <v>2</v>
      </c>
      <c r="F25" s="442">
        <v>2015</v>
      </c>
      <c r="G25" s="442" t="s">
        <v>1</v>
      </c>
      <c r="H25" s="38"/>
      <c r="I25" s="439"/>
      <c r="J25" s="440"/>
      <c r="K25" s="440"/>
    </row>
    <row r="26" spans="2:11">
      <c r="B26" s="40" t="s">
        <v>3</v>
      </c>
      <c r="C26" s="54">
        <f t="shared" ref="C26:C31" si="3">F8</f>
        <v>663086000</v>
      </c>
      <c r="D26" s="41">
        <f>(C26/$C$26)*100%</f>
        <v>1</v>
      </c>
      <c r="E26" s="41">
        <f>((C26/F26)-1)*100%</f>
        <v>0.92678022444223607</v>
      </c>
      <c r="F26" s="42">
        <f>'ER 2015'!C11</f>
        <v>344142000</v>
      </c>
      <c r="G26" s="41">
        <f>(F26/$F$26)*100%</f>
        <v>1</v>
      </c>
      <c r="H26" s="55"/>
      <c r="I26" s="101"/>
      <c r="J26" s="440"/>
      <c r="K26" s="440"/>
    </row>
    <row r="27" spans="2:11">
      <c r="B27" s="45" t="s">
        <v>4</v>
      </c>
      <c r="C27" s="56">
        <f t="shared" si="3"/>
        <v>569555000</v>
      </c>
      <c r="D27" s="46">
        <f t="shared" ref="D27:D37" si="4">(C27/$C$26)*100%</f>
        <v>0.85894589842041602</v>
      </c>
      <c r="E27" s="46">
        <f t="shared" ref="E27:E37" si="5">((C27/F27)-1)*100%</f>
        <v>1.3401208774503157</v>
      </c>
      <c r="F27" s="47">
        <f>'ER 2015'!C22</f>
        <v>243387000</v>
      </c>
      <c r="G27" s="46">
        <f t="shared" ref="G27:G37" si="6">(F27/$F$26)*100%</f>
        <v>0.70722841152779958</v>
      </c>
      <c r="H27" s="55"/>
      <c r="I27" s="467"/>
      <c r="J27" s="440"/>
      <c r="K27" s="440"/>
    </row>
    <row r="28" spans="2:11">
      <c r="B28" s="40" t="s">
        <v>5</v>
      </c>
      <c r="C28" s="57">
        <f t="shared" si="3"/>
        <v>93531000</v>
      </c>
      <c r="D28" s="41">
        <f t="shared" si="4"/>
        <v>0.14105410157958395</v>
      </c>
      <c r="E28" s="41">
        <f t="shared" si="5"/>
        <v>-7.1698675003721846E-2</v>
      </c>
      <c r="F28" s="42">
        <f>'ER 2015'!C24</f>
        <v>100755000</v>
      </c>
      <c r="G28" s="41">
        <f t="shared" si="6"/>
        <v>0.29277158847220042</v>
      </c>
      <c r="H28" s="55"/>
      <c r="I28" s="467"/>
      <c r="J28" s="440"/>
      <c r="K28" s="440"/>
    </row>
    <row r="29" spans="2:11">
      <c r="B29" s="45" t="s">
        <v>11</v>
      </c>
      <c r="C29" s="56">
        <f t="shared" si="3"/>
        <v>54863000</v>
      </c>
      <c r="D29" s="46">
        <f t="shared" si="4"/>
        <v>8.273889058131223E-2</v>
      </c>
      <c r="E29" s="46">
        <f t="shared" si="5"/>
        <v>0.92211750691938477</v>
      </c>
      <c r="F29" s="47">
        <f>'ER 2015'!C32</f>
        <v>28543000</v>
      </c>
      <c r="G29" s="46">
        <f t="shared" si="6"/>
        <v>8.2939600513741427E-2</v>
      </c>
      <c r="H29" s="55"/>
      <c r="I29" s="467"/>
      <c r="J29" s="440"/>
      <c r="K29" s="440"/>
    </row>
    <row r="30" spans="2:11">
      <c r="B30" s="40" t="s">
        <v>6</v>
      </c>
      <c r="C30" s="57">
        <f t="shared" si="3"/>
        <v>285000</v>
      </c>
      <c r="D30" s="41">
        <f t="shared" si="4"/>
        <v>4.298085014613489E-4</v>
      </c>
      <c r="E30" s="41">
        <v>0</v>
      </c>
      <c r="F30" s="42"/>
      <c r="G30" s="41">
        <f t="shared" si="6"/>
        <v>0</v>
      </c>
      <c r="H30" s="55"/>
      <c r="I30" s="101"/>
      <c r="J30" s="440"/>
      <c r="K30" s="440"/>
    </row>
    <row r="31" spans="2:11">
      <c r="B31" s="45" t="s">
        <v>7</v>
      </c>
      <c r="C31" s="56">
        <f t="shared" si="3"/>
        <v>38383000</v>
      </c>
      <c r="D31" s="46">
        <f t="shared" si="4"/>
        <v>5.7885402496810366E-2</v>
      </c>
      <c r="E31" s="46">
        <f t="shared" si="5"/>
        <v>-0.4684678446795546</v>
      </c>
      <c r="F31" s="47">
        <f>'ER 2015'!C36</f>
        <v>72212000</v>
      </c>
      <c r="G31" s="46">
        <f t="shared" si="6"/>
        <v>0.209831987958459</v>
      </c>
      <c r="H31" s="55"/>
      <c r="I31" s="44"/>
    </row>
    <row r="32" spans="2:11">
      <c r="B32" s="40" t="s">
        <v>8</v>
      </c>
      <c r="C32" s="57"/>
      <c r="D32" s="41">
        <f t="shared" si="4"/>
        <v>0</v>
      </c>
      <c r="E32" s="41">
        <f t="shared" si="5"/>
        <v>-1</v>
      </c>
      <c r="F32" s="42">
        <f>'ER 2015'!B39</f>
        <v>25000</v>
      </c>
      <c r="G32" s="41">
        <f t="shared" si="6"/>
        <v>7.2644431659024474E-5</v>
      </c>
      <c r="H32" s="55"/>
      <c r="I32" s="44"/>
    </row>
    <row r="33" spans="2:9">
      <c r="B33" s="45" t="s">
        <v>9</v>
      </c>
      <c r="C33" s="56">
        <f>F15</f>
        <v>2394000</v>
      </c>
      <c r="D33" s="46">
        <f t="shared" si="4"/>
        <v>3.6103914122753307E-3</v>
      </c>
      <c r="E33" s="46">
        <f t="shared" si="5"/>
        <v>-0.30729166666666663</v>
      </c>
      <c r="F33" s="47">
        <f>'ER 2015'!C44</f>
        <v>3456000</v>
      </c>
      <c r="G33" s="46">
        <f t="shared" si="6"/>
        <v>1.0042366232543544E-2</v>
      </c>
      <c r="H33" s="55"/>
      <c r="I33" s="44"/>
    </row>
    <row r="34" spans="2:9">
      <c r="B34" s="40" t="s">
        <v>10</v>
      </c>
      <c r="C34" s="57">
        <f>F16</f>
        <v>35989000</v>
      </c>
      <c r="D34" s="41">
        <f t="shared" si="4"/>
        <v>5.4275011084535037E-2</v>
      </c>
      <c r="E34" s="41">
        <f t="shared" si="5"/>
        <v>-0.47675957023015081</v>
      </c>
      <c r="F34" s="42">
        <f>'ER 2015'!C46</f>
        <v>68781000</v>
      </c>
      <c r="G34" s="41">
        <f t="shared" si="6"/>
        <v>0.19986226615757449</v>
      </c>
      <c r="H34" s="55"/>
      <c r="I34" s="44"/>
    </row>
    <row r="35" spans="2:9">
      <c r="B35" s="48" t="s">
        <v>12</v>
      </c>
      <c r="C35" s="56">
        <f>F17</f>
        <v>3239000</v>
      </c>
      <c r="D35" s="49">
        <f t="shared" si="4"/>
        <v>4.8847359166081022E-3</v>
      </c>
      <c r="E35" s="49">
        <f t="shared" si="5"/>
        <v>-0.14039278131634825</v>
      </c>
      <c r="F35" s="50">
        <f>'ER 2015'!B50</f>
        <v>3768000</v>
      </c>
      <c r="G35" s="49">
        <f t="shared" si="6"/>
        <v>1.0948968739648169E-2</v>
      </c>
      <c r="H35" s="55"/>
      <c r="I35" s="44"/>
    </row>
    <row r="36" spans="2:9">
      <c r="B36" s="51" t="s">
        <v>13</v>
      </c>
      <c r="C36" s="58">
        <f>F18</f>
        <v>8997000</v>
      </c>
      <c r="D36" s="52">
        <f t="shared" si="4"/>
        <v>1.3568375746132478E-2</v>
      </c>
      <c r="E36" s="52">
        <f t="shared" si="5"/>
        <v>-0.47676650189008429</v>
      </c>
      <c r="F36" s="53">
        <f>'ER 2015'!B49</f>
        <v>17195000</v>
      </c>
      <c r="G36" s="52">
        <f t="shared" si="6"/>
        <v>4.9964840095077033E-2</v>
      </c>
      <c r="H36" s="55"/>
      <c r="I36" s="44"/>
    </row>
    <row r="37" spans="2:9">
      <c r="B37" s="48" t="s">
        <v>14</v>
      </c>
      <c r="C37" s="59">
        <f>F19</f>
        <v>23753000</v>
      </c>
      <c r="D37" s="49">
        <f t="shared" si="4"/>
        <v>3.5821899421794458E-2</v>
      </c>
      <c r="E37" s="49">
        <f t="shared" si="5"/>
        <v>-0.50326236981889672</v>
      </c>
      <c r="F37" s="50">
        <f>'ER 2015'!C53</f>
        <v>47818000</v>
      </c>
      <c r="G37" s="49">
        <f t="shared" si="6"/>
        <v>0.1389484573228493</v>
      </c>
      <c r="H37" s="55"/>
      <c r="I37" s="44"/>
    </row>
    <row r="38" spans="2:9">
      <c r="C38" s="55"/>
    </row>
    <row r="39" spans="2:9">
      <c r="B39" s="704" t="s">
        <v>15</v>
      </c>
      <c r="C39" s="705"/>
      <c r="D39" s="705"/>
      <c r="E39" s="705"/>
      <c r="F39" s="705"/>
      <c r="G39" s="706"/>
    </row>
    <row r="40" spans="2:9">
      <c r="B40" s="60"/>
      <c r="C40" s="61"/>
      <c r="D40" s="37"/>
      <c r="E40" s="37"/>
      <c r="F40" s="37"/>
      <c r="G40" s="62"/>
    </row>
    <row r="41" spans="2:9" ht="31.5">
      <c r="B41" s="442" t="s">
        <v>0</v>
      </c>
      <c r="C41" s="442">
        <v>2015</v>
      </c>
      <c r="D41" s="442" t="s">
        <v>1</v>
      </c>
      <c r="E41" s="442" t="s">
        <v>2</v>
      </c>
      <c r="F41" s="442">
        <v>2014</v>
      </c>
      <c r="G41" s="442" t="s">
        <v>1</v>
      </c>
      <c r="H41" s="38"/>
    </row>
    <row r="42" spans="2:9">
      <c r="B42" s="40" t="s">
        <v>3</v>
      </c>
      <c r="C42" s="42">
        <f>F26</f>
        <v>344142000</v>
      </c>
      <c r="D42" s="41">
        <f>(C42/$C$42)*100%</f>
        <v>1</v>
      </c>
      <c r="E42" s="41">
        <f>((C42/F42)-1)*100%</f>
        <v>4.5524685382381413</v>
      </c>
      <c r="F42" s="63">
        <f>'ER 2014'!C9</f>
        <v>61980000</v>
      </c>
      <c r="G42" s="41">
        <f>(F42/$F$42)*100%</f>
        <v>1</v>
      </c>
      <c r="H42" s="64"/>
    </row>
    <row r="43" spans="2:9">
      <c r="B43" s="45" t="s">
        <v>4</v>
      </c>
      <c r="C43" s="47">
        <f>F27</f>
        <v>243387000</v>
      </c>
      <c r="D43" s="46">
        <f t="shared" ref="D43:D52" si="7">(C43/$C$42)*100%</f>
        <v>0.70722841152779958</v>
      </c>
      <c r="E43" s="46">
        <f t="shared" ref="E43:E52" si="8">((C43/F43)-1)*100%</f>
        <v>3.6922498554077503</v>
      </c>
      <c r="F43" s="65">
        <f>'ER 2014'!C22</f>
        <v>51870000</v>
      </c>
      <c r="G43" s="46">
        <f t="shared" ref="G43:G52" si="9">(F43/$F$42)*100%</f>
        <v>0.83688286544046464</v>
      </c>
    </row>
    <row r="44" spans="2:9">
      <c r="B44" s="40" t="s">
        <v>5</v>
      </c>
      <c r="C44" s="42">
        <f>F28</f>
        <v>100755000</v>
      </c>
      <c r="D44" s="41">
        <f t="shared" si="7"/>
        <v>0.29277158847220042</v>
      </c>
      <c r="E44" s="41">
        <f t="shared" si="8"/>
        <v>8.965875370919882</v>
      </c>
      <c r="F44" s="63">
        <f>'ER 2014'!C24</f>
        <v>10110000</v>
      </c>
      <c r="G44" s="41">
        <f t="shared" si="9"/>
        <v>0.16311713455953533</v>
      </c>
    </row>
    <row r="45" spans="2:9">
      <c r="B45" s="45" t="s">
        <v>11</v>
      </c>
      <c r="C45" s="47">
        <f>F29</f>
        <v>28543000</v>
      </c>
      <c r="D45" s="46">
        <f t="shared" si="7"/>
        <v>8.2939600513741427E-2</v>
      </c>
      <c r="E45" s="46">
        <f t="shared" si="8"/>
        <v>13.743285123966942</v>
      </c>
      <c r="F45" s="65">
        <f>'ER 2014'!C32</f>
        <v>1936000</v>
      </c>
      <c r="G45" s="46">
        <f t="shared" si="9"/>
        <v>3.1235882542755729E-2</v>
      </c>
    </row>
    <row r="46" spans="2:9">
      <c r="B46" s="51" t="s">
        <v>7</v>
      </c>
      <c r="C46" s="53">
        <f t="shared" ref="C46:C52" si="10">F31</f>
        <v>72212000</v>
      </c>
      <c r="D46" s="52">
        <f t="shared" si="7"/>
        <v>0.209831987958459</v>
      </c>
      <c r="E46" s="52">
        <f t="shared" si="8"/>
        <v>7.8343528260337649</v>
      </c>
      <c r="F46" s="66">
        <f>'ER 2014'!C36</f>
        <v>8174000</v>
      </c>
      <c r="G46" s="52">
        <f t="shared" si="9"/>
        <v>0.13188125201677961</v>
      </c>
    </row>
    <row r="47" spans="2:9">
      <c r="B47" s="45" t="s">
        <v>8</v>
      </c>
      <c r="C47" s="47">
        <f t="shared" si="10"/>
        <v>25000</v>
      </c>
      <c r="D47" s="46">
        <f t="shared" si="7"/>
        <v>7.2644431659024474E-5</v>
      </c>
      <c r="E47" s="46">
        <v>0</v>
      </c>
      <c r="F47" s="65"/>
      <c r="G47" s="46">
        <f t="shared" si="9"/>
        <v>0</v>
      </c>
    </row>
    <row r="48" spans="2:9">
      <c r="B48" s="51" t="s">
        <v>9</v>
      </c>
      <c r="C48" s="53">
        <f t="shared" si="10"/>
        <v>3456000</v>
      </c>
      <c r="D48" s="52">
        <f t="shared" si="7"/>
        <v>1.0042366232543544E-2</v>
      </c>
      <c r="E48" s="52">
        <v>0</v>
      </c>
      <c r="F48" s="66"/>
      <c r="G48" s="52">
        <f t="shared" si="9"/>
        <v>0</v>
      </c>
    </row>
    <row r="49" spans="2:8">
      <c r="B49" s="45" t="s">
        <v>10</v>
      </c>
      <c r="C49" s="47">
        <f t="shared" si="10"/>
        <v>68781000</v>
      </c>
      <c r="D49" s="46">
        <f t="shared" si="7"/>
        <v>0.19986226615757449</v>
      </c>
      <c r="E49" s="46">
        <f t="shared" si="8"/>
        <v>7.4146072914117926</v>
      </c>
      <c r="F49" s="65">
        <f>F46</f>
        <v>8174000</v>
      </c>
      <c r="G49" s="46">
        <f t="shared" si="9"/>
        <v>0.13188125201677961</v>
      </c>
    </row>
    <row r="50" spans="2:8">
      <c r="B50" s="40" t="s">
        <v>12</v>
      </c>
      <c r="C50" s="42">
        <f t="shared" si="10"/>
        <v>3768000</v>
      </c>
      <c r="D50" s="41">
        <f t="shared" si="7"/>
        <v>1.0948968739648169E-2</v>
      </c>
      <c r="E50" s="41">
        <v>0</v>
      </c>
      <c r="F50" s="63">
        <v>0</v>
      </c>
      <c r="G50" s="41">
        <f t="shared" si="9"/>
        <v>0</v>
      </c>
    </row>
    <row r="51" spans="2:8">
      <c r="B51" s="45" t="s">
        <v>13</v>
      </c>
      <c r="C51" s="47">
        <f t="shared" si="10"/>
        <v>17195000</v>
      </c>
      <c r="D51" s="46">
        <f t="shared" si="7"/>
        <v>4.9964840095077033E-2</v>
      </c>
      <c r="E51" s="46">
        <v>0</v>
      </c>
      <c r="F51" s="65">
        <v>0</v>
      </c>
      <c r="G51" s="46">
        <f t="shared" si="9"/>
        <v>0</v>
      </c>
    </row>
    <row r="52" spans="2:8">
      <c r="B52" s="40" t="s">
        <v>14</v>
      </c>
      <c r="C52" s="42">
        <f t="shared" si="10"/>
        <v>47818000</v>
      </c>
      <c r="D52" s="41">
        <f t="shared" si="7"/>
        <v>0.1389484573228493</v>
      </c>
      <c r="E52" s="41">
        <f t="shared" si="8"/>
        <v>4.8500122339124054</v>
      </c>
      <c r="F52" s="63">
        <f>'ER 2014'!C36</f>
        <v>8174000</v>
      </c>
      <c r="G52" s="41">
        <f t="shared" si="9"/>
        <v>0.13188125201677961</v>
      </c>
    </row>
    <row r="53" spans="2:8">
      <c r="B53" s="67"/>
      <c r="C53" s="68">
        <v>0</v>
      </c>
      <c r="D53" s="69"/>
      <c r="E53" s="69"/>
      <c r="F53" s="69"/>
      <c r="G53" s="70"/>
    </row>
    <row r="54" spans="2:8">
      <c r="B54" s="662" t="s">
        <v>273</v>
      </c>
      <c r="C54" s="662"/>
      <c r="D54" s="662"/>
      <c r="E54" s="662"/>
      <c r="F54" s="662"/>
      <c r="G54" s="662"/>
    </row>
    <row r="55" spans="2:8" ht="15" customHeight="1">
      <c r="B55" s="71"/>
      <c r="C55" s="71"/>
      <c r="D55" s="71"/>
      <c r="E55" s="71"/>
      <c r="F55" s="71"/>
      <c r="G55" s="71"/>
    </row>
    <row r="56" spans="2:8" ht="33.75" customHeight="1">
      <c r="B56" s="442" t="s">
        <v>0</v>
      </c>
      <c r="C56" s="442">
        <v>2017</v>
      </c>
      <c r="D56" s="442" t="s">
        <v>1</v>
      </c>
      <c r="E56" s="442" t="s">
        <v>2</v>
      </c>
      <c r="F56" s="442">
        <v>2016</v>
      </c>
      <c r="G56" s="442" t="s">
        <v>1</v>
      </c>
    </row>
    <row r="57" spans="2:8" ht="15" customHeight="1">
      <c r="B57" s="40" t="s">
        <v>16</v>
      </c>
      <c r="C57" s="72">
        <f>'ESF 2017'!C12</f>
        <v>13274000</v>
      </c>
      <c r="D57" s="41">
        <f>(C57/$C$64)*100%</f>
        <v>1.3138281551572258E-2</v>
      </c>
      <c r="E57" s="41">
        <f>((C57/F57)-1)*100%</f>
        <v>2.633725704900082</v>
      </c>
      <c r="F57" s="42">
        <f t="shared" ref="F57:F64" si="11">C88</f>
        <v>3653000</v>
      </c>
      <c r="G57" s="41">
        <f>(F57/$F$64)*100%</f>
        <v>4.2523965566413869E-3</v>
      </c>
    </row>
    <row r="58" spans="2:8" ht="15" customHeight="1">
      <c r="B58" s="45" t="s">
        <v>17</v>
      </c>
      <c r="C58" s="73">
        <f>'ESF 2017'!C19</f>
        <v>423430000</v>
      </c>
      <c r="D58" s="46">
        <f t="shared" ref="D58:D64" si="12">(C58/$C$64)*100%</f>
        <v>0.41910068987360566</v>
      </c>
      <c r="E58" s="46">
        <f t="shared" ref="E58:E61" si="13">((C58/F58)-1)*100%</f>
        <v>2.1740665502275061</v>
      </c>
      <c r="F58" s="47">
        <f t="shared" si="11"/>
        <v>133403000</v>
      </c>
      <c r="G58" s="46">
        <f t="shared" ref="G58:G64" si="14">(F58/$F$64)*100%</f>
        <v>0.15529221402836871</v>
      </c>
    </row>
    <row r="59" spans="2:8" ht="15" customHeight="1">
      <c r="B59" s="74" t="s">
        <v>18</v>
      </c>
      <c r="C59" s="75">
        <f>'ESF 2017'!B15</f>
        <v>221026000</v>
      </c>
      <c r="D59" s="76">
        <f t="shared" si="12"/>
        <v>0.21876614571476646</v>
      </c>
      <c r="E59" s="76">
        <f t="shared" si="13"/>
        <v>0.91283351651680245</v>
      </c>
      <c r="F59" s="77">
        <f t="shared" si="11"/>
        <v>115549000</v>
      </c>
      <c r="G59" s="76">
        <f t="shared" si="14"/>
        <v>0.13450866951091037</v>
      </c>
    </row>
    <row r="60" spans="2:8" ht="15" customHeight="1">
      <c r="B60" s="78" t="s">
        <v>19</v>
      </c>
      <c r="C60" s="73">
        <f>'ESF 2017'!C21</f>
        <v>436704000</v>
      </c>
      <c r="D60" s="46">
        <f t="shared" si="12"/>
        <v>0.43223897142517792</v>
      </c>
      <c r="E60" s="46">
        <f t="shared" si="13"/>
        <v>2.1863180014008874</v>
      </c>
      <c r="F60" s="47">
        <f t="shared" si="11"/>
        <v>137056000</v>
      </c>
      <c r="G60" s="46">
        <f t="shared" si="14"/>
        <v>0.1595446105850101</v>
      </c>
      <c r="H60" s="55"/>
    </row>
    <row r="61" spans="2:8" ht="15" customHeight="1">
      <c r="B61" s="74" t="s">
        <v>22</v>
      </c>
      <c r="C61" s="75">
        <f>'ESF 2017'!C29+'ESF 2017'!C34+'ESF 2017'!C39</f>
        <v>569567000</v>
      </c>
      <c r="D61" s="76">
        <f t="shared" si="12"/>
        <v>0.5637435293418982</v>
      </c>
      <c r="E61" s="76">
        <f t="shared" si="13"/>
        <v>-0.20950563481929718</v>
      </c>
      <c r="F61" s="77">
        <f t="shared" si="11"/>
        <v>720520000</v>
      </c>
      <c r="G61" s="76">
        <f t="shared" si="14"/>
        <v>0.83874535094203451</v>
      </c>
    </row>
    <row r="62" spans="2:8" ht="15" customHeight="1">
      <c r="B62" s="45" t="s">
        <v>23</v>
      </c>
      <c r="C62" s="73">
        <f>'ESF 2017'!C43</f>
        <v>4059000</v>
      </c>
      <c r="D62" s="46">
        <f t="shared" si="12"/>
        <v>4.0174992329238962E-3</v>
      </c>
      <c r="E62" s="46">
        <v>0</v>
      </c>
      <c r="F62" s="47">
        <f t="shared" si="11"/>
        <v>1469000</v>
      </c>
      <c r="G62" s="46">
        <f t="shared" si="14"/>
        <v>1.7100384729554332E-3</v>
      </c>
    </row>
    <row r="63" spans="2:8" ht="15" customHeight="1">
      <c r="B63" s="79" t="s">
        <v>24</v>
      </c>
      <c r="C63" s="75">
        <f>'ESF 2017'!C45</f>
        <v>573626000</v>
      </c>
      <c r="D63" s="76">
        <f t="shared" si="12"/>
        <v>0.56776102857482214</v>
      </c>
      <c r="E63" s="76">
        <f t="shared" ref="E63:E64" si="15">((C63/F63)-1)*100%</f>
        <v>-0.20549205043290131</v>
      </c>
      <c r="F63" s="77">
        <f t="shared" si="11"/>
        <v>721989000</v>
      </c>
      <c r="G63" s="76">
        <f t="shared" si="14"/>
        <v>0.84045538941498987</v>
      </c>
    </row>
    <row r="64" spans="2:8" ht="15" customHeight="1">
      <c r="B64" s="78" t="s">
        <v>25</v>
      </c>
      <c r="C64" s="73">
        <f>'ESF 2017'!C47</f>
        <v>1010330000</v>
      </c>
      <c r="D64" s="46">
        <f t="shared" si="12"/>
        <v>1</v>
      </c>
      <c r="E64" s="46">
        <f t="shared" si="15"/>
        <v>0.17610835288023319</v>
      </c>
      <c r="F64" s="47">
        <f t="shared" si="11"/>
        <v>859045000</v>
      </c>
      <c r="G64" s="46">
        <f t="shared" si="14"/>
        <v>1</v>
      </c>
    </row>
    <row r="65" spans="2:10" ht="15" customHeight="1"/>
    <row r="66" spans="2:10" ht="30.75" customHeight="1">
      <c r="B66" s="442" t="s">
        <v>0</v>
      </c>
      <c r="C66" s="442">
        <v>2017</v>
      </c>
      <c r="D66" s="442" t="s">
        <v>1</v>
      </c>
      <c r="E66" s="442" t="s">
        <v>2</v>
      </c>
      <c r="F66" s="442">
        <v>2016</v>
      </c>
      <c r="G66" s="442" t="s">
        <v>1</v>
      </c>
    </row>
    <row r="67" spans="2:10" ht="15" customHeight="1">
      <c r="B67" s="40" t="s">
        <v>26</v>
      </c>
      <c r="C67" s="42">
        <f>'ESF 2017'!B57</f>
        <v>53044000</v>
      </c>
      <c r="D67" s="41">
        <f>(C67/$C$82)*100%</f>
        <v>5.2501657874159925E-2</v>
      </c>
      <c r="E67" s="41">
        <v>0</v>
      </c>
      <c r="F67" s="63">
        <f t="shared" ref="F67:F74" si="16">C98</f>
        <v>0</v>
      </c>
      <c r="G67" s="41">
        <f>(F67/$F$82)*100%</f>
        <v>0</v>
      </c>
    </row>
    <row r="68" spans="2:10" ht="15" customHeight="1">
      <c r="B68" s="45" t="s">
        <v>27</v>
      </c>
      <c r="C68" s="47">
        <f>'ESF 2017'!B61</f>
        <v>30699000</v>
      </c>
      <c r="D68" s="46">
        <f t="shared" ref="D68:D74" si="17">(C68/$C$82)*100%</f>
        <v>3.0385121692912218E-2</v>
      </c>
      <c r="E68" s="46">
        <v>0</v>
      </c>
      <c r="F68" s="65">
        <f t="shared" si="16"/>
        <v>38622000</v>
      </c>
      <c r="G68" s="46">
        <f t="shared" ref="G68:G74" si="18">(F68/$F$82)*100%</f>
        <v>4.4959227979907923E-2</v>
      </c>
    </row>
    <row r="69" spans="2:10" ht="15" customHeight="1">
      <c r="B69" s="40" t="s">
        <v>28</v>
      </c>
      <c r="C69" s="42">
        <f>'ESF 2017'!C66</f>
        <v>1064000</v>
      </c>
      <c r="D69" s="41">
        <f t="shared" si="17"/>
        <v>1.053121257410945E-3</v>
      </c>
      <c r="E69" s="41">
        <f t="shared" ref="E69:E70" si="19">((C69/F69)-1)*100%</f>
        <v>-0.98509052183173584</v>
      </c>
      <c r="F69" s="63">
        <f t="shared" si="16"/>
        <v>71364000</v>
      </c>
      <c r="G69" s="41">
        <f t="shared" si="18"/>
        <v>8.3073645734507512E-2</v>
      </c>
      <c r="I69" s="39"/>
      <c r="J69" s="80"/>
    </row>
    <row r="70" spans="2:10" ht="15" customHeight="1">
      <c r="B70" s="45" t="s">
        <v>29</v>
      </c>
      <c r="C70" s="47">
        <f>'ESF 2017'!C75</f>
        <v>16267000.000000002</v>
      </c>
      <c r="D70" s="46">
        <f t="shared" si="17"/>
        <v>1.6100679975849477E-2</v>
      </c>
      <c r="E70" s="46">
        <f t="shared" si="19"/>
        <v>0.32943772474664934</v>
      </c>
      <c r="F70" s="65">
        <f t="shared" si="16"/>
        <v>12236000</v>
      </c>
      <c r="G70" s="46">
        <f t="shared" si="18"/>
        <v>1.4243724135522585E-2</v>
      </c>
      <c r="I70" s="39"/>
      <c r="J70" s="80"/>
    </row>
    <row r="71" spans="2:10" ht="15" customHeight="1">
      <c r="B71" s="40" t="s">
        <v>30</v>
      </c>
      <c r="C71" s="42">
        <v>0</v>
      </c>
      <c r="D71" s="41">
        <f t="shared" si="17"/>
        <v>0</v>
      </c>
      <c r="E71" s="41">
        <v>0</v>
      </c>
      <c r="F71" s="63">
        <f t="shared" si="16"/>
        <v>2190000</v>
      </c>
      <c r="G71" s="41">
        <f t="shared" si="18"/>
        <v>2.5493425839158601E-3</v>
      </c>
      <c r="I71" s="39"/>
      <c r="J71" s="80"/>
    </row>
    <row r="72" spans="2:10" ht="15" customHeight="1">
      <c r="B72" s="45" t="s">
        <v>33</v>
      </c>
      <c r="C72" s="47">
        <f>'ESF 2017'!C71</f>
        <v>180714000</v>
      </c>
      <c r="D72" s="46">
        <f t="shared" si="17"/>
        <v>0.17886631100729464</v>
      </c>
      <c r="E72" s="46">
        <v>0</v>
      </c>
      <c r="F72" s="65">
        <f t="shared" si="16"/>
        <v>37668000</v>
      </c>
      <c r="G72" s="46">
        <f t="shared" si="18"/>
        <v>4.3848692443352794E-2</v>
      </c>
      <c r="I72" s="39"/>
      <c r="J72" s="80"/>
    </row>
    <row r="73" spans="2:10" ht="15" customHeight="1">
      <c r="B73" s="79" t="s">
        <v>31</v>
      </c>
      <c r="C73" s="77">
        <f>'ESF 2017'!C77</f>
        <v>281788000</v>
      </c>
      <c r="D73" s="76">
        <f t="shared" si="17"/>
        <v>0.27890689180762723</v>
      </c>
      <c r="E73" s="76">
        <f t="shared" ref="E73:E74" si="20">((C73/F73)-1)*100%</f>
        <v>0.73857354392892405</v>
      </c>
      <c r="F73" s="81">
        <f t="shared" si="16"/>
        <v>162080000</v>
      </c>
      <c r="G73" s="76">
        <f t="shared" si="18"/>
        <v>0.18867463287720668</v>
      </c>
      <c r="I73" s="39"/>
      <c r="J73" s="80"/>
    </row>
    <row r="74" spans="2:10" ht="15" customHeight="1">
      <c r="B74" s="78" t="s">
        <v>32</v>
      </c>
      <c r="C74" s="47">
        <f>+C73</f>
        <v>281788000</v>
      </c>
      <c r="D74" s="46">
        <f t="shared" si="17"/>
        <v>0.27890689180762723</v>
      </c>
      <c r="E74" s="46">
        <f t="shared" si="20"/>
        <v>0.73857354392892405</v>
      </c>
      <c r="F74" s="65">
        <f t="shared" si="16"/>
        <v>162080000</v>
      </c>
      <c r="G74" s="46">
        <f t="shared" si="18"/>
        <v>0.18867463287720668</v>
      </c>
      <c r="I74" s="39"/>
      <c r="J74" s="80"/>
    </row>
    <row r="75" spans="2:10" ht="15" customHeight="1">
      <c r="I75" s="39"/>
      <c r="J75" s="80"/>
    </row>
    <row r="76" spans="2:10" ht="30.75" customHeight="1">
      <c r="B76" s="442" t="s">
        <v>0</v>
      </c>
      <c r="C76" s="442">
        <v>2017</v>
      </c>
      <c r="D76" s="442" t="s">
        <v>1</v>
      </c>
      <c r="E76" s="442" t="s">
        <v>2</v>
      </c>
      <c r="F76" s="442">
        <v>2016</v>
      </c>
      <c r="G76" s="442" t="s">
        <v>1</v>
      </c>
      <c r="I76" s="39"/>
      <c r="J76" s="80"/>
    </row>
    <row r="77" spans="2:10" ht="15" customHeight="1">
      <c r="B77" s="40" t="s">
        <v>34</v>
      </c>
      <c r="C77" s="42">
        <f>'ESF 2017'!B81</f>
        <v>620000000</v>
      </c>
      <c r="D77" s="52">
        <f>(C77/$C$82)*100%</f>
        <v>0.61366088307780631</v>
      </c>
      <c r="E77" s="52">
        <f>((C77/F77)-1)*100%</f>
        <v>0</v>
      </c>
      <c r="F77" s="53">
        <f t="shared" ref="F77:F82" si="21">C108</f>
        <v>620000000</v>
      </c>
      <c r="G77" s="52">
        <f>(F77/$F$82)*100%</f>
        <v>0.72173169042366814</v>
      </c>
      <c r="I77" s="39"/>
      <c r="J77" s="80"/>
    </row>
    <row r="78" spans="2:10" ht="15" customHeight="1">
      <c r="B78" s="45" t="s">
        <v>35</v>
      </c>
      <c r="C78" s="47">
        <f>'ESF 2017'!B85</f>
        <v>7696000</v>
      </c>
      <c r="D78" s="46">
        <f t="shared" ref="D78:D82" si="22">(C78/$C$82)*100%</f>
        <v>7.6173131551077371E-3</v>
      </c>
      <c r="E78" s="46">
        <v>0</v>
      </c>
      <c r="F78" s="47">
        <f t="shared" si="21"/>
        <v>5321000</v>
      </c>
      <c r="G78" s="46">
        <f t="shared" ref="G78:G82" si="23">(F78/$F$82)*100%</f>
        <v>6.194087620555384E-3</v>
      </c>
      <c r="I78" s="39"/>
      <c r="J78" s="80"/>
    </row>
    <row r="79" spans="2:10" ht="15" customHeight="1">
      <c r="B79" s="74" t="s">
        <v>36</v>
      </c>
      <c r="C79" s="77">
        <f>'ESF 2017'!B89</f>
        <v>31577000</v>
      </c>
      <c r="D79" s="76">
        <f t="shared" si="22"/>
        <v>3.1254144685399818E-2</v>
      </c>
      <c r="E79" s="76">
        <f t="shared" ref="E79:E82" si="24">((C79/F79)-1)*100%</f>
        <v>0.32938997179303664</v>
      </c>
      <c r="F79" s="77">
        <f t="shared" si="21"/>
        <v>23753000</v>
      </c>
      <c r="G79" s="76">
        <f t="shared" si="23"/>
        <v>2.7650472326828046E-2</v>
      </c>
      <c r="I79" s="39"/>
      <c r="J79" s="80"/>
    </row>
    <row r="80" spans="2:10" ht="15" customHeight="1">
      <c r="B80" s="45" t="s">
        <v>37</v>
      </c>
      <c r="C80" s="47">
        <f>'ESF 2017'!C94</f>
        <v>69269000</v>
      </c>
      <c r="D80" s="46">
        <f t="shared" si="22"/>
        <v>6.8560767274058965E-2</v>
      </c>
      <c r="E80" s="46">
        <f t="shared" si="24"/>
        <v>0.44638867428118023</v>
      </c>
      <c r="F80" s="47">
        <f t="shared" si="21"/>
        <v>47891000</v>
      </c>
      <c r="G80" s="46">
        <f t="shared" si="23"/>
        <v>5.574911675174176E-2</v>
      </c>
      <c r="I80" s="39"/>
      <c r="J80" s="80"/>
    </row>
    <row r="81" spans="2:10" ht="15" customHeight="1">
      <c r="B81" s="82" t="s">
        <v>38</v>
      </c>
      <c r="C81" s="42">
        <f>'ESF 2017'!C96</f>
        <v>728542000</v>
      </c>
      <c r="D81" s="52">
        <f t="shared" si="22"/>
        <v>0.72109310819237282</v>
      </c>
      <c r="E81" s="52">
        <f t="shared" si="24"/>
        <v>4.5306435760762653E-2</v>
      </c>
      <c r="F81" s="53">
        <f t="shared" si="21"/>
        <v>696965000</v>
      </c>
      <c r="G81" s="52">
        <f t="shared" si="23"/>
        <v>0.81132536712279335</v>
      </c>
      <c r="I81" s="39"/>
      <c r="J81" s="80"/>
    </row>
    <row r="82" spans="2:10" ht="15" customHeight="1">
      <c r="B82" s="78" t="s">
        <v>39</v>
      </c>
      <c r="C82" s="47">
        <f>'ESF 2017'!C98</f>
        <v>1010330000</v>
      </c>
      <c r="D82" s="46">
        <f t="shared" si="22"/>
        <v>1</v>
      </c>
      <c r="E82" s="46">
        <f t="shared" si="24"/>
        <v>0.17610835288023319</v>
      </c>
      <c r="F82" s="47">
        <f t="shared" si="21"/>
        <v>859045000</v>
      </c>
      <c r="G82" s="46">
        <f t="shared" si="23"/>
        <v>1</v>
      </c>
      <c r="I82" s="39"/>
      <c r="J82" s="80"/>
    </row>
    <row r="83" spans="2:10" ht="15" customHeight="1">
      <c r="B83" s="83"/>
      <c r="C83" s="84"/>
      <c r="D83" s="85"/>
      <c r="E83" s="85"/>
      <c r="F83" s="84"/>
      <c r="G83" s="85"/>
      <c r="I83" s="39"/>
      <c r="J83" s="80"/>
    </row>
    <row r="84" spans="2:10" ht="15" customHeight="1">
      <c r="B84" s="71"/>
      <c r="C84" s="71"/>
      <c r="D84" s="71"/>
      <c r="E84" s="71"/>
      <c r="F84" s="71"/>
      <c r="G84" s="71"/>
      <c r="I84" s="39"/>
      <c r="J84" s="80"/>
    </row>
    <row r="85" spans="2:10" ht="20.25" customHeight="1">
      <c r="B85" s="684" t="s">
        <v>273</v>
      </c>
      <c r="C85" s="684"/>
      <c r="D85" s="684"/>
      <c r="E85" s="684"/>
      <c r="F85" s="684"/>
      <c r="G85" s="684"/>
      <c r="I85" s="39"/>
      <c r="J85" s="80"/>
    </row>
    <row r="86" spans="2:10" ht="15" customHeight="1">
      <c r="C86" s="55"/>
      <c r="I86" s="39"/>
      <c r="J86" s="80"/>
    </row>
    <row r="87" spans="2:10" ht="31.5">
      <c r="B87" s="442" t="s">
        <v>0</v>
      </c>
      <c r="C87" s="442">
        <v>2016</v>
      </c>
      <c r="D87" s="442" t="s">
        <v>1</v>
      </c>
      <c r="E87" s="442" t="s">
        <v>2</v>
      </c>
      <c r="F87" s="442">
        <v>2015</v>
      </c>
      <c r="G87" s="442" t="s">
        <v>1</v>
      </c>
      <c r="H87" s="38"/>
      <c r="I87" s="39"/>
      <c r="J87" s="80"/>
    </row>
    <row r="88" spans="2:10">
      <c r="B88" s="40" t="s">
        <v>16</v>
      </c>
      <c r="C88" s="72">
        <f>+'ESF 2016'!C12</f>
        <v>3653000</v>
      </c>
      <c r="D88" s="41">
        <f t="shared" ref="D88:D95" si="25">(C88/$C$95)*100%</f>
        <v>4.2523965566413869E-3</v>
      </c>
      <c r="E88" s="41">
        <f>((C88/F88)-1)*100%</f>
        <v>0.19184339314845023</v>
      </c>
      <c r="F88" s="42">
        <f>'ESF 2015'!C12</f>
        <v>3065000</v>
      </c>
      <c r="G88" s="41">
        <f t="shared" ref="G88:G95" si="26">(F88/$F$95)*100%</f>
        <v>3.8396444226189508E-3</v>
      </c>
      <c r="I88" s="39"/>
      <c r="J88" s="80"/>
    </row>
    <row r="89" spans="2:10">
      <c r="B89" s="45" t="s">
        <v>17</v>
      </c>
      <c r="C89" s="73">
        <f>+'ESF 2016'!C18</f>
        <v>133403000</v>
      </c>
      <c r="D89" s="46">
        <f t="shared" si="25"/>
        <v>0.15529221402836871</v>
      </c>
      <c r="E89" s="46">
        <f t="shared" ref="E89:E95" si="27">((C89/F89)-1)*100%</f>
        <v>2.0259719638887628</v>
      </c>
      <c r="F89" s="47">
        <f>'ESF 2015'!C17</f>
        <v>44086000</v>
      </c>
      <c r="G89" s="46">
        <f t="shared" si="26"/>
        <v>5.5228242745702795E-2</v>
      </c>
      <c r="I89" s="39"/>
      <c r="J89" s="80"/>
    </row>
    <row r="90" spans="2:10">
      <c r="B90" s="74" t="s">
        <v>18</v>
      </c>
      <c r="C90" s="75">
        <f>+'ESF 2016'!B15</f>
        <v>115549000</v>
      </c>
      <c r="D90" s="76">
        <f t="shared" si="25"/>
        <v>0.13450866951091037</v>
      </c>
      <c r="E90" s="76">
        <f t="shared" si="27"/>
        <v>2.0532170696261063</v>
      </c>
      <c r="F90" s="77">
        <f>'ESF 2015'!B15</f>
        <v>37845000</v>
      </c>
      <c r="G90" s="76">
        <f t="shared" si="26"/>
        <v>4.7409899893642478E-2</v>
      </c>
      <c r="I90" s="39"/>
      <c r="J90" s="80"/>
    </row>
    <row r="91" spans="2:10">
      <c r="B91" s="78" t="s">
        <v>19</v>
      </c>
      <c r="C91" s="73">
        <f>+'ESF 2016'!C20</f>
        <v>137056000</v>
      </c>
      <c r="D91" s="46">
        <f t="shared" si="25"/>
        <v>0.1595446105850101</v>
      </c>
      <c r="E91" s="46">
        <f t="shared" si="27"/>
        <v>1.9067464104684948</v>
      </c>
      <c r="F91" s="47">
        <f>'ESF 2015'!C19</f>
        <v>47151000</v>
      </c>
      <c r="G91" s="46">
        <f t="shared" si="26"/>
        <v>5.9067887168321745E-2</v>
      </c>
    </row>
    <row r="92" spans="2:10">
      <c r="B92" s="40" t="s">
        <v>22</v>
      </c>
      <c r="C92" s="72">
        <f>+'ESF 2016'!C37</f>
        <v>720520000</v>
      </c>
      <c r="D92" s="41">
        <f t="shared" si="25"/>
        <v>0.83874535094203451</v>
      </c>
      <c r="E92" s="41">
        <f t="shared" si="27"/>
        <v>-4.0713620023964836E-2</v>
      </c>
      <c r="F92" s="42">
        <f>'ESF 2015'!B24</f>
        <v>751100000</v>
      </c>
      <c r="G92" s="41">
        <f t="shared" si="26"/>
        <v>0.94093211283167821</v>
      </c>
    </row>
    <row r="93" spans="2:10">
      <c r="B93" s="45" t="s">
        <v>23</v>
      </c>
      <c r="C93" s="73">
        <f>+'ESF 2016'!C41</f>
        <v>1469000</v>
      </c>
      <c r="D93" s="46">
        <f t="shared" si="25"/>
        <v>1.7100384729554332E-3</v>
      </c>
      <c r="E93" s="46">
        <v>0</v>
      </c>
      <c r="F93" s="47">
        <v>0</v>
      </c>
      <c r="G93" s="46">
        <f t="shared" si="26"/>
        <v>0</v>
      </c>
    </row>
    <row r="94" spans="2:10">
      <c r="B94" s="79" t="s">
        <v>24</v>
      </c>
      <c r="C94" s="75">
        <f>+'ESF 2016'!C43</f>
        <v>721989000</v>
      </c>
      <c r="D94" s="76">
        <f t="shared" si="25"/>
        <v>0.84045538941498987</v>
      </c>
      <c r="E94" s="76">
        <f t="shared" si="27"/>
        <v>-3.8757821861270192E-2</v>
      </c>
      <c r="F94" s="77">
        <f>'ESF 2015'!C27</f>
        <v>751100000</v>
      </c>
      <c r="G94" s="76">
        <f t="shared" si="26"/>
        <v>0.94093211283167821</v>
      </c>
    </row>
    <row r="95" spans="2:10">
      <c r="B95" s="78" t="s">
        <v>25</v>
      </c>
      <c r="C95" s="73">
        <f>+'ESF 2016'!C45</f>
        <v>859045000</v>
      </c>
      <c r="D95" s="46">
        <f t="shared" si="25"/>
        <v>1</v>
      </c>
      <c r="E95" s="46">
        <f t="shared" si="27"/>
        <v>7.6159002619476723E-2</v>
      </c>
      <c r="F95" s="47">
        <f>'ESF 2015'!C29</f>
        <v>798251000</v>
      </c>
      <c r="G95" s="46">
        <f t="shared" si="26"/>
        <v>1</v>
      </c>
    </row>
    <row r="97" spans="2:7" ht="31.5">
      <c r="B97" s="442" t="s">
        <v>0</v>
      </c>
      <c r="C97" s="442">
        <v>2016</v>
      </c>
      <c r="D97" s="442" t="s">
        <v>1</v>
      </c>
      <c r="E97" s="442" t="s">
        <v>2</v>
      </c>
      <c r="F97" s="442">
        <v>2015</v>
      </c>
      <c r="G97" s="442" t="s">
        <v>1</v>
      </c>
    </row>
    <row r="98" spans="2:7">
      <c r="B98" s="40" t="s">
        <v>26</v>
      </c>
      <c r="C98" s="42">
        <v>0</v>
      </c>
      <c r="D98" s="41">
        <f t="shared" ref="D98:D104" si="28">(C98/$C$113)*100%</f>
        <v>0</v>
      </c>
      <c r="E98" s="41">
        <v>0</v>
      </c>
      <c r="F98" s="63">
        <v>0</v>
      </c>
      <c r="G98" s="41">
        <f t="shared" ref="G98:G104" si="29">(F98/$F$113)*100%</f>
        <v>0</v>
      </c>
    </row>
    <row r="99" spans="2:7">
      <c r="B99" s="45" t="s">
        <v>27</v>
      </c>
      <c r="C99" s="47">
        <f>+'ESF 2016'!C57</f>
        <v>38622000</v>
      </c>
      <c r="D99" s="46">
        <f t="shared" si="28"/>
        <v>4.4959227979907923E-2</v>
      </c>
      <c r="E99" s="46">
        <v>0</v>
      </c>
      <c r="F99" s="65">
        <v>0</v>
      </c>
      <c r="G99" s="46">
        <f t="shared" si="29"/>
        <v>0</v>
      </c>
    </row>
    <row r="100" spans="2:7">
      <c r="B100" s="40" t="s">
        <v>28</v>
      </c>
      <c r="C100" s="42">
        <f>+'ESF 2016'!C64</f>
        <v>71364000</v>
      </c>
      <c r="D100" s="41">
        <f t="shared" si="28"/>
        <v>8.3073645734507512E-2</v>
      </c>
      <c r="E100" s="41">
        <f t="shared" ref="E100:E105" si="30">((C100/F100)-1)*100%</f>
        <v>-0.3143087743572005</v>
      </c>
      <c r="F100" s="63">
        <f>'ESF 2015'!C37</f>
        <v>104076000</v>
      </c>
      <c r="G100" s="41">
        <f t="shared" si="29"/>
        <v>0.13038004336981726</v>
      </c>
    </row>
    <row r="101" spans="2:7">
      <c r="B101" s="45" t="s">
        <v>29</v>
      </c>
      <c r="C101" s="47">
        <f>+'ESF 2016'!C77</f>
        <v>12236000</v>
      </c>
      <c r="D101" s="46">
        <f t="shared" si="28"/>
        <v>1.4243724135522585E-2</v>
      </c>
      <c r="E101" s="46">
        <f t="shared" si="30"/>
        <v>-0.41630491818919046</v>
      </c>
      <c r="F101" s="65">
        <f>'ESF 2015'!C42</f>
        <v>20963000</v>
      </c>
      <c r="G101" s="46">
        <f t="shared" si="29"/>
        <v>2.6261163468633299E-2</v>
      </c>
    </row>
    <row r="102" spans="2:7">
      <c r="B102" s="40" t="s">
        <v>30</v>
      </c>
      <c r="C102" s="42">
        <f>+'ESF 2016'!C68</f>
        <v>2190000</v>
      </c>
      <c r="D102" s="41">
        <f t="shared" si="28"/>
        <v>2.5493425839158601E-3</v>
      </c>
      <c r="E102" s="41">
        <v>0</v>
      </c>
      <c r="F102" s="63"/>
      <c r="G102" s="41">
        <f t="shared" si="29"/>
        <v>0</v>
      </c>
    </row>
    <row r="103" spans="2:7">
      <c r="B103" s="45" t="s">
        <v>33</v>
      </c>
      <c r="C103" s="47">
        <f>+'ESF 2016'!C72</f>
        <v>37668000</v>
      </c>
      <c r="D103" s="46">
        <f t="shared" si="28"/>
        <v>4.3848692443352794E-2</v>
      </c>
      <c r="E103" s="46">
        <v>0</v>
      </c>
      <c r="F103" s="65"/>
      <c r="G103" s="46">
        <f t="shared" si="29"/>
        <v>0</v>
      </c>
    </row>
    <row r="104" spans="2:7">
      <c r="B104" s="79" t="s">
        <v>31</v>
      </c>
      <c r="C104" s="77">
        <f>+'ESF 2016'!C79</f>
        <v>162080000</v>
      </c>
      <c r="D104" s="76">
        <f t="shared" si="28"/>
        <v>0.18867463287720668</v>
      </c>
      <c r="E104" s="76">
        <f t="shared" si="30"/>
        <v>0.29623557450075566</v>
      </c>
      <c r="F104" s="81">
        <f>'ESF 2015'!C44</f>
        <v>125039000</v>
      </c>
      <c r="G104" s="76">
        <f t="shared" si="29"/>
        <v>0.15664120683845056</v>
      </c>
    </row>
    <row r="105" spans="2:7">
      <c r="B105" s="78" t="s">
        <v>32</v>
      </c>
      <c r="C105" s="47">
        <f>+C104</f>
        <v>162080000</v>
      </c>
      <c r="D105" s="46">
        <f>(C105/$C$113)*100%</f>
        <v>0.18867463287720668</v>
      </c>
      <c r="E105" s="46">
        <f t="shared" si="30"/>
        <v>0.29623557450075566</v>
      </c>
      <c r="F105" s="65">
        <f>'ESF 2015'!C44</f>
        <v>125039000</v>
      </c>
      <c r="G105" s="46">
        <f>(F105/$F$113)*100%</f>
        <v>0.15664120683845056</v>
      </c>
    </row>
    <row r="107" spans="2:7" ht="31.5">
      <c r="B107" s="442" t="s">
        <v>0</v>
      </c>
      <c r="C107" s="442">
        <v>2016</v>
      </c>
      <c r="D107" s="442" t="s">
        <v>1</v>
      </c>
      <c r="E107" s="442" t="s">
        <v>2</v>
      </c>
      <c r="F107" s="442">
        <v>2015</v>
      </c>
      <c r="G107" s="442" t="s">
        <v>1</v>
      </c>
    </row>
    <row r="108" spans="2:7">
      <c r="B108" s="74" t="s">
        <v>34</v>
      </c>
      <c r="C108" s="77">
        <f>+'ESF 2016'!C84</f>
        <v>620000000</v>
      </c>
      <c r="D108" s="76">
        <f t="shared" ref="D108:D112" si="31">(C108/$C$113)*100%</f>
        <v>0.72173169042366814</v>
      </c>
      <c r="E108" s="76">
        <f>((C108/F108)-1)*100%</f>
        <v>0</v>
      </c>
      <c r="F108" s="77">
        <f>'ESF 2015'!B54</f>
        <v>620000000</v>
      </c>
      <c r="G108" s="76">
        <f t="shared" ref="G108:G112" si="32">(F108/$F$113)*100%</f>
        <v>0.77669805612520371</v>
      </c>
    </row>
    <row r="109" spans="2:7">
      <c r="B109" s="45" t="s">
        <v>35</v>
      </c>
      <c r="C109" s="47">
        <f>+'ESF 2016'!C88</f>
        <v>5321000</v>
      </c>
      <c r="D109" s="46">
        <f t="shared" si="31"/>
        <v>6.194087620555384E-3</v>
      </c>
      <c r="E109" s="46">
        <v>0</v>
      </c>
      <c r="F109" s="47"/>
      <c r="G109" s="46">
        <f t="shared" si="32"/>
        <v>0</v>
      </c>
    </row>
    <row r="110" spans="2:7">
      <c r="B110" s="74" t="s">
        <v>36</v>
      </c>
      <c r="C110" s="77">
        <f>+'ESF 2016'!C92</f>
        <v>23753000</v>
      </c>
      <c r="D110" s="76">
        <f t="shared" si="31"/>
        <v>2.7650472326828046E-2</v>
      </c>
      <c r="E110" s="76">
        <f t="shared" ref="E110:E113" si="33">((C110/F110)-1)*100%</f>
        <v>-0.50326236981889672</v>
      </c>
      <c r="F110" s="77">
        <f>'ESF 2015'!B58</f>
        <v>47818000</v>
      </c>
      <c r="G110" s="76">
        <f t="shared" si="32"/>
        <v>5.9903463948056436E-2</v>
      </c>
    </row>
    <row r="111" spans="2:7">
      <c r="B111" s="45" t="s">
        <v>37</v>
      </c>
      <c r="C111" s="47">
        <f>+'ESF 2016'!C96</f>
        <v>47891000</v>
      </c>
      <c r="D111" s="46">
        <f t="shared" si="31"/>
        <v>5.574911675174176E-2</v>
      </c>
      <c r="E111" s="46">
        <f t="shared" si="33"/>
        <v>8.8642636457260551</v>
      </c>
      <c r="F111" s="47">
        <f>'ESF 2015'!B66</f>
        <v>4855000</v>
      </c>
      <c r="G111" s="46">
        <f t="shared" si="32"/>
        <v>6.0820468749804256E-3</v>
      </c>
    </row>
    <row r="112" spans="2:7">
      <c r="B112" s="79" t="s">
        <v>38</v>
      </c>
      <c r="C112" s="77">
        <f>+'ESF 2016'!C98</f>
        <v>696965000</v>
      </c>
      <c r="D112" s="76">
        <f t="shared" si="31"/>
        <v>0.81132536712279335</v>
      </c>
      <c r="E112" s="76">
        <f t="shared" si="33"/>
        <v>3.5283090616328838E-2</v>
      </c>
      <c r="F112" s="77">
        <f>'ESF 2015'!C69</f>
        <v>673212000</v>
      </c>
      <c r="G112" s="76">
        <f t="shared" si="32"/>
        <v>0.84335879316154949</v>
      </c>
    </row>
    <row r="113" spans="2:7">
      <c r="B113" s="78" t="s">
        <v>39</v>
      </c>
      <c r="C113" s="47">
        <f>+'ESF 2016'!C100</f>
        <v>859045000</v>
      </c>
      <c r="D113" s="46">
        <f>(C113/$C$113)*100%</f>
        <v>1</v>
      </c>
      <c r="E113" s="46">
        <f t="shared" si="33"/>
        <v>7.6159002619476723E-2</v>
      </c>
      <c r="F113" s="47">
        <f>'ESF 2015'!C71</f>
        <v>798251000</v>
      </c>
      <c r="G113" s="46">
        <f>(F113/$F$113)*100%</f>
        <v>1</v>
      </c>
    </row>
    <row r="115" spans="2:7">
      <c r="B115" s="662" t="s">
        <v>273</v>
      </c>
      <c r="C115" s="662"/>
      <c r="D115" s="662"/>
      <c r="E115" s="662"/>
      <c r="F115" s="662"/>
      <c r="G115" s="662"/>
    </row>
    <row r="116" spans="2:7">
      <c r="C116" s="55"/>
    </row>
    <row r="117" spans="2:7" ht="31.5">
      <c r="B117" s="442" t="s">
        <v>0</v>
      </c>
      <c r="C117" s="442">
        <v>2015</v>
      </c>
      <c r="D117" s="442" t="s">
        <v>1</v>
      </c>
      <c r="E117" s="442" t="s">
        <v>2</v>
      </c>
      <c r="F117" s="442">
        <v>2014</v>
      </c>
      <c r="G117" s="442" t="s">
        <v>1</v>
      </c>
    </row>
    <row r="118" spans="2:7">
      <c r="B118" s="40" t="s">
        <v>16</v>
      </c>
      <c r="C118" s="42">
        <f>F88</f>
        <v>3065000</v>
      </c>
      <c r="D118" s="41">
        <f t="shared" ref="D118:D123" si="34">(C118/$C$124)*100%</f>
        <v>3.8396444226189508E-3</v>
      </c>
      <c r="E118" s="41">
        <f>((C118/F118)-1)*100%</f>
        <v>-0.93449315009938227</v>
      </c>
      <c r="F118" s="42">
        <f>'BALANCE 2014'!C12</f>
        <v>46789000</v>
      </c>
      <c r="G118" s="41">
        <f t="shared" ref="G118:G123" si="35">(F118/$F$124)*100%</f>
        <v>7.1118386753062382E-2</v>
      </c>
    </row>
    <row r="119" spans="2:7">
      <c r="B119" s="45" t="s">
        <v>17</v>
      </c>
      <c r="C119" s="47">
        <f>F89</f>
        <v>44086000</v>
      </c>
      <c r="D119" s="46">
        <f t="shared" si="34"/>
        <v>5.5228242745702795E-2</v>
      </c>
      <c r="E119" s="46">
        <f t="shared" ref="E119:E124" si="36">((C119/F119)-1)*100%</f>
        <v>2.966708655749505</v>
      </c>
      <c r="F119" s="47">
        <f>'BALANCE 2014'!C17</f>
        <v>11114000</v>
      </c>
      <c r="G119" s="46">
        <f t="shared" si="35"/>
        <v>1.6893067823068143E-2</v>
      </c>
    </row>
    <row r="120" spans="2:7">
      <c r="B120" s="74" t="s">
        <v>18</v>
      </c>
      <c r="C120" s="77">
        <f>F90</f>
        <v>37845000</v>
      </c>
      <c r="D120" s="76">
        <f t="shared" si="34"/>
        <v>4.7409899893642478E-2</v>
      </c>
      <c r="E120" s="76">
        <f t="shared" si="36"/>
        <v>2.6063464837049741</v>
      </c>
      <c r="F120" s="77">
        <f>'BALANCE 2014'!B15</f>
        <v>10494000</v>
      </c>
      <c r="G120" s="76">
        <f t="shared" si="35"/>
        <v>1.5950679659463476E-2</v>
      </c>
    </row>
    <row r="121" spans="2:7">
      <c r="B121" s="78" t="s">
        <v>19</v>
      </c>
      <c r="C121" s="47">
        <f>F91</f>
        <v>47151000</v>
      </c>
      <c r="D121" s="46">
        <f t="shared" si="34"/>
        <v>5.9067887168321745E-2</v>
      </c>
      <c r="E121" s="46">
        <f t="shared" si="36"/>
        <v>-0.18568986062898296</v>
      </c>
      <c r="F121" s="47">
        <f>'BALANCE 2014'!C19</f>
        <v>57903000</v>
      </c>
      <c r="G121" s="46">
        <f t="shared" si="35"/>
        <v>8.8011454576130521E-2</v>
      </c>
    </row>
    <row r="122" spans="2:7">
      <c r="B122" s="40" t="s">
        <v>22</v>
      </c>
      <c r="C122" s="42">
        <f>F92</f>
        <v>751100000</v>
      </c>
      <c r="D122" s="41">
        <f t="shared" si="34"/>
        <v>0.94093211283167821</v>
      </c>
      <c r="E122" s="41">
        <f t="shared" si="36"/>
        <v>0.25183333333333335</v>
      </c>
      <c r="F122" s="42">
        <f>'BALANCE 2014'!C26</f>
        <v>600000000</v>
      </c>
      <c r="G122" s="41">
        <f t="shared" si="35"/>
        <v>0.91198854542386942</v>
      </c>
    </row>
    <row r="123" spans="2:7">
      <c r="B123" s="78" t="s">
        <v>24</v>
      </c>
      <c r="C123" s="47">
        <f>C122</f>
        <v>751100000</v>
      </c>
      <c r="D123" s="46">
        <f t="shared" si="34"/>
        <v>0.94093211283167821</v>
      </c>
      <c r="E123" s="46">
        <f t="shared" si="36"/>
        <v>0.25183333333333335</v>
      </c>
      <c r="F123" s="47">
        <f>'BALANCE 2014'!C28</f>
        <v>600000000</v>
      </c>
      <c r="G123" s="46">
        <f t="shared" si="35"/>
        <v>0.91198854542386942</v>
      </c>
    </row>
    <row r="124" spans="2:7">
      <c r="B124" s="82" t="s">
        <v>25</v>
      </c>
      <c r="C124" s="42">
        <f>F95</f>
        <v>798251000</v>
      </c>
      <c r="D124" s="41">
        <f>(C124/$C$124)*100%</f>
        <v>1</v>
      </c>
      <c r="E124" s="41">
        <f t="shared" si="36"/>
        <v>0.21332628062191539</v>
      </c>
      <c r="F124" s="42">
        <f>'BALANCE 2014'!C30</f>
        <v>657903000</v>
      </c>
      <c r="G124" s="41">
        <f>(F124/$F$124)*100%</f>
        <v>1</v>
      </c>
    </row>
    <row r="126" spans="2:7" ht="31.5">
      <c r="B126" s="442" t="s">
        <v>0</v>
      </c>
      <c r="C126" s="442">
        <v>2015</v>
      </c>
      <c r="D126" s="442" t="s">
        <v>1</v>
      </c>
      <c r="E126" s="442" t="s">
        <v>2</v>
      </c>
      <c r="F126" s="442">
        <v>2014</v>
      </c>
      <c r="G126" s="442" t="s">
        <v>1</v>
      </c>
    </row>
    <row r="127" spans="2:7">
      <c r="B127" s="74" t="s">
        <v>27</v>
      </c>
      <c r="C127" s="81"/>
      <c r="D127" s="76">
        <f t="shared" ref="D127:D130" si="37">(C127/$C$138)*100%</f>
        <v>0</v>
      </c>
      <c r="E127" s="76">
        <f>((C127/F127)-1)*100%</f>
        <v>-1</v>
      </c>
      <c r="F127" s="81">
        <f>'BALANCE 2014'!B35</f>
        <v>29729000</v>
      </c>
      <c r="G127" s="76">
        <f t="shared" ref="G127:G130" si="38">(F127/$F$131)*100%</f>
        <v>0.91448521947768313</v>
      </c>
    </row>
    <row r="128" spans="2:7">
      <c r="B128" s="45" t="s">
        <v>28</v>
      </c>
      <c r="C128" s="65">
        <f>F100</f>
        <v>104076000</v>
      </c>
      <c r="D128" s="46">
        <f t="shared" si="37"/>
        <v>0.13038004336981726</v>
      </c>
      <c r="E128" s="46">
        <v>0</v>
      </c>
      <c r="F128" s="65"/>
      <c r="G128" s="46">
        <f t="shared" si="38"/>
        <v>0</v>
      </c>
    </row>
    <row r="129" spans="2:9">
      <c r="B129" s="74" t="s">
        <v>29</v>
      </c>
      <c r="C129" s="81">
        <f>F101</f>
        <v>20963000</v>
      </c>
      <c r="D129" s="76">
        <f t="shared" si="37"/>
        <v>2.6261163468633299E-2</v>
      </c>
      <c r="E129" s="76">
        <v>0</v>
      </c>
      <c r="F129" s="81">
        <f>'[1]BALANCE 2014'!$C$41</f>
        <v>2780000</v>
      </c>
      <c r="G129" s="76">
        <f t="shared" si="38"/>
        <v>8.5514780522316897E-2</v>
      </c>
    </row>
    <row r="130" spans="2:9">
      <c r="B130" s="78" t="s">
        <v>31</v>
      </c>
      <c r="C130" s="65">
        <f>F104</f>
        <v>125039000</v>
      </c>
      <c r="D130" s="46">
        <f t="shared" si="37"/>
        <v>0.15664120683845056</v>
      </c>
      <c r="E130" s="46">
        <f t="shared" ref="E130:E131" si="39">((C130/F130)-1)*100%</f>
        <v>2.8462887200467564</v>
      </c>
      <c r="F130" s="65">
        <f>'[1]BALANCE 2014'!$C$43</f>
        <v>32509000</v>
      </c>
      <c r="G130" s="46">
        <f t="shared" si="38"/>
        <v>1</v>
      </c>
    </row>
    <row r="131" spans="2:9">
      <c r="B131" s="82" t="s">
        <v>32</v>
      </c>
      <c r="C131" s="63">
        <f>F105</f>
        <v>125039000</v>
      </c>
      <c r="D131" s="41">
        <f>(C131/$C$138)*100%</f>
        <v>0.15664120683845056</v>
      </c>
      <c r="E131" s="52">
        <f t="shared" si="39"/>
        <v>2.8462887200467564</v>
      </c>
      <c r="F131" s="63">
        <f>'[1]BALANCE 2014'!$C$43</f>
        <v>32509000</v>
      </c>
      <c r="G131" s="41">
        <f>(F131/$F$138)*100%</f>
        <v>4.9413059371974287E-2</v>
      </c>
    </row>
    <row r="133" spans="2:9" ht="31.5">
      <c r="B133" s="442" t="s">
        <v>0</v>
      </c>
      <c r="C133" s="442">
        <v>2015</v>
      </c>
      <c r="D133" s="442" t="s">
        <v>1</v>
      </c>
      <c r="E133" s="442" t="s">
        <v>2</v>
      </c>
      <c r="F133" s="442">
        <v>2014</v>
      </c>
      <c r="G133" s="442" t="s">
        <v>1</v>
      </c>
    </row>
    <row r="134" spans="2:9">
      <c r="B134" s="40" t="s">
        <v>34</v>
      </c>
      <c r="C134" s="42">
        <f>F108</f>
        <v>620000000</v>
      </c>
      <c r="D134" s="52">
        <f t="shared" ref="D134:D137" si="40">(C134/C134)*100%</f>
        <v>1</v>
      </c>
      <c r="E134" s="41">
        <f>((C134/F134)-1)*100%</f>
        <v>0</v>
      </c>
      <c r="F134" s="42">
        <f>'BALANCE 2014'!B54</f>
        <v>620000000</v>
      </c>
      <c r="G134" s="52">
        <f t="shared" ref="G134:G137" si="41">(F134/F134)*100%</f>
        <v>1</v>
      </c>
    </row>
    <row r="135" spans="2:9">
      <c r="B135" s="45" t="s">
        <v>36</v>
      </c>
      <c r="C135" s="47">
        <f>F110</f>
        <v>47818000</v>
      </c>
      <c r="D135" s="46">
        <f t="shared" si="40"/>
        <v>1</v>
      </c>
      <c r="E135" s="46">
        <f t="shared" ref="E135:E138" si="42">((C135/F135)-1)*100%</f>
        <v>7.8650352243233215</v>
      </c>
      <c r="F135" s="47">
        <f>'BALANCE 2014'!C59</f>
        <v>5394000</v>
      </c>
      <c r="G135" s="46">
        <f t="shared" si="41"/>
        <v>1</v>
      </c>
    </row>
    <row r="136" spans="2:9">
      <c r="B136" s="40" t="s">
        <v>37</v>
      </c>
      <c r="C136" s="42">
        <f>F111</f>
        <v>4855000</v>
      </c>
      <c r="D136" s="52">
        <f t="shared" si="40"/>
        <v>1</v>
      </c>
      <c r="E136" s="41">
        <v>0</v>
      </c>
      <c r="F136" s="42"/>
      <c r="G136" s="52">
        <v>0</v>
      </c>
    </row>
    <row r="137" spans="2:9">
      <c r="B137" s="78" t="s">
        <v>38</v>
      </c>
      <c r="C137" s="47">
        <f>F112</f>
        <v>673212000</v>
      </c>
      <c r="D137" s="46">
        <f t="shared" si="40"/>
        <v>1</v>
      </c>
      <c r="E137" s="46">
        <f t="shared" si="42"/>
        <v>7.6460599238240112E-2</v>
      </c>
      <c r="F137" s="47">
        <f>'BALANCE 2014'!C61</f>
        <v>625394000</v>
      </c>
      <c r="G137" s="46">
        <f t="shared" si="41"/>
        <v>1</v>
      </c>
    </row>
    <row r="138" spans="2:9">
      <c r="B138" s="79" t="s">
        <v>39</v>
      </c>
      <c r="C138" s="77">
        <f>F113</f>
        <v>798251000</v>
      </c>
      <c r="D138" s="76">
        <f>(C138/C138)*100%</f>
        <v>1</v>
      </c>
      <c r="E138" s="76">
        <f t="shared" si="42"/>
        <v>0.21332628062191539</v>
      </c>
      <c r="F138" s="77">
        <f>'BALANCE 2014'!C63</f>
        <v>657903000</v>
      </c>
      <c r="G138" s="76">
        <f>(F138/F138)*100%</f>
        <v>1</v>
      </c>
      <c r="I138" s="468"/>
    </row>
    <row r="139" spans="2:9">
      <c r="B139" s="83"/>
      <c r="C139" s="84"/>
      <c r="D139" s="85"/>
      <c r="E139" s="85"/>
      <c r="F139" s="84"/>
      <c r="G139" s="85"/>
      <c r="H139" s="27"/>
    </row>
    <row r="141" spans="2:9">
      <c r="B141" s="662" t="s">
        <v>246</v>
      </c>
      <c r="C141" s="662"/>
      <c r="D141" s="662"/>
      <c r="E141" s="662"/>
      <c r="F141" s="662"/>
      <c r="G141" s="662"/>
      <c r="H141" s="662"/>
      <c r="I141" s="662"/>
    </row>
    <row r="143" spans="2:9">
      <c r="B143" s="649" t="s">
        <v>40</v>
      </c>
      <c r="C143" s="649"/>
      <c r="D143" s="649"/>
      <c r="F143" s="649" t="s">
        <v>44</v>
      </c>
      <c r="G143" s="649"/>
      <c r="H143" s="649"/>
      <c r="I143" s="649"/>
    </row>
    <row r="144" spans="2:9" ht="8.25" customHeight="1">
      <c r="B144" s="713"/>
      <c r="C144" s="714"/>
      <c r="D144" s="715"/>
      <c r="F144" s="716"/>
      <c r="G144" s="716"/>
      <c r="H144" s="716"/>
      <c r="I144" s="716"/>
    </row>
    <row r="145" spans="2:12">
      <c r="B145" s="447" t="s">
        <v>0</v>
      </c>
      <c r="C145" s="448">
        <v>43100</v>
      </c>
      <c r="D145" s="447" t="s">
        <v>41</v>
      </c>
      <c r="F145" s="649" t="s">
        <v>45</v>
      </c>
      <c r="G145" s="649"/>
      <c r="H145" s="649"/>
      <c r="I145" s="649"/>
    </row>
    <row r="146" spans="2:12">
      <c r="B146" s="82" t="s">
        <v>3</v>
      </c>
      <c r="C146" s="42">
        <f>'ER 2017'!C10</f>
        <v>1148878000</v>
      </c>
      <c r="D146" s="41">
        <f>(C146/$C$146)*100%</f>
        <v>1</v>
      </c>
      <c r="F146" s="708" t="s">
        <v>46</v>
      </c>
      <c r="G146" s="708"/>
      <c r="H146" s="708"/>
      <c r="I146" s="86">
        <f>C164/C178</f>
        <v>1.5497608130935312</v>
      </c>
    </row>
    <row r="147" spans="2:12">
      <c r="B147" s="45" t="s">
        <v>42</v>
      </c>
      <c r="C147" s="47">
        <f>'ER 2017'!C33</f>
        <v>1010660000</v>
      </c>
      <c r="D147" s="46">
        <f t="shared" ref="D147:D157" si="43">(C147/$C$146)*100%</f>
        <v>0.87969305705218481</v>
      </c>
      <c r="F147" s="712" t="s">
        <v>47</v>
      </c>
      <c r="G147" s="712"/>
      <c r="H147" s="712"/>
      <c r="I147" s="45">
        <v>0</v>
      </c>
    </row>
    <row r="148" spans="2:12">
      <c r="B148" s="40" t="s">
        <v>5</v>
      </c>
      <c r="C148" s="42">
        <f>'ER 2017'!C35</f>
        <v>138218000</v>
      </c>
      <c r="D148" s="41">
        <f t="shared" si="43"/>
        <v>0.12030694294781517</v>
      </c>
      <c r="F148" s="707" t="s">
        <v>244</v>
      </c>
      <c r="G148" s="707"/>
      <c r="H148" s="707"/>
      <c r="I148" s="77">
        <f>C164-C178</f>
        <v>154916000</v>
      </c>
    </row>
    <row r="149" spans="2:12" ht="20.25" customHeight="1">
      <c r="B149" s="87" t="s">
        <v>43</v>
      </c>
      <c r="C149" s="88">
        <f>'ER 2017'!C50</f>
        <v>76822000</v>
      </c>
      <c r="D149" s="46">
        <f t="shared" si="43"/>
        <v>6.6866978042925365E-2</v>
      </c>
    </row>
    <row r="150" spans="2:12">
      <c r="B150" s="40" t="s">
        <v>6</v>
      </c>
      <c r="C150" s="42">
        <f>'ER 2017'!C56</f>
        <v>1225000</v>
      </c>
      <c r="D150" s="41">
        <f t="shared" si="43"/>
        <v>1.0662576879355336E-3</v>
      </c>
      <c r="E150" s="80"/>
      <c r="F150" s="649" t="s">
        <v>48</v>
      </c>
      <c r="G150" s="649"/>
      <c r="H150" s="649"/>
      <c r="I150" s="649"/>
    </row>
    <row r="151" spans="2:12">
      <c r="B151" s="78" t="s">
        <v>7</v>
      </c>
      <c r="C151" s="47">
        <f>'ER 2017'!C60</f>
        <v>60171000</v>
      </c>
      <c r="D151" s="46">
        <f t="shared" si="43"/>
        <v>5.2373707216954279E-2</v>
      </c>
      <c r="F151" s="708" t="s">
        <v>49</v>
      </c>
      <c r="G151" s="708"/>
      <c r="H151" s="708"/>
      <c r="I151" s="86">
        <f>C146/L152</f>
        <v>40.961259748941544</v>
      </c>
      <c r="L151" s="36" t="s">
        <v>245</v>
      </c>
    </row>
    <row r="152" spans="2:12">
      <c r="B152" s="40" t="s">
        <v>8</v>
      </c>
      <c r="C152" s="42">
        <f>'ER 2017'!C73</f>
        <v>756000</v>
      </c>
      <c r="D152" s="41">
        <f t="shared" si="43"/>
        <v>6.5803331598307221E-4</v>
      </c>
      <c r="F152" s="712" t="s">
        <v>50</v>
      </c>
      <c r="G152" s="712"/>
      <c r="H152" s="712"/>
      <c r="I152" s="89">
        <f>C146/C167</f>
        <v>2.0171077327162563</v>
      </c>
      <c r="L152" s="90">
        <f>(C163+C90)/12</f>
        <v>28047916.666666668</v>
      </c>
    </row>
    <row r="153" spans="2:12">
      <c r="B153" s="45" t="s">
        <v>9</v>
      </c>
      <c r="C153" s="47">
        <f>'ER 2017'!C78</f>
        <v>13083000</v>
      </c>
      <c r="D153" s="46">
        <f t="shared" si="43"/>
        <v>1.1387632107151499E-2</v>
      </c>
      <c r="F153" s="709" t="s">
        <v>296</v>
      </c>
      <c r="G153" s="710"/>
      <c r="H153" s="711"/>
      <c r="I153" s="86">
        <f>360/I151</f>
        <v>8.7887921955159722</v>
      </c>
    </row>
    <row r="154" spans="2:12">
      <c r="B154" s="40" t="s">
        <v>10</v>
      </c>
      <c r="C154" s="42">
        <f>'ER 2017'!C80</f>
        <v>47844000</v>
      </c>
      <c r="D154" s="41">
        <f t="shared" si="43"/>
        <v>4.1644108425785857E-2</v>
      </c>
      <c r="F154" s="712" t="s">
        <v>52</v>
      </c>
      <c r="G154" s="712"/>
      <c r="H154" s="712"/>
      <c r="I154" s="89">
        <f>C146/(C170-C166)</f>
        <v>0.96028478936269268</v>
      </c>
    </row>
    <row r="155" spans="2:12">
      <c r="B155" s="45" t="s">
        <v>12</v>
      </c>
      <c r="C155" s="47">
        <v>0</v>
      </c>
      <c r="D155" s="46">
        <f t="shared" si="43"/>
        <v>0</v>
      </c>
      <c r="F155" s="708" t="s">
        <v>53</v>
      </c>
      <c r="G155" s="708"/>
      <c r="H155" s="708"/>
      <c r="I155" s="86">
        <v>9.1</v>
      </c>
    </row>
    <row r="156" spans="2:12">
      <c r="B156" s="74" t="s">
        <v>13</v>
      </c>
      <c r="C156" s="77">
        <f>'ER 2017'!B83</f>
        <v>16267000.000000002</v>
      </c>
      <c r="D156" s="76">
        <f t="shared" si="43"/>
        <v>1.4159031681344757E-2</v>
      </c>
    </row>
    <row r="157" spans="2:12">
      <c r="B157" s="78" t="s">
        <v>14</v>
      </c>
      <c r="C157" s="47">
        <f>'ER 2017'!C86</f>
        <v>31577000</v>
      </c>
      <c r="D157" s="46">
        <f t="shared" si="43"/>
        <v>2.74850767444411E-2</v>
      </c>
      <c r="F157" s="649" t="s">
        <v>56</v>
      </c>
      <c r="G157" s="649"/>
      <c r="H157" s="649"/>
      <c r="I157" s="649"/>
    </row>
    <row r="158" spans="2:12">
      <c r="B158" s="91"/>
      <c r="C158" s="92"/>
      <c r="D158" s="93"/>
      <c r="F158" s="708" t="s">
        <v>57</v>
      </c>
      <c r="G158" s="708"/>
      <c r="H158" s="708"/>
      <c r="I158" s="41">
        <f>C179/C170</f>
        <v>0.27890689180762723</v>
      </c>
    </row>
    <row r="159" spans="2:12">
      <c r="B159" s="649" t="s">
        <v>54</v>
      </c>
      <c r="C159" s="649"/>
      <c r="D159" s="649"/>
      <c r="F159" s="702" t="s">
        <v>58</v>
      </c>
      <c r="G159" s="702"/>
      <c r="H159" s="702"/>
      <c r="I159" s="94">
        <f>C173/C179</f>
        <v>0.18824080514429287</v>
      </c>
    </row>
    <row r="160" spans="2:12">
      <c r="B160" s="447" t="s">
        <v>0</v>
      </c>
      <c r="C160" s="448">
        <v>43100</v>
      </c>
      <c r="D160" s="447" t="s">
        <v>41</v>
      </c>
      <c r="F160" s="708" t="s">
        <v>59</v>
      </c>
      <c r="G160" s="708"/>
      <c r="H160" s="708"/>
      <c r="I160" s="41">
        <f>C186/C170</f>
        <v>0.72109310819237282</v>
      </c>
    </row>
    <row r="161" spans="2:9">
      <c r="B161" s="40" t="s">
        <v>16</v>
      </c>
      <c r="C161" s="42">
        <f>'ESF 2017'!C12</f>
        <v>13274000</v>
      </c>
      <c r="D161" s="76">
        <f t="shared" ref="D161:D170" si="44">(C161/$C$170)*100%</f>
        <v>1.3138281551572258E-2</v>
      </c>
      <c r="F161" s="702" t="s">
        <v>60</v>
      </c>
      <c r="G161" s="702"/>
      <c r="H161" s="702"/>
      <c r="I161" s="94">
        <f>C186/C179</f>
        <v>2.5854259230343377</v>
      </c>
    </row>
    <row r="162" spans="2:9">
      <c r="B162" s="45" t="s">
        <v>17</v>
      </c>
      <c r="C162" s="47">
        <f>'ESF 2017'!C19</f>
        <v>423430000</v>
      </c>
      <c r="D162" s="46">
        <f t="shared" si="44"/>
        <v>0.41910068987360566</v>
      </c>
      <c r="F162" s="708" t="s">
        <v>61</v>
      </c>
      <c r="G162" s="708"/>
      <c r="H162" s="708"/>
      <c r="I162" s="41">
        <f>C179/C186</f>
        <v>0.38678346615569176</v>
      </c>
    </row>
    <row r="163" spans="2:9">
      <c r="B163" s="74" t="s">
        <v>18</v>
      </c>
      <c r="C163" s="77">
        <f>'ESF 2017'!B15</f>
        <v>221026000</v>
      </c>
      <c r="D163" s="76">
        <f t="shared" si="44"/>
        <v>0.21876614571476646</v>
      </c>
      <c r="F163" s="702" t="s">
        <v>62</v>
      </c>
      <c r="G163" s="702"/>
      <c r="H163" s="702"/>
      <c r="I163" s="94">
        <f>C178/C179</f>
        <v>1</v>
      </c>
    </row>
    <row r="164" spans="2:9">
      <c r="B164" s="78" t="s">
        <v>19</v>
      </c>
      <c r="C164" s="47">
        <f>'ESF 2017'!C21</f>
        <v>436704000</v>
      </c>
      <c r="D164" s="46">
        <f t="shared" si="44"/>
        <v>0.43223897142517792</v>
      </c>
    </row>
    <row r="165" spans="2:9">
      <c r="B165" s="40" t="s">
        <v>20</v>
      </c>
      <c r="C165" s="42">
        <f>'ESF 2017'!B27+'ESF 2017'!B32+'ESF 2017'!B37</f>
        <v>755630000</v>
      </c>
      <c r="D165" s="76">
        <f t="shared" si="44"/>
        <v>0.74790415012916567</v>
      </c>
      <c r="F165" s="649" t="s">
        <v>63</v>
      </c>
      <c r="G165" s="649"/>
      <c r="H165" s="649"/>
      <c r="I165" s="649"/>
    </row>
    <row r="166" spans="2:9">
      <c r="B166" s="45" t="s">
        <v>21</v>
      </c>
      <c r="C166" s="47">
        <f>'ESF 2017'!B28+'ESF 2017'!B33+'ESF 2017'!B38</f>
        <v>-186063000</v>
      </c>
      <c r="D166" s="46">
        <f t="shared" si="44"/>
        <v>-0.18416062078726753</v>
      </c>
      <c r="F166" s="708" t="s">
        <v>64</v>
      </c>
      <c r="G166" s="708"/>
      <c r="H166" s="708"/>
      <c r="I166" s="41">
        <f>C148/C146</f>
        <v>0.12030694294781517</v>
      </c>
    </row>
    <row r="167" spans="2:9">
      <c r="B167" s="40" t="s">
        <v>22</v>
      </c>
      <c r="C167" s="42">
        <f>'ESF 2017'!C29+'ESF 2017'!C34+'ESF 2017'!C39</f>
        <v>569567000</v>
      </c>
      <c r="D167" s="76">
        <f t="shared" si="44"/>
        <v>0.5637435293418982</v>
      </c>
      <c r="F167" s="702" t="s">
        <v>65</v>
      </c>
      <c r="G167" s="702"/>
      <c r="H167" s="702"/>
      <c r="I167" s="94">
        <f>C151/C146</f>
        <v>5.2373707216954279E-2</v>
      </c>
    </row>
    <row r="168" spans="2:9">
      <c r="B168" s="45" t="s">
        <v>23</v>
      </c>
      <c r="C168" s="47">
        <f>'ESF 2017'!C43</f>
        <v>4059000</v>
      </c>
      <c r="D168" s="46">
        <f t="shared" si="44"/>
        <v>4.0174992329238962E-3</v>
      </c>
      <c r="F168" s="708" t="s">
        <v>66</v>
      </c>
      <c r="G168" s="708"/>
      <c r="H168" s="708"/>
      <c r="I168" s="41">
        <f>C157/C146</f>
        <v>2.74850767444411E-2</v>
      </c>
    </row>
    <row r="169" spans="2:9">
      <c r="B169" s="79" t="s">
        <v>24</v>
      </c>
      <c r="C169" s="77">
        <f>'ESF 2017'!C45</f>
        <v>573626000</v>
      </c>
      <c r="D169" s="76">
        <f t="shared" si="44"/>
        <v>0.56776102857482214</v>
      </c>
      <c r="F169" s="702" t="s">
        <v>67</v>
      </c>
      <c r="G169" s="702"/>
      <c r="H169" s="702"/>
      <c r="I169" s="94">
        <f>C157/C186</f>
        <v>4.3342731098550254E-2</v>
      </c>
    </row>
    <row r="170" spans="2:9">
      <c r="B170" s="78" t="s">
        <v>25</v>
      </c>
      <c r="C170" s="47">
        <f>'ESF 2017'!C47</f>
        <v>1010330000</v>
      </c>
      <c r="D170" s="46">
        <f t="shared" si="44"/>
        <v>1</v>
      </c>
      <c r="F170" s="708" t="s">
        <v>68</v>
      </c>
      <c r="G170" s="708"/>
      <c r="H170" s="708"/>
      <c r="I170" s="41">
        <f>C157/C170</f>
        <v>3.1254144685399818E-2</v>
      </c>
    </row>
    <row r="171" spans="2:9">
      <c r="F171" s="717"/>
      <c r="G171" s="717"/>
      <c r="H171" s="717"/>
      <c r="I171" s="85"/>
    </row>
    <row r="172" spans="2:9">
      <c r="B172" s="449" t="s">
        <v>0</v>
      </c>
      <c r="C172" s="448">
        <v>43100</v>
      </c>
      <c r="D172" s="447" t="s">
        <v>55</v>
      </c>
      <c r="F172" s="717"/>
      <c r="G172" s="717"/>
      <c r="H172" s="717"/>
      <c r="I172" s="85"/>
    </row>
    <row r="173" spans="2:9">
      <c r="B173" s="40" t="s">
        <v>26</v>
      </c>
      <c r="C173" s="42">
        <f>'ESF 2017'!C58</f>
        <v>53044000</v>
      </c>
      <c r="D173" s="52">
        <f t="shared" ref="D173:D179" si="45">(C173/$C$187)*100%</f>
        <v>5.2501657874159925E-2</v>
      </c>
      <c r="F173" s="95"/>
      <c r="G173" s="95"/>
      <c r="H173" s="95"/>
      <c r="I173" s="85"/>
    </row>
    <row r="174" spans="2:9">
      <c r="B174" s="45" t="s">
        <v>27</v>
      </c>
      <c r="C174" s="47">
        <f>'ESF 2017'!C62</f>
        <v>30699000</v>
      </c>
      <c r="D174" s="46">
        <f t="shared" si="45"/>
        <v>3.0385121692912218E-2</v>
      </c>
      <c r="F174" s="717"/>
      <c r="G174" s="717"/>
      <c r="H174" s="717"/>
      <c r="I174" s="85"/>
    </row>
    <row r="175" spans="2:9">
      <c r="B175" s="40" t="s">
        <v>28</v>
      </c>
      <c r="C175" s="42">
        <f>'ESF 2017'!C66</f>
        <v>1064000</v>
      </c>
      <c r="D175" s="52">
        <f t="shared" si="45"/>
        <v>1.053121257410945E-3</v>
      </c>
      <c r="F175" s="95"/>
      <c r="G175" s="95"/>
      <c r="H175" s="95"/>
      <c r="I175" s="85"/>
    </row>
    <row r="176" spans="2:9">
      <c r="B176" s="45" t="s">
        <v>29</v>
      </c>
      <c r="C176" s="47">
        <f>'ESF 2017'!C75</f>
        <v>16267000.000000002</v>
      </c>
      <c r="D176" s="46">
        <f t="shared" si="45"/>
        <v>1.6100679975849477E-2</v>
      </c>
      <c r="F176" s="95"/>
      <c r="G176" s="95"/>
      <c r="H176" s="95"/>
      <c r="I176" s="85"/>
    </row>
    <row r="177" spans="2:9">
      <c r="B177" s="51" t="s">
        <v>243</v>
      </c>
      <c r="C177" s="53">
        <f>'ESF 2017'!C71</f>
        <v>180714000</v>
      </c>
      <c r="D177" s="52">
        <f t="shared" si="45"/>
        <v>0.17886631100729464</v>
      </c>
      <c r="F177" s="95"/>
      <c r="G177" s="95"/>
      <c r="H177" s="95"/>
      <c r="I177" s="85"/>
    </row>
    <row r="178" spans="2:9">
      <c r="B178" s="78" t="s">
        <v>31</v>
      </c>
      <c r="C178" s="47">
        <f>SUM(C173:C177)</f>
        <v>281788000</v>
      </c>
      <c r="D178" s="46">
        <f t="shared" si="45"/>
        <v>0.27890689180762723</v>
      </c>
      <c r="F178" s="95"/>
      <c r="G178" s="95"/>
      <c r="H178" s="95"/>
      <c r="I178" s="85"/>
    </row>
    <row r="179" spans="2:9">
      <c r="B179" s="96" t="s">
        <v>32</v>
      </c>
      <c r="C179" s="53">
        <f>+C178</f>
        <v>281788000</v>
      </c>
      <c r="D179" s="52">
        <f t="shared" si="45"/>
        <v>0.27890689180762723</v>
      </c>
    </row>
    <row r="181" spans="2:9">
      <c r="B181" s="442" t="s">
        <v>0</v>
      </c>
      <c r="C181" s="448">
        <v>43100</v>
      </c>
      <c r="D181" s="447" t="s">
        <v>55</v>
      </c>
    </row>
    <row r="182" spans="2:9">
      <c r="B182" s="40" t="s">
        <v>34</v>
      </c>
      <c r="C182" s="42">
        <f>'ESF 2017'!B81</f>
        <v>620000000</v>
      </c>
      <c r="D182" s="52">
        <f t="shared" ref="D182:D187" si="46">(C182/$C$187)*100%</f>
        <v>0.61366088307780631</v>
      </c>
    </row>
    <row r="183" spans="2:9">
      <c r="B183" s="45" t="s">
        <v>35</v>
      </c>
      <c r="C183" s="47">
        <f>'ESF 2017'!B85</f>
        <v>7696000</v>
      </c>
      <c r="D183" s="46">
        <f t="shared" si="46"/>
        <v>7.6173131551077371E-3</v>
      </c>
    </row>
    <row r="184" spans="2:9">
      <c r="B184" s="74" t="s">
        <v>36</v>
      </c>
      <c r="C184" s="77">
        <f>'ESF 2017'!B89</f>
        <v>31577000</v>
      </c>
      <c r="D184" s="76">
        <f t="shared" si="46"/>
        <v>3.1254144685399818E-2</v>
      </c>
    </row>
    <row r="185" spans="2:9">
      <c r="B185" s="45" t="s">
        <v>37</v>
      </c>
      <c r="C185" s="47">
        <f>'ESF 2017'!C94</f>
        <v>69269000</v>
      </c>
      <c r="D185" s="46">
        <f t="shared" si="46"/>
        <v>6.8560767274058965E-2</v>
      </c>
    </row>
    <row r="186" spans="2:9">
      <c r="B186" s="82" t="s">
        <v>38</v>
      </c>
      <c r="C186" s="42">
        <f>'ESF 2017'!C96</f>
        <v>728542000</v>
      </c>
      <c r="D186" s="52">
        <f t="shared" si="46"/>
        <v>0.72109310819237282</v>
      </c>
    </row>
    <row r="187" spans="2:9">
      <c r="B187" s="78" t="s">
        <v>39</v>
      </c>
      <c r="C187" s="47">
        <f>'ESF 2017'!C98</f>
        <v>1010330000</v>
      </c>
      <c r="D187" s="46">
        <f t="shared" si="46"/>
        <v>1</v>
      </c>
    </row>
    <row r="189" spans="2:9">
      <c r="B189" s="83"/>
      <c r="C189" s="84"/>
      <c r="D189" s="85"/>
    </row>
    <row r="190" spans="2:9">
      <c r="B190" s="83"/>
      <c r="C190" s="84"/>
      <c r="D190" s="85"/>
    </row>
    <row r="191" spans="2:9">
      <c r="B191" s="83"/>
      <c r="C191" s="84"/>
      <c r="D191" s="85"/>
    </row>
    <row r="192" spans="2:9">
      <c r="B192" s="83"/>
      <c r="C192" s="84"/>
      <c r="D192" s="85"/>
    </row>
    <row r="193" spans="2:4">
      <c r="B193" s="83"/>
      <c r="C193" s="84"/>
      <c r="D193" s="85"/>
    </row>
    <row r="194" spans="2:4">
      <c r="B194" s="83"/>
      <c r="C194" s="84"/>
      <c r="D194" s="85"/>
    </row>
    <row r="195" spans="2:4">
      <c r="B195" s="83"/>
      <c r="C195" s="84"/>
      <c r="D195" s="85"/>
    </row>
    <row r="196" spans="2:4">
      <c r="B196" s="83"/>
      <c r="C196" s="84"/>
      <c r="D196" s="85"/>
    </row>
    <row r="197" spans="2:4">
      <c r="B197" s="83"/>
      <c r="C197" s="84"/>
      <c r="D197" s="85"/>
    </row>
    <row r="198" spans="2:4">
      <c r="B198" s="83"/>
      <c r="C198" s="84"/>
      <c r="D198" s="85"/>
    </row>
    <row r="199" spans="2:4">
      <c r="B199" s="83"/>
      <c r="C199" s="84"/>
      <c r="D199" s="85"/>
    </row>
    <row r="200" spans="2:4">
      <c r="B200" s="83"/>
      <c r="C200" s="84"/>
      <c r="D200" s="85"/>
    </row>
    <row r="201" spans="2:4">
      <c r="B201" s="83"/>
      <c r="C201" s="84"/>
      <c r="D201" s="85"/>
    </row>
    <row r="202" spans="2:4">
      <c r="B202" s="83"/>
      <c r="C202" s="84"/>
      <c r="D202" s="85"/>
    </row>
    <row r="203" spans="2:4">
      <c r="B203" s="83"/>
      <c r="C203" s="84"/>
      <c r="D203" s="85"/>
    </row>
    <row r="204" spans="2:4">
      <c r="B204" s="83"/>
      <c r="C204" s="84"/>
      <c r="D204" s="85"/>
    </row>
    <row r="205" spans="2:4">
      <c r="B205" s="83"/>
      <c r="C205" s="84"/>
      <c r="D205" s="85"/>
    </row>
    <row r="206" spans="2:4">
      <c r="B206" s="83"/>
      <c r="C206" s="84"/>
      <c r="D206" s="85"/>
    </row>
    <row r="207" spans="2:4">
      <c r="B207" s="83"/>
      <c r="C207" s="84"/>
      <c r="D207" s="85"/>
    </row>
    <row r="208" spans="2:4">
      <c r="B208" s="83"/>
      <c r="C208" s="84"/>
      <c r="D208" s="85"/>
    </row>
    <row r="209" spans="2:4">
      <c r="B209" s="83"/>
      <c r="C209" s="84"/>
      <c r="D209" s="85"/>
    </row>
    <row r="210" spans="2:4">
      <c r="B210" s="83"/>
      <c r="C210" s="84"/>
      <c r="D210" s="85"/>
    </row>
    <row r="211" spans="2:4">
      <c r="B211" s="83"/>
      <c r="C211" s="84"/>
      <c r="D211" s="85"/>
    </row>
    <row r="212" spans="2:4">
      <c r="B212" s="83"/>
      <c r="C212" s="84"/>
      <c r="D212" s="85"/>
    </row>
    <row r="213" spans="2:4">
      <c r="B213" s="83"/>
      <c r="C213" s="84"/>
      <c r="D213" s="85"/>
    </row>
    <row r="214" spans="2:4">
      <c r="B214" s="83"/>
      <c r="C214" s="84"/>
      <c r="D214" s="85"/>
    </row>
    <row r="215" spans="2:4">
      <c r="B215" s="83"/>
      <c r="C215" s="84"/>
      <c r="D215" s="85"/>
    </row>
    <row r="216" spans="2:4">
      <c r="B216" s="83"/>
      <c r="C216" s="84"/>
      <c r="D216" s="85"/>
    </row>
    <row r="217" spans="2:4">
      <c r="B217" s="83"/>
      <c r="C217" s="84"/>
      <c r="D217" s="85"/>
    </row>
    <row r="218" spans="2:4">
      <c r="B218" s="83"/>
      <c r="C218" s="84"/>
      <c r="D218" s="85"/>
    </row>
    <row r="219" spans="2:4">
      <c r="B219" s="83"/>
      <c r="C219" s="84"/>
      <c r="D219" s="85"/>
    </row>
    <row r="220" spans="2:4">
      <c r="B220" s="83"/>
      <c r="C220" s="84"/>
      <c r="D220" s="85"/>
    </row>
    <row r="221" spans="2:4">
      <c r="B221" s="83"/>
      <c r="C221" s="84"/>
      <c r="D221" s="85"/>
    </row>
    <row r="222" spans="2:4">
      <c r="B222" s="83"/>
      <c r="C222" s="84"/>
      <c r="D222" s="85"/>
    </row>
    <row r="223" spans="2:4">
      <c r="B223" s="83"/>
      <c r="C223" s="84"/>
      <c r="D223" s="85"/>
    </row>
    <row r="224" spans="2:4">
      <c r="B224" s="83"/>
      <c r="C224" s="84"/>
      <c r="D224" s="85"/>
    </row>
    <row r="225" spans="2:9">
      <c r="B225" s="83"/>
      <c r="C225" s="84"/>
      <c r="D225" s="85"/>
    </row>
    <row r="226" spans="2:9">
      <c r="B226" s="83"/>
      <c r="C226" s="84"/>
      <c r="D226" s="85"/>
    </row>
    <row r="227" spans="2:9">
      <c r="B227" s="83"/>
      <c r="C227" s="84"/>
      <c r="D227" s="85"/>
    </row>
    <row r="228" spans="2:9">
      <c r="B228" s="83"/>
      <c r="C228" s="84"/>
      <c r="D228" s="85"/>
    </row>
    <row r="229" spans="2:9">
      <c r="B229" s="83"/>
      <c r="C229" s="84"/>
      <c r="D229" s="85"/>
    </row>
    <row r="230" spans="2:9">
      <c r="B230" s="97"/>
      <c r="C230" s="98"/>
      <c r="D230" s="44"/>
    </row>
    <row r="231" spans="2:9">
      <c r="B231" s="684" t="s">
        <v>247</v>
      </c>
      <c r="C231" s="684"/>
      <c r="D231" s="684"/>
      <c r="E231" s="684"/>
      <c r="F231" s="684"/>
      <c r="G231" s="684"/>
      <c r="H231" s="684"/>
      <c r="I231" s="684"/>
    </row>
    <row r="233" spans="2:9">
      <c r="B233" s="649" t="s">
        <v>40</v>
      </c>
      <c r="C233" s="649"/>
      <c r="D233" s="649"/>
      <c r="F233" s="649" t="s">
        <v>44</v>
      </c>
      <c r="G233" s="649"/>
      <c r="H233" s="649"/>
      <c r="I233" s="649"/>
    </row>
    <row r="234" spans="2:9">
      <c r="B234" s="716"/>
      <c r="C234" s="716"/>
      <c r="D234" s="716"/>
      <c r="F234" s="716"/>
      <c r="G234" s="716"/>
      <c r="H234" s="716"/>
      <c r="I234" s="716"/>
    </row>
    <row r="235" spans="2:9">
      <c r="B235" s="447" t="s">
        <v>0</v>
      </c>
      <c r="C235" s="448">
        <v>42735</v>
      </c>
      <c r="D235" s="447" t="s">
        <v>41</v>
      </c>
      <c r="F235" s="649" t="s">
        <v>45</v>
      </c>
      <c r="G235" s="649"/>
      <c r="H235" s="649"/>
      <c r="I235" s="649"/>
    </row>
    <row r="236" spans="2:9">
      <c r="B236" s="82" t="s">
        <v>3</v>
      </c>
      <c r="C236" s="42">
        <f>' ER 2016'!C10</f>
        <v>663086000</v>
      </c>
      <c r="D236" s="41">
        <f>(C236/$C$236)*100%</f>
        <v>1</v>
      </c>
      <c r="F236" s="708" t="s">
        <v>46</v>
      </c>
      <c r="G236" s="708"/>
      <c r="H236" s="708"/>
      <c r="I236" s="86">
        <f>C255/C269</f>
        <v>0.84560710760118463</v>
      </c>
    </row>
    <row r="237" spans="2:9">
      <c r="B237" s="45" t="s">
        <v>42</v>
      </c>
      <c r="C237" s="47">
        <f>' ER 2016'!C31</f>
        <v>569555000</v>
      </c>
      <c r="D237" s="46">
        <f t="shared" ref="D237:D247" si="47">(C237/$C$236)*100%</f>
        <v>0.85894589842041602</v>
      </c>
      <c r="F237" s="712" t="s">
        <v>47</v>
      </c>
      <c r="G237" s="712"/>
      <c r="H237" s="712"/>
      <c r="I237" s="45">
        <v>0</v>
      </c>
    </row>
    <row r="238" spans="2:9">
      <c r="B238" s="40" t="s">
        <v>5</v>
      </c>
      <c r="C238" s="42">
        <f>' ER 2016'!C33</f>
        <v>93531000</v>
      </c>
      <c r="D238" s="41">
        <f t="shared" si="47"/>
        <v>0.14105410157958395</v>
      </c>
      <c r="F238" s="707" t="s">
        <v>244</v>
      </c>
      <c r="G238" s="707"/>
      <c r="H238" s="707"/>
      <c r="I238" s="77">
        <f>C255-C269</f>
        <v>-25024000</v>
      </c>
    </row>
    <row r="239" spans="2:9" ht="19.5" customHeight="1">
      <c r="B239" s="87" t="s">
        <v>43</v>
      </c>
      <c r="C239" s="88">
        <f>' ER 2016'!C44</f>
        <v>54863000</v>
      </c>
      <c r="D239" s="46">
        <f t="shared" si="47"/>
        <v>8.273889058131223E-2</v>
      </c>
    </row>
    <row r="240" spans="2:9">
      <c r="B240" s="40" t="s">
        <v>6</v>
      </c>
      <c r="C240" s="42">
        <f>' ER 2016'!C48</f>
        <v>285000</v>
      </c>
      <c r="D240" s="41">
        <f t="shared" si="47"/>
        <v>4.298085014613489E-4</v>
      </c>
      <c r="F240" s="649" t="s">
        <v>48</v>
      </c>
      <c r="G240" s="649"/>
      <c r="H240" s="649"/>
      <c r="I240" s="649"/>
    </row>
    <row r="241" spans="2:12">
      <c r="B241" s="78" t="s">
        <v>7</v>
      </c>
      <c r="C241" s="47">
        <f>' ER 2016'!C52</f>
        <v>38383000</v>
      </c>
      <c r="D241" s="46">
        <f t="shared" si="47"/>
        <v>5.7885402496810366E-2</v>
      </c>
      <c r="F241" s="669" t="s">
        <v>49</v>
      </c>
      <c r="G241" s="669"/>
      <c r="H241" s="669"/>
      <c r="I241" s="99">
        <f>C236/L242</f>
        <v>51.873163226723335</v>
      </c>
      <c r="L241" s="36" t="s">
        <v>245</v>
      </c>
    </row>
    <row r="242" spans="2:12">
      <c r="B242" s="40" t="s">
        <v>8</v>
      </c>
      <c r="C242" s="42">
        <f>'ER 2017'!C121</f>
        <v>0</v>
      </c>
      <c r="D242" s="41">
        <f t="shared" si="47"/>
        <v>0</v>
      </c>
      <c r="F242" s="712" t="s">
        <v>50</v>
      </c>
      <c r="G242" s="712"/>
      <c r="H242" s="712"/>
      <c r="I242" s="89">
        <f>C236/C258</f>
        <v>0.92028812524288017</v>
      </c>
      <c r="L242" s="90">
        <f>(C254+F90)/12</f>
        <v>12782833.333333334</v>
      </c>
    </row>
    <row r="243" spans="2:12">
      <c r="B243" s="45" t="s">
        <v>9</v>
      </c>
      <c r="C243" s="47">
        <f>' ER 2016'!C63</f>
        <v>2394000</v>
      </c>
      <c r="D243" s="46">
        <f t="shared" si="47"/>
        <v>3.6103914122753307E-3</v>
      </c>
      <c r="F243" s="669" t="s">
        <v>51</v>
      </c>
      <c r="G243" s="669"/>
      <c r="H243" s="669"/>
      <c r="I243" s="99">
        <f>360/I241</f>
        <v>6.9400047655960169</v>
      </c>
    </row>
    <row r="244" spans="2:12">
      <c r="B244" s="40" t="s">
        <v>10</v>
      </c>
      <c r="C244" s="42">
        <f>' ER 2016'!C65</f>
        <v>35989000</v>
      </c>
      <c r="D244" s="41">
        <f t="shared" si="47"/>
        <v>5.4275011084535037E-2</v>
      </c>
      <c r="F244" s="712" t="s">
        <v>52</v>
      </c>
      <c r="G244" s="712"/>
      <c r="H244" s="712"/>
      <c r="I244" s="89">
        <f>C236/(C261-C257)</f>
        <v>0.74157836169344238</v>
      </c>
    </row>
    <row r="245" spans="2:12">
      <c r="B245" s="45" t="s">
        <v>12</v>
      </c>
      <c r="C245" s="47">
        <f>' ER 2016'!B69</f>
        <v>3239000</v>
      </c>
      <c r="D245" s="46">
        <f t="shared" si="47"/>
        <v>4.8847359166081022E-3</v>
      </c>
      <c r="F245" s="669" t="s">
        <v>53</v>
      </c>
      <c r="G245" s="669"/>
      <c r="H245" s="669"/>
      <c r="I245" s="99">
        <v>9.1</v>
      </c>
    </row>
    <row r="246" spans="2:12">
      <c r="B246" s="74" t="s">
        <v>13</v>
      </c>
      <c r="C246" s="77">
        <f>' ER 2016'!B68</f>
        <v>8997000</v>
      </c>
      <c r="D246" s="76">
        <f t="shared" si="47"/>
        <v>1.3568375746132478E-2</v>
      </c>
      <c r="F246" s="3"/>
      <c r="G246" s="3"/>
      <c r="H246" s="3"/>
      <c r="I246" s="14"/>
    </row>
    <row r="247" spans="2:12">
      <c r="B247" s="78" t="s">
        <v>14</v>
      </c>
      <c r="C247" s="47">
        <f>' ER 2016'!C72</f>
        <v>23753000</v>
      </c>
      <c r="D247" s="46">
        <f t="shared" si="47"/>
        <v>3.5821899421794458E-2</v>
      </c>
      <c r="F247" s="649" t="s">
        <v>56</v>
      </c>
      <c r="G247" s="649"/>
      <c r="H247" s="649"/>
      <c r="I247" s="649"/>
    </row>
    <row r="248" spans="2:12">
      <c r="B248" s="91"/>
      <c r="C248" s="92"/>
      <c r="D248" s="93"/>
      <c r="F248" s="708" t="s">
        <v>57</v>
      </c>
      <c r="G248" s="708"/>
      <c r="H248" s="708"/>
      <c r="I248" s="41">
        <f>C270/C261</f>
        <v>0.18867463287720668</v>
      </c>
    </row>
    <row r="249" spans="2:12">
      <c r="F249" s="712" t="s">
        <v>58</v>
      </c>
      <c r="G249" s="712"/>
      <c r="H249" s="712"/>
      <c r="I249" s="46">
        <f>C264/C270</f>
        <v>0</v>
      </c>
    </row>
    <row r="250" spans="2:12">
      <c r="B250" s="649" t="s">
        <v>54</v>
      </c>
      <c r="C250" s="649"/>
      <c r="D250" s="649"/>
      <c r="F250" s="708" t="s">
        <v>59</v>
      </c>
      <c r="G250" s="708"/>
      <c r="H250" s="708"/>
      <c r="I250" s="41">
        <f>C277/C261</f>
        <v>0.81132536712279335</v>
      </c>
    </row>
    <row r="251" spans="2:12">
      <c r="B251" s="447" t="s">
        <v>0</v>
      </c>
      <c r="C251" s="448">
        <v>42735</v>
      </c>
      <c r="D251" s="447" t="s">
        <v>41</v>
      </c>
      <c r="F251" s="712" t="s">
        <v>60</v>
      </c>
      <c r="G251" s="712"/>
      <c r="H251" s="712"/>
      <c r="I251" s="46">
        <f>C277/C270</f>
        <v>4.3001295656465945</v>
      </c>
    </row>
    <row r="252" spans="2:12">
      <c r="B252" s="40" t="s">
        <v>16</v>
      </c>
      <c r="C252" s="42">
        <f>'ESF 2016'!C12</f>
        <v>3653000</v>
      </c>
      <c r="D252" s="76">
        <f>(C252/$C$261)*100%</f>
        <v>4.2523965566413869E-3</v>
      </c>
      <c r="F252" s="708" t="s">
        <v>61</v>
      </c>
      <c r="G252" s="708"/>
      <c r="H252" s="708"/>
      <c r="I252" s="41">
        <f>C270/C277</f>
        <v>0.23255113240980538</v>
      </c>
    </row>
    <row r="253" spans="2:12">
      <c r="B253" s="45" t="s">
        <v>17</v>
      </c>
      <c r="C253" s="47">
        <f>'ESF 2016'!C18</f>
        <v>133403000</v>
      </c>
      <c r="D253" s="46">
        <f t="shared" ref="D253:D261" si="48">(C253/$C$261)*100%</f>
        <v>0.15529221402836871</v>
      </c>
      <c r="F253" s="712" t="s">
        <v>62</v>
      </c>
      <c r="G253" s="712"/>
      <c r="H253" s="712"/>
      <c r="I253" s="46">
        <f>C269/C270</f>
        <v>1</v>
      </c>
    </row>
    <row r="254" spans="2:12">
      <c r="B254" s="74" t="s">
        <v>18</v>
      </c>
      <c r="C254" s="77">
        <f>'ESF 2016'!B15</f>
        <v>115549000</v>
      </c>
      <c r="D254" s="76">
        <f t="shared" si="48"/>
        <v>0.13450866951091037</v>
      </c>
    </row>
    <row r="255" spans="2:12">
      <c r="B255" s="78" t="s">
        <v>19</v>
      </c>
      <c r="C255" s="47">
        <f>'ESF 2016'!C20</f>
        <v>137056000</v>
      </c>
      <c r="D255" s="46">
        <f t="shared" si="48"/>
        <v>0.1595446105850101</v>
      </c>
      <c r="F255" s="649" t="s">
        <v>63</v>
      </c>
      <c r="G255" s="649"/>
      <c r="H255" s="649"/>
      <c r="I255" s="649"/>
    </row>
    <row r="256" spans="2:12">
      <c r="B256" s="74" t="s">
        <v>20</v>
      </c>
      <c r="C256" s="77">
        <f>'ESF 2016'!B25+'ESF 2016'!B29+'ESF 2016'!B33</f>
        <v>755630000</v>
      </c>
      <c r="D256" s="76">
        <f t="shared" si="48"/>
        <v>0.87961631812070384</v>
      </c>
      <c r="F256" s="708" t="s">
        <v>64</v>
      </c>
      <c r="G256" s="708"/>
      <c r="H256" s="708"/>
      <c r="I256" s="41">
        <f>C238/C236</f>
        <v>0.14105410157958395</v>
      </c>
    </row>
    <row r="257" spans="2:9">
      <c r="B257" s="45" t="s">
        <v>21</v>
      </c>
      <c r="C257" s="47">
        <f>'ESF 2016'!B34</f>
        <v>-35110000</v>
      </c>
      <c r="D257" s="46">
        <f t="shared" si="48"/>
        <v>-4.0870967178669337E-2</v>
      </c>
      <c r="E257" s="80"/>
      <c r="F257" s="712" t="s">
        <v>65</v>
      </c>
      <c r="G257" s="712"/>
      <c r="H257" s="712"/>
      <c r="I257" s="46">
        <f>C241/C236</f>
        <v>5.7885402496810366E-2</v>
      </c>
    </row>
    <row r="258" spans="2:9">
      <c r="B258" s="40" t="s">
        <v>22</v>
      </c>
      <c r="C258" s="42">
        <f>'ESF 2016'!C37</f>
        <v>720520000</v>
      </c>
      <c r="D258" s="76">
        <f t="shared" si="48"/>
        <v>0.83874535094203451</v>
      </c>
      <c r="F258" s="708" t="s">
        <v>66</v>
      </c>
      <c r="G258" s="708"/>
      <c r="H258" s="708"/>
      <c r="I258" s="41">
        <f>C247/C236</f>
        <v>3.5821899421794458E-2</v>
      </c>
    </row>
    <row r="259" spans="2:9">
      <c r="B259" s="45" t="s">
        <v>23</v>
      </c>
      <c r="C259" s="47">
        <f>'ESF 2016'!C41</f>
        <v>1469000</v>
      </c>
      <c r="D259" s="46">
        <f t="shared" si="48"/>
        <v>1.7100384729554332E-3</v>
      </c>
      <c r="F259" s="712" t="s">
        <v>67</v>
      </c>
      <c r="G259" s="712"/>
      <c r="H259" s="712"/>
      <c r="I259" s="46">
        <f>C247/C277</f>
        <v>3.4080620978097893E-2</v>
      </c>
    </row>
    <row r="260" spans="2:9">
      <c r="B260" s="79" t="s">
        <v>24</v>
      </c>
      <c r="C260" s="77">
        <f>'ESF 2016'!C43</f>
        <v>721989000</v>
      </c>
      <c r="D260" s="76">
        <f t="shared" si="48"/>
        <v>0.84045538941498987</v>
      </c>
      <c r="F260" s="708" t="s">
        <v>68</v>
      </c>
      <c r="G260" s="708"/>
      <c r="H260" s="708"/>
      <c r="I260" s="41">
        <f>C247/C261</f>
        <v>2.7650472326828046E-2</v>
      </c>
    </row>
    <row r="261" spans="2:9">
      <c r="B261" s="78" t="s">
        <v>25</v>
      </c>
      <c r="C261" s="47">
        <f>'ESF 2016'!C45</f>
        <v>859045000</v>
      </c>
      <c r="D261" s="46">
        <f t="shared" si="48"/>
        <v>1</v>
      </c>
      <c r="F261" s="717"/>
      <c r="G261" s="717"/>
      <c r="H261" s="717"/>
      <c r="I261" s="85"/>
    </row>
    <row r="262" spans="2:9">
      <c r="F262" s="95"/>
      <c r="G262" s="95"/>
      <c r="H262" s="95"/>
      <c r="I262" s="85"/>
    </row>
    <row r="263" spans="2:9">
      <c r="B263" s="449" t="s">
        <v>0</v>
      </c>
      <c r="C263" s="448">
        <v>42735</v>
      </c>
      <c r="D263" s="447" t="s">
        <v>55</v>
      </c>
      <c r="F263" s="95"/>
      <c r="G263" s="95"/>
      <c r="H263" s="95"/>
      <c r="I263" s="85"/>
    </row>
    <row r="264" spans="2:9">
      <c r="B264" s="40" t="s">
        <v>26</v>
      </c>
      <c r="C264" s="42">
        <f>'ESF 2017'!C102</f>
        <v>0</v>
      </c>
      <c r="D264" s="52">
        <f>(C264/$C$278)*100%</f>
        <v>0</v>
      </c>
      <c r="F264" s="95"/>
      <c r="G264" s="95"/>
      <c r="H264" s="95"/>
      <c r="I264" s="85"/>
    </row>
    <row r="265" spans="2:9">
      <c r="B265" s="45" t="s">
        <v>27</v>
      </c>
      <c r="C265" s="47">
        <f>'ESF 2016'!C57</f>
        <v>38622000</v>
      </c>
      <c r="D265" s="46">
        <f t="shared" ref="D265:D270" si="49">(C265/$C$278)*100%</f>
        <v>4.4959227979907923E-2</v>
      </c>
      <c r="F265" s="95"/>
      <c r="G265" s="95"/>
      <c r="H265" s="95"/>
      <c r="I265" s="85"/>
    </row>
    <row r="266" spans="2:9">
      <c r="B266" s="40" t="s">
        <v>28</v>
      </c>
      <c r="C266" s="42">
        <f>'ESF 2016'!C64</f>
        <v>71364000</v>
      </c>
      <c r="D266" s="52">
        <f t="shared" si="49"/>
        <v>8.3073645734507512E-2</v>
      </c>
      <c r="F266" s="95"/>
      <c r="G266" s="95"/>
      <c r="H266" s="95"/>
      <c r="I266" s="85"/>
    </row>
    <row r="267" spans="2:9">
      <c r="B267" s="45" t="s">
        <v>29</v>
      </c>
      <c r="C267" s="47">
        <f>'ESF 2016'!C77</f>
        <v>12236000</v>
      </c>
      <c r="D267" s="46">
        <f t="shared" si="49"/>
        <v>1.4243724135522585E-2</v>
      </c>
      <c r="F267" s="717"/>
      <c r="G267" s="717"/>
      <c r="H267" s="717"/>
      <c r="I267" s="85"/>
    </row>
    <row r="268" spans="2:9">
      <c r="B268" s="51" t="s">
        <v>243</v>
      </c>
      <c r="C268" s="53">
        <f>'ESF 2016'!C72+'ESF 2016'!C68</f>
        <v>39858000</v>
      </c>
      <c r="D268" s="52">
        <f t="shared" si="49"/>
        <v>4.639803502726865E-2</v>
      </c>
      <c r="F268" s="717"/>
      <c r="G268" s="717"/>
      <c r="H268" s="717"/>
      <c r="I268" s="85"/>
    </row>
    <row r="269" spans="2:9">
      <c r="B269" s="78" t="s">
        <v>31</v>
      </c>
      <c r="C269" s="47">
        <f>SUM(C264:C268)</f>
        <v>162080000</v>
      </c>
      <c r="D269" s="46">
        <f t="shared" si="49"/>
        <v>0.18867463287720668</v>
      </c>
    </row>
    <row r="270" spans="2:9">
      <c r="B270" s="96" t="s">
        <v>32</v>
      </c>
      <c r="C270" s="53">
        <f>+C269</f>
        <v>162080000</v>
      </c>
      <c r="D270" s="52">
        <f t="shared" si="49"/>
        <v>0.18867463287720668</v>
      </c>
    </row>
    <row r="272" spans="2:9">
      <c r="B272" s="442" t="s">
        <v>0</v>
      </c>
      <c r="C272" s="448">
        <v>42735</v>
      </c>
      <c r="D272" s="447" t="s">
        <v>55</v>
      </c>
    </row>
    <row r="273" spans="2:4">
      <c r="B273" s="40" t="s">
        <v>34</v>
      </c>
      <c r="C273" s="42">
        <f>'ESF 2016'!C84</f>
        <v>620000000</v>
      </c>
      <c r="D273" s="52">
        <f>(C273/$C$278)*100%</f>
        <v>0.72173169042366814</v>
      </c>
    </row>
    <row r="274" spans="2:4">
      <c r="B274" s="45" t="s">
        <v>35</v>
      </c>
      <c r="C274" s="47">
        <f>'ESF 2016'!C88</f>
        <v>5321000</v>
      </c>
      <c r="D274" s="46">
        <f t="shared" ref="D274:D278" si="50">(C274/$C$278)*100%</f>
        <v>6.194087620555384E-3</v>
      </c>
    </row>
    <row r="275" spans="2:4">
      <c r="B275" s="74" t="s">
        <v>36</v>
      </c>
      <c r="C275" s="77">
        <f>'ESF 2016'!C92</f>
        <v>23753000</v>
      </c>
      <c r="D275" s="76">
        <f t="shared" si="50"/>
        <v>2.7650472326828046E-2</v>
      </c>
    </row>
    <row r="276" spans="2:4">
      <c r="B276" s="45" t="s">
        <v>37</v>
      </c>
      <c r="C276" s="47">
        <f>'ESF 2016'!C96</f>
        <v>47891000</v>
      </c>
      <c r="D276" s="46">
        <f t="shared" si="50"/>
        <v>5.574911675174176E-2</v>
      </c>
    </row>
    <row r="277" spans="2:4">
      <c r="B277" s="82" t="s">
        <v>38</v>
      </c>
      <c r="C277" s="42">
        <f>'ESF 2016'!C98</f>
        <v>696965000</v>
      </c>
      <c r="D277" s="52">
        <f t="shared" si="50"/>
        <v>0.81132536712279335</v>
      </c>
    </row>
    <row r="278" spans="2:4">
      <c r="B278" s="78" t="s">
        <v>39</v>
      </c>
      <c r="C278" s="47">
        <f>'ESF 2016'!C100</f>
        <v>859045000</v>
      </c>
      <c r="D278" s="46">
        <f t="shared" si="50"/>
        <v>1</v>
      </c>
    </row>
    <row r="279" spans="2:4">
      <c r="B279" s="83"/>
      <c r="C279" s="84"/>
      <c r="D279" s="85"/>
    </row>
    <row r="280" spans="2:4">
      <c r="B280" s="83"/>
      <c r="C280" s="84"/>
      <c r="D280" s="85"/>
    </row>
    <row r="281" spans="2:4">
      <c r="B281" s="83"/>
      <c r="C281" s="84"/>
      <c r="D281" s="85"/>
    </row>
    <row r="282" spans="2:4">
      <c r="B282" s="83"/>
      <c r="C282" s="84"/>
      <c r="D282" s="85"/>
    </row>
    <row r="283" spans="2:4">
      <c r="B283" s="83"/>
      <c r="C283" s="84"/>
      <c r="D283" s="85"/>
    </row>
    <row r="284" spans="2:4">
      <c r="B284" s="83"/>
      <c r="C284" s="84"/>
      <c r="D284" s="85"/>
    </row>
    <row r="285" spans="2:4">
      <c r="B285" s="83"/>
      <c r="C285" s="84"/>
      <c r="D285" s="85"/>
    </row>
    <row r="286" spans="2:4">
      <c r="B286" s="83"/>
      <c r="C286" s="84"/>
      <c r="D286" s="85"/>
    </row>
    <row r="287" spans="2:4">
      <c r="B287" s="83"/>
      <c r="C287" s="84"/>
      <c r="D287" s="85"/>
    </row>
    <row r="288" spans="2:4">
      <c r="B288" s="83"/>
      <c r="C288" s="84"/>
      <c r="D288" s="85"/>
    </row>
    <row r="289" spans="2:4">
      <c r="B289" s="83"/>
      <c r="C289" s="84"/>
      <c r="D289" s="85"/>
    </row>
    <row r="290" spans="2:4">
      <c r="B290" s="83"/>
      <c r="C290" s="84"/>
      <c r="D290" s="85"/>
    </row>
    <row r="291" spans="2:4">
      <c r="B291" s="83"/>
      <c r="C291" s="84"/>
      <c r="D291" s="85"/>
    </row>
    <row r="292" spans="2:4">
      <c r="B292" s="83"/>
      <c r="C292" s="84"/>
      <c r="D292" s="85"/>
    </row>
    <row r="293" spans="2:4">
      <c r="B293" s="83"/>
      <c r="C293" s="84"/>
      <c r="D293" s="85"/>
    </row>
    <row r="294" spans="2:4">
      <c r="B294" s="83"/>
      <c r="C294" s="84"/>
      <c r="D294" s="85"/>
    </row>
    <row r="295" spans="2:4">
      <c r="B295" s="83"/>
      <c r="C295" s="84"/>
      <c r="D295" s="85"/>
    </row>
    <row r="296" spans="2:4">
      <c r="B296" s="83"/>
      <c r="C296" s="84"/>
      <c r="D296" s="85"/>
    </row>
    <row r="297" spans="2:4">
      <c r="B297" s="83"/>
      <c r="C297" s="84"/>
      <c r="D297" s="85"/>
    </row>
    <row r="298" spans="2:4">
      <c r="B298" s="83"/>
      <c r="C298" s="84"/>
      <c r="D298" s="85"/>
    </row>
    <row r="299" spans="2:4">
      <c r="B299" s="83"/>
      <c r="C299" s="84"/>
      <c r="D299" s="85"/>
    </row>
    <row r="300" spans="2:4">
      <c r="B300" s="83"/>
      <c r="C300" s="84"/>
      <c r="D300" s="85"/>
    </row>
    <row r="301" spans="2:4">
      <c r="B301" s="83"/>
      <c r="C301" s="84"/>
      <c r="D301" s="85"/>
    </row>
    <row r="302" spans="2:4">
      <c r="B302" s="83"/>
      <c r="C302" s="84"/>
      <c r="D302" s="85"/>
    </row>
    <row r="303" spans="2:4">
      <c r="B303" s="83"/>
      <c r="C303" s="84"/>
      <c r="D303" s="85"/>
    </row>
    <row r="304" spans="2:4">
      <c r="B304" s="83"/>
      <c r="C304" s="84"/>
      <c r="D304" s="85"/>
    </row>
    <row r="305" spans="2:9">
      <c r="B305" s="83"/>
      <c r="C305" s="84"/>
      <c r="D305" s="85"/>
    </row>
    <row r="306" spans="2:9">
      <c r="B306" s="83"/>
      <c r="C306" s="84"/>
      <c r="D306" s="85"/>
    </row>
    <row r="307" spans="2:9">
      <c r="B307" s="83"/>
      <c r="C307" s="84"/>
      <c r="D307" s="85"/>
    </row>
    <row r="308" spans="2:9">
      <c r="B308" s="83"/>
      <c r="C308" s="84"/>
      <c r="D308" s="85"/>
    </row>
    <row r="309" spans="2:9">
      <c r="B309" s="83"/>
      <c r="C309" s="84"/>
      <c r="D309" s="85"/>
    </row>
    <row r="310" spans="2:9">
      <c r="B310" s="83"/>
      <c r="C310" s="84"/>
      <c r="D310" s="85"/>
    </row>
    <row r="311" spans="2:9">
      <c r="B311" s="83"/>
      <c r="C311" s="84"/>
      <c r="D311" s="85"/>
    </row>
    <row r="312" spans="2:9">
      <c r="B312" s="83"/>
      <c r="C312" s="84"/>
      <c r="D312" s="85"/>
    </row>
    <row r="313" spans="2:9">
      <c r="B313" s="83"/>
      <c r="C313" s="84"/>
      <c r="D313" s="85"/>
    </row>
    <row r="314" spans="2:9">
      <c r="B314" s="97"/>
      <c r="C314" s="98"/>
      <c r="D314" s="44"/>
    </row>
    <row r="315" spans="2:9">
      <c r="B315" s="684" t="s">
        <v>248</v>
      </c>
      <c r="C315" s="684"/>
      <c r="D315" s="684"/>
      <c r="E315" s="684"/>
      <c r="F315" s="684"/>
      <c r="G315" s="684"/>
      <c r="H315" s="684"/>
      <c r="I315" s="684"/>
    </row>
    <row r="317" spans="2:9">
      <c r="B317" s="649" t="s">
        <v>40</v>
      </c>
      <c r="C317" s="649"/>
      <c r="D317" s="649"/>
      <c r="F317" s="649" t="s">
        <v>44</v>
      </c>
      <c r="G317" s="649"/>
      <c r="H317" s="649"/>
      <c r="I317" s="649"/>
    </row>
    <row r="318" spans="2:9">
      <c r="B318" s="716"/>
      <c r="C318" s="716"/>
      <c r="D318" s="716"/>
      <c r="F318" s="716"/>
      <c r="G318" s="716"/>
      <c r="H318" s="716"/>
      <c r="I318" s="716"/>
    </row>
    <row r="319" spans="2:9">
      <c r="B319" s="447" t="s">
        <v>0</v>
      </c>
      <c r="C319" s="448">
        <v>42369</v>
      </c>
      <c r="D319" s="447" t="s">
        <v>41</v>
      </c>
      <c r="F319" s="649" t="s">
        <v>45</v>
      </c>
      <c r="G319" s="649"/>
      <c r="H319" s="649"/>
      <c r="I319" s="649"/>
    </row>
    <row r="320" spans="2:9">
      <c r="B320" s="82" t="s">
        <v>3</v>
      </c>
      <c r="C320" s="42">
        <f>'ER 2015'!C11</f>
        <v>344142000</v>
      </c>
      <c r="D320" s="41">
        <f>(C320/$C$320)*100%</f>
        <v>1</v>
      </c>
      <c r="F320" s="708" t="s">
        <v>46</v>
      </c>
      <c r="G320" s="708"/>
      <c r="H320" s="708"/>
      <c r="I320" s="86">
        <f>C339/C353</f>
        <v>0.37709034781148282</v>
      </c>
    </row>
    <row r="321" spans="2:12">
      <c r="B321" s="45" t="s">
        <v>42</v>
      </c>
      <c r="C321" s="47">
        <f>'ER 2015'!C22</f>
        <v>243387000</v>
      </c>
      <c r="D321" s="46">
        <f t="shared" ref="D321:D331" si="51">(C321/$C$320)*100%</f>
        <v>0.70722841152779958</v>
      </c>
      <c r="F321" s="712" t="s">
        <v>47</v>
      </c>
      <c r="G321" s="712"/>
      <c r="H321" s="712"/>
      <c r="I321" s="45">
        <v>0</v>
      </c>
    </row>
    <row r="322" spans="2:12">
      <c r="B322" s="40" t="s">
        <v>5</v>
      </c>
      <c r="C322" s="42">
        <f>'ER 2015'!C24</f>
        <v>100755000</v>
      </c>
      <c r="D322" s="41">
        <f t="shared" si="51"/>
        <v>0.29277158847220042</v>
      </c>
      <c r="F322" s="707" t="s">
        <v>244</v>
      </c>
      <c r="G322" s="707"/>
      <c r="H322" s="707"/>
      <c r="I322" s="77">
        <f>C339-C353</f>
        <v>-77888000</v>
      </c>
    </row>
    <row r="323" spans="2:12" ht="19.5" customHeight="1">
      <c r="B323" s="87" t="s">
        <v>43</v>
      </c>
      <c r="C323" s="88">
        <f>'ER 2015'!C32</f>
        <v>28543000</v>
      </c>
      <c r="D323" s="46">
        <f t="shared" si="51"/>
        <v>8.2939600513741427E-2</v>
      </c>
    </row>
    <row r="324" spans="2:12">
      <c r="B324" s="40" t="s">
        <v>6</v>
      </c>
      <c r="C324" s="42">
        <f>' ER 2016'!C97</f>
        <v>0</v>
      </c>
      <c r="D324" s="41">
        <f t="shared" si="51"/>
        <v>0</v>
      </c>
      <c r="F324" s="649" t="s">
        <v>48</v>
      </c>
      <c r="G324" s="649"/>
      <c r="H324" s="649"/>
      <c r="I324" s="649"/>
    </row>
    <row r="325" spans="2:12">
      <c r="B325" s="78" t="s">
        <v>7</v>
      </c>
      <c r="C325" s="47">
        <f>'ER 2015'!C36</f>
        <v>72212000</v>
      </c>
      <c r="D325" s="46">
        <f t="shared" si="51"/>
        <v>0.209831987958459</v>
      </c>
      <c r="F325" s="708" t="s">
        <v>49</v>
      </c>
      <c r="G325" s="708"/>
      <c r="H325" s="708"/>
      <c r="I325" s="86">
        <f>C320/L326</f>
        <v>85.432135542729469</v>
      </c>
      <c r="L325" s="36" t="s">
        <v>245</v>
      </c>
    </row>
    <row r="326" spans="2:12">
      <c r="B326" s="40" t="s">
        <v>8</v>
      </c>
      <c r="C326" s="42">
        <f>'ER 2015'!C40</f>
        <v>25000</v>
      </c>
      <c r="D326" s="41">
        <f t="shared" si="51"/>
        <v>7.2644431659024474E-5</v>
      </c>
      <c r="F326" s="712" t="s">
        <v>50</v>
      </c>
      <c r="G326" s="712"/>
      <c r="H326" s="712"/>
      <c r="I326" s="89">
        <f>C320/C342</f>
        <v>0.45818399680468647</v>
      </c>
      <c r="L326" s="90">
        <f>(C338+F120)/12</f>
        <v>4028250</v>
      </c>
    </row>
    <row r="327" spans="2:12">
      <c r="B327" s="45" t="s">
        <v>9</v>
      </c>
      <c r="C327" s="47">
        <f>'ER 2015'!C44</f>
        <v>3456000</v>
      </c>
      <c r="D327" s="46">
        <f t="shared" si="51"/>
        <v>1.0042366232543544E-2</v>
      </c>
      <c r="F327" s="708" t="s">
        <v>51</v>
      </c>
      <c r="G327" s="708"/>
      <c r="H327" s="708"/>
      <c r="I327" s="86">
        <f>360/I325</f>
        <v>4.2138710183587014</v>
      </c>
    </row>
    <row r="328" spans="2:12">
      <c r="B328" s="40" t="s">
        <v>10</v>
      </c>
      <c r="C328" s="42">
        <f>'ER 2015'!C46</f>
        <v>68781000</v>
      </c>
      <c r="D328" s="41">
        <f t="shared" si="51"/>
        <v>0.19986226615757449</v>
      </c>
      <c r="F328" s="712" t="s">
        <v>52</v>
      </c>
      <c r="G328" s="712"/>
      <c r="H328" s="712"/>
      <c r="I328" s="89">
        <f>C320/(C345-C341)</f>
        <v>0.43112003617909656</v>
      </c>
    </row>
    <row r="329" spans="2:12">
      <c r="B329" s="45" t="s">
        <v>12</v>
      </c>
      <c r="C329" s="47">
        <f>'ER 2015'!B50</f>
        <v>3768000</v>
      </c>
      <c r="D329" s="46">
        <f t="shared" si="51"/>
        <v>1.0948968739648169E-2</v>
      </c>
      <c r="F329" s="708" t="s">
        <v>53</v>
      </c>
      <c r="G329" s="708"/>
      <c r="H329" s="708"/>
      <c r="I329" s="86">
        <v>9.1</v>
      </c>
    </row>
    <row r="330" spans="2:12">
      <c r="B330" s="74" t="s">
        <v>13</v>
      </c>
      <c r="C330" s="77">
        <f>'ER 2015'!B49</f>
        <v>17195000</v>
      </c>
      <c r="D330" s="76">
        <f t="shared" si="51"/>
        <v>4.9964840095077033E-2</v>
      </c>
    </row>
    <row r="331" spans="2:12">
      <c r="B331" s="78" t="s">
        <v>14</v>
      </c>
      <c r="C331" s="47">
        <f>'ER 2015'!C53</f>
        <v>47818000</v>
      </c>
      <c r="D331" s="46">
        <f t="shared" si="51"/>
        <v>0.1389484573228493</v>
      </c>
      <c r="F331" s="649" t="s">
        <v>56</v>
      </c>
      <c r="G331" s="649"/>
      <c r="H331" s="649"/>
      <c r="I331" s="649"/>
    </row>
    <row r="332" spans="2:12">
      <c r="B332" s="91"/>
      <c r="C332" s="92"/>
      <c r="D332" s="93"/>
      <c r="F332" s="708" t="s">
        <v>57</v>
      </c>
      <c r="G332" s="708"/>
      <c r="H332" s="708"/>
      <c r="I332" s="41">
        <f>C354/C345</f>
        <v>0.15664120683845056</v>
      </c>
    </row>
    <row r="333" spans="2:12">
      <c r="F333" s="712" t="s">
        <v>58</v>
      </c>
      <c r="G333" s="712"/>
      <c r="H333" s="712"/>
      <c r="I333" s="46">
        <f>C348/C354</f>
        <v>0</v>
      </c>
    </row>
    <row r="334" spans="2:12">
      <c r="B334" s="659" t="s">
        <v>54</v>
      </c>
      <c r="C334" s="659"/>
      <c r="D334" s="659"/>
      <c r="F334" s="708" t="s">
        <v>59</v>
      </c>
      <c r="G334" s="708"/>
      <c r="H334" s="708"/>
      <c r="I334" s="41">
        <f>C361/C345</f>
        <v>0.84335879316154949</v>
      </c>
    </row>
    <row r="335" spans="2:12">
      <c r="B335" s="447" t="s">
        <v>0</v>
      </c>
      <c r="C335" s="448">
        <v>42369</v>
      </c>
      <c r="D335" s="447" t="s">
        <v>41</v>
      </c>
      <c r="F335" s="712" t="s">
        <v>60</v>
      </c>
      <c r="G335" s="712"/>
      <c r="H335" s="712"/>
      <c r="I335" s="46">
        <f>C361/C354</f>
        <v>5.3840161869496717</v>
      </c>
    </row>
    <row r="336" spans="2:12">
      <c r="B336" s="40" t="s">
        <v>16</v>
      </c>
      <c r="C336" s="42">
        <f>'ESF 2015'!C12</f>
        <v>3065000</v>
      </c>
      <c r="D336" s="76">
        <f>(C336/$C$345)*100%</f>
        <v>3.8396444226189508E-3</v>
      </c>
      <c r="F336" s="708" t="s">
        <v>61</v>
      </c>
      <c r="G336" s="708"/>
      <c r="H336" s="708"/>
      <c r="I336" s="41">
        <f>C354/C361</f>
        <v>0.18573495421947323</v>
      </c>
    </row>
    <row r="337" spans="2:9">
      <c r="B337" s="45" t="s">
        <v>17</v>
      </c>
      <c r="C337" s="47">
        <f>'ESF 2015'!C17</f>
        <v>44086000</v>
      </c>
      <c r="D337" s="46">
        <f t="shared" ref="D337:D345" si="52">(C337/$C$345)*100%</f>
        <v>5.5228242745702795E-2</v>
      </c>
      <c r="F337" s="712" t="s">
        <v>62</v>
      </c>
      <c r="G337" s="712"/>
      <c r="H337" s="712"/>
      <c r="I337" s="46">
        <f>C353/C354</f>
        <v>1</v>
      </c>
    </row>
    <row r="338" spans="2:9">
      <c r="B338" s="74" t="s">
        <v>18</v>
      </c>
      <c r="C338" s="77">
        <f>'ESF 2015'!B15</f>
        <v>37845000</v>
      </c>
      <c r="D338" s="76">
        <f t="shared" si="52"/>
        <v>4.7409899893642478E-2</v>
      </c>
    </row>
    <row r="339" spans="2:9">
      <c r="B339" s="78" t="s">
        <v>19</v>
      </c>
      <c r="C339" s="47">
        <f>'ESF 2015'!C19</f>
        <v>47151000</v>
      </c>
      <c r="D339" s="46">
        <f t="shared" si="52"/>
        <v>5.9067887168321745E-2</v>
      </c>
      <c r="F339" s="649" t="s">
        <v>63</v>
      </c>
      <c r="G339" s="649"/>
      <c r="H339" s="649"/>
      <c r="I339" s="649"/>
    </row>
    <row r="340" spans="2:9">
      <c r="B340" s="40" t="s">
        <v>20</v>
      </c>
      <c r="C340" s="42">
        <f>'ESF 2015'!C25</f>
        <v>751100000</v>
      </c>
      <c r="D340" s="76">
        <f t="shared" si="52"/>
        <v>0.94093211283167821</v>
      </c>
      <c r="F340" s="708" t="s">
        <v>64</v>
      </c>
      <c r="G340" s="708"/>
      <c r="H340" s="708"/>
      <c r="I340" s="41">
        <f>C322/C320</f>
        <v>0.29277158847220042</v>
      </c>
    </row>
    <row r="341" spans="2:9">
      <c r="B341" s="45" t="s">
        <v>21</v>
      </c>
      <c r="C341" s="47">
        <v>0</v>
      </c>
      <c r="D341" s="46">
        <f t="shared" si="52"/>
        <v>0</v>
      </c>
      <c r="F341" s="712" t="s">
        <v>65</v>
      </c>
      <c r="G341" s="712"/>
      <c r="H341" s="712"/>
      <c r="I341" s="46">
        <f>C325/C320</f>
        <v>0.209831987958459</v>
      </c>
    </row>
    <row r="342" spans="2:9">
      <c r="B342" s="40" t="s">
        <v>22</v>
      </c>
      <c r="C342" s="42">
        <f>'ESF 2015'!B24</f>
        <v>751100000</v>
      </c>
      <c r="D342" s="76">
        <f t="shared" si="52"/>
        <v>0.94093211283167821</v>
      </c>
      <c r="F342" s="708" t="s">
        <v>66</v>
      </c>
      <c r="G342" s="708"/>
      <c r="H342" s="708"/>
      <c r="I342" s="41">
        <f>C331/C320</f>
        <v>0.1389484573228493</v>
      </c>
    </row>
    <row r="343" spans="2:9">
      <c r="B343" s="45" t="s">
        <v>23</v>
      </c>
      <c r="C343" s="47">
        <v>0</v>
      </c>
      <c r="D343" s="46">
        <f t="shared" si="52"/>
        <v>0</v>
      </c>
      <c r="F343" s="712" t="s">
        <v>67</v>
      </c>
      <c r="G343" s="712"/>
      <c r="H343" s="712"/>
      <c r="I343" s="46">
        <f>C331/C361</f>
        <v>7.1029631082036568E-2</v>
      </c>
    </row>
    <row r="344" spans="2:9">
      <c r="B344" s="79" t="s">
        <v>24</v>
      </c>
      <c r="C344" s="77">
        <f>'ESF 2015'!C27</f>
        <v>751100000</v>
      </c>
      <c r="D344" s="76">
        <f t="shared" si="52"/>
        <v>0.94093211283167821</v>
      </c>
      <c r="F344" s="708" t="s">
        <v>68</v>
      </c>
      <c r="G344" s="708"/>
      <c r="H344" s="708"/>
      <c r="I344" s="41">
        <f>C331/C345</f>
        <v>5.9903463948056436E-2</v>
      </c>
    </row>
    <row r="345" spans="2:9">
      <c r="B345" s="78" t="s">
        <v>25</v>
      </c>
      <c r="C345" s="47">
        <f>'ESF 2015'!C29</f>
        <v>798251000</v>
      </c>
      <c r="D345" s="46">
        <f t="shared" si="52"/>
        <v>1</v>
      </c>
      <c r="F345" s="717"/>
      <c r="G345" s="717"/>
      <c r="H345" s="717"/>
      <c r="I345" s="85"/>
    </row>
    <row r="346" spans="2:9">
      <c r="F346" s="717"/>
      <c r="G346" s="717"/>
      <c r="H346" s="717"/>
      <c r="I346" s="85"/>
    </row>
    <row r="347" spans="2:9">
      <c r="B347" s="449" t="s">
        <v>0</v>
      </c>
      <c r="C347" s="448">
        <v>42369</v>
      </c>
      <c r="D347" s="447" t="s">
        <v>55</v>
      </c>
      <c r="F347" s="95"/>
      <c r="G347" s="95"/>
      <c r="H347" s="95"/>
      <c r="I347" s="85"/>
    </row>
    <row r="348" spans="2:9">
      <c r="B348" s="40" t="s">
        <v>26</v>
      </c>
      <c r="C348" s="42">
        <f>'ESF 2017'!C151</f>
        <v>0</v>
      </c>
      <c r="D348" s="52">
        <f>(C348/$C$362)*100%</f>
        <v>0</v>
      </c>
      <c r="F348" s="95"/>
      <c r="G348" s="95"/>
      <c r="H348" s="95"/>
      <c r="I348" s="85"/>
    </row>
    <row r="349" spans="2:9">
      <c r="B349" s="45" t="s">
        <v>27</v>
      </c>
      <c r="C349" s="47">
        <f>'ESF 2016'!C104</f>
        <v>0</v>
      </c>
      <c r="D349" s="46">
        <f t="shared" ref="D349:D354" si="53">(C349/$C$362)*100%</f>
        <v>0</v>
      </c>
      <c r="F349" s="95"/>
      <c r="G349" s="95"/>
      <c r="H349" s="95"/>
      <c r="I349" s="85"/>
    </row>
    <row r="350" spans="2:9">
      <c r="B350" s="40" t="s">
        <v>28</v>
      </c>
      <c r="C350" s="42">
        <f>'ESF 2015'!C37</f>
        <v>104076000</v>
      </c>
      <c r="D350" s="52">
        <f t="shared" si="53"/>
        <v>0.13038004336981726</v>
      </c>
      <c r="F350" s="95"/>
      <c r="G350" s="95"/>
      <c r="H350" s="95"/>
      <c r="I350" s="85"/>
    </row>
    <row r="351" spans="2:9">
      <c r="B351" s="45" t="s">
        <v>29</v>
      </c>
      <c r="C351" s="47">
        <f>'ESF 2015'!C42</f>
        <v>20963000</v>
      </c>
      <c r="D351" s="46">
        <f t="shared" si="53"/>
        <v>2.6261163468633299E-2</v>
      </c>
      <c r="F351" s="95"/>
      <c r="G351" s="95"/>
      <c r="H351" s="95"/>
      <c r="I351" s="85"/>
    </row>
    <row r="352" spans="2:9">
      <c r="B352" s="51" t="s">
        <v>243</v>
      </c>
      <c r="C352" s="53">
        <f>'ESF 2016'!C119+'ESF 2016'!C115</f>
        <v>0</v>
      </c>
      <c r="D352" s="52">
        <f t="shared" si="53"/>
        <v>0</v>
      </c>
      <c r="F352" s="717"/>
      <c r="G352" s="717"/>
      <c r="H352" s="717"/>
      <c r="I352" s="85"/>
    </row>
    <row r="353" spans="2:4">
      <c r="B353" s="78" t="s">
        <v>31</v>
      </c>
      <c r="C353" s="47">
        <f>SUM(C348:C352)</f>
        <v>125039000</v>
      </c>
      <c r="D353" s="46">
        <f t="shared" si="53"/>
        <v>0.15664120683845056</v>
      </c>
    </row>
    <row r="354" spans="2:4">
      <c r="B354" s="96" t="s">
        <v>32</v>
      </c>
      <c r="C354" s="53">
        <f>+C353</f>
        <v>125039000</v>
      </c>
      <c r="D354" s="52">
        <f t="shared" si="53"/>
        <v>0.15664120683845056</v>
      </c>
    </row>
    <row r="356" spans="2:4">
      <c r="B356" s="442" t="s">
        <v>0</v>
      </c>
      <c r="C356" s="448">
        <v>42369</v>
      </c>
      <c r="D356" s="447" t="s">
        <v>55</v>
      </c>
    </row>
    <row r="357" spans="2:4">
      <c r="B357" s="40" t="s">
        <v>34</v>
      </c>
      <c r="C357" s="42">
        <f>'ESF 2015'!B54</f>
        <v>620000000</v>
      </c>
      <c r="D357" s="52">
        <f>(C357/$C$362)*100%</f>
        <v>0.77669805612520371</v>
      </c>
    </row>
    <row r="358" spans="2:4">
      <c r="B358" s="45" t="s">
        <v>35</v>
      </c>
      <c r="C358" s="47">
        <f>'ESF 2016'!C135</f>
        <v>0</v>
      </c>
      <c r="D358" s="46">
        <f t="shared" ref="D358:D362" si="54">(C358/$C$362)*100%</f>
        <v>0</v>
      </c>
    </row>
    <row r="359" spans="2:4">
      <c r="B359" s="74" t="s">
        <v>36</v>
      </c>
      <c r="C359" s="77">
        <f>'ESF 2015'!C59</f>
        <v>47818000</v>
      </c>
      <c r="D359" s="76">
        <f t="shared" si="54"/>
        <v>5.9903463948056436E-2</v>
      </c>
    </row>
    <row r="360" spans="2:4">
      <c r="B360" s="45" t="s">
        <v>37</v>
      </c>
      <c r="C360" s="47">
        <f>'ESF 2015'!B66</f>
        <v>4855000</v>
      </c>
      <c r="D360" s="46">
        <f t="shared" si="54"/>
        <v>6.0820468749804256E-3</v>
      </c>
    </row>
    <row r="361" spans="2:4">
      <c r="B361" s="82" t="s">
        <v>38</v>
      </c>
      <c r="C361" s="42">
        <f>'ESF 2015'!C69</f>
        <v>673212000</v>
      </c>
      <c r="D361" s="52">
        <f t="shared" si="54"/>
        <v>0.84335879316154949</v>
      </c>
    </row>
    <row r="362" spans="2:4">
      <c r="B362" s="78" t="s">
        <v>39</v>
      </c>
      <c r="C362" s="47">
        <f>'ESF 2015'!C71</f>
        <v>798251000</v>
      </c>
      <c r="D362" s="46">
        <f t="shared" si="54"/>
        <v>1</v>
      </c>
    </row>
    <row r="363" spans="2:4">
      <c r="B363" s="83"/>
      <c r="C363" s="84"/>
      <c r="D363" s="85"/>
    </row>
    <row r="364" spans="2:4">
      <c r="B364" s="83"/>
      <c r="C364" s="84"/>
      <c r="D364" s="85"/>
    </row>
    <row r="365" spans="2:4">
      <c r="B365" s="83"/>
      <c r="C365" s="84"/>
      <c r="D365" s="85"/>
    </row>
    <row r="366" spans="2:4">
      <c r="B366" s="83"/>
      <c r="C366" s="84"/>
      <c r="D366" s="85"/>
    </row>
    <row r="367" spans="2:4">
      <c r="B367" s="83"/>
      <c r="C367" s="84"/>
      <c r="D367" s="85"/>
    </row>
    <row r="368" spans="2:4">
      <c r="B368" s="83"/>
      <c r="C368" s="84"/>
      <c r="D368" s="85"/>
    </row>
    <row r="369" spans="2:4">
      <c r="B369" s="83"/>
      <c r="C369" s="84"/>
      <c r="D369" s="85"/>
    </row>
    <row r="370" spans="2:4">
      <c r="B370" s="83"/>
      <c r="C370" s="84"/>
      <c r="D370" s="85"/>
    </row>
    <row r="371" spans="2:4">
      <c r="B371" s="83"/>
      <c r="C371" s="84"/>
      <c r="D371" s="85"/>
    </row>
    <row r="372" spans="2:4">
      <c r="B372" s="83"/>
      <c r="C372" s="84"/>
      <c r="D372" s="85"/>
    </row>
    <row r="373" spans="2:4">
      <c r="B373" s="83"/>
      <c r="C373" s="84"/>
      <c r="D373" s="85"/>
    </row>
    <row r="374" spans="2:4">
      <c r="B374" s="83"/>
      <c r="C374" s="84"/>
      <c r="D374" s="85"/>
    </row>
    <row r="375" spans="2:4">
      <c r="B375" s="83"/>
      <c r="C375" s="84"/>
      <c r="D375" s="85"/>
    </row>
    <row r="376" spans="2:4">
      <c r="B376" s="83"/>
      <c r="C376" s="84"/>
      <c r="D376" s="85"/>
    </row>
    <row r="377" spans="2:4">
      <c r="B377" s="83"/>
      <c r="C377" s="84"/>
      <c r="D377" s="85"/>
    </row>
    <row r="378" spans="2:4">
      <c r="B378" s="83"/>
      <c r="C378" s="84"/>
      <c r="D378" s="85"/>
    </row>
    <row r="379" spans="2:4">
      <c r="B379" s="83"/>
      <c r="C379" s="84"/>
      <c r="D379" s="85"/>
    </row>
    <row r="380" spans="2:4">
      <c r="B380" s="83"/>
      <c r="C380" s="84"/>
      <c r="D380" s="85"/>
    </row>
    <row r="381" spans="2:4">
      <c r="B381" s="83"/>
      <c r="C381" s="84"/>
      <c r="D381" s="85"/>
    </row>
    <row r="382" spans="2:4">
      <c r="B382" s="83"/>
      <c r="C382" s="84"/>
      <c r="D382" s="85"/>
    </row>
    <row r="383" spans="2:4">
      <c r="B383" s="83"/>
      <c r="C383" s="84"/>
      <c r="D383" s="85"/>
    </row>
    <row r="384" spans="2:4">
      <c r="B384" s="83"/>
      <c r="C384" s="84"/>
      <c r="D384" s="85"/>
    </row>
    <row r="385" spans="2:9">
      <c r="B385" s="83"/>
      <c r="C385" s="84"/>
      <c r="D385" s="85"/>
    </row>
    <row r="386" spans="2:9">
      <c r="B386" s="83"/>
      <c r="C386" s="84"/>
      <c r="D386" s="85"/>
    </row>
    <row r="387" spans="2:9">
      <c r="B387" s="83"/>
      <c r="C387" s="84"/>
      <c r="D387" s="85"/>
    </row>
    <row r="388" spans="2:9">
      <c r="B388" s="83"/>
      <c r="C388" s="84"/>
      <c r="D388" s="85"/>
    </row>
    <row r="389" spans="2:9">
      <c r="B389" s="83"/>
      <c r="C389" s="84"/>
      <c r="D389" s="85"/>
    </row>
    <row r="390" spans="2:9">
      <c r="B390" s="83"/>
      <c r="C390" s="84"/>
      <c r="D390" s="85"/>
    </row>
    <row r="391" spans="2:9">
      <c r="B391" s="83"/>
      <c r="C391" s="84"/>
      <c r="D391" s="85"/>
    </row>
    <row r="392" spans="2:9">
      <c r="B392" s="83"/>
      <c r="C392" s="84"/>
      <c r="D392" s="85"/>
    </row>
    <row r="393" spans="2:9">
      <c r="B393" s="83"/>
      <c r="C393" s="84"/>
      <c r="D393" s="85"/>
    </row>
    <row r="394" spans="2:9">
      <c r="B394" s="83"/>
      <c r="C394" s="84"/>
      <c r="D394" s="85"/>
    </row>
    <row r="395" spans="2:9">
      <c r="B395" s="83"/>
      <c r="C395" s="84"/>
      <c r="D395" s="85"/>
    </row>
    <row r="396" spans="2:9">
      <c r="B396" s="83"/>
      <c r="C396" s="84"/>
      <c r="D396" s="85"/>
    </row>
    <row r="397" spans="2:9">
      <c r="B397" s="83"/>
      <c r="C397" s="84"/>
      <c r="D397" s="85"/>
    </row>
    <row r="398" spans="2:9">
      <c r="B398" s="684" t="s">
        <v>249</v>
      </c>
      <c r="C398" s="684"/>
      <c r="D398" s="684"/>
      <c r="E398" s="684"/>
      <c r="F398" s="684"/>
      <c r="G398" s="684"/>
      <c r="H398" s="684"/>
      <c r="I398" s="684"/>
    </row>
    <row r="400" spans="2:9">
      <c r="B400" s="649" t="s">
        <v>40</v>
      </c>
      <c r="C400" s="649"/>
      <c r="D400" s="649"/>
      <c r="F400" s="649" t="s">
        <v>44</v>
      </c>
      <c r="G400" s="649"/>
      <c r="H400" s="649"/>
      <c r="I400" s="649"/>
    </row>
    <row r="401" spans="2:12">
      <c r="B401" s="447" t="s">
        <v>0</v>
      </c>
      <c r="C401" s="448">
        <v>42004</v>
      </c>
      <c r="D401" s="447" t="s">
        <v>41</v>
      </c>
      <c r="F401" s="649" t="s">
        <v>45</v>
      </c>
      <c r="G401" s="649"/>
      <c r="H401" s="649"/>
      <c r="I401" s="649"/>
    </row>
    <row r="402" spans="2:12">
      <c r="B402" s="82" t="s">
        <v>3</v>
      </c>
      <c r="C402" s="42">
        <f>'ER 2014'!C9</f>
        <v>61980000</v>
      </c>
      <c r="D402" s="41">
        <f>(C402/$C$402)*100%</f>
        <v>1</v>
      </c>
      <c r="F402" s="708" t="s">
        <v>46</v>
      </c>
      <c r="G402" s="708"/>
      <c r="H402" s="708"/>
      <c r="I402" s="86">
        <f>C421/C435</f>
        <v>1.9476941706750983</v>
      </c>
    </row>
    <row r="403" spans="2:12">
      <c r="B403" s="45" t="s">
        <v>42</v>
      </c>
      <c r="C403" s="47">
        <f>'ER 2014'!C22</f>
        <v>51870000</v>
      </c>
      <c r="D403" s="46">
        <f t="shared" ref="D403:D413" si="55">(C403/$C$402)*100%</f>
        <v>0.83688286544046464</v>
      </c>
      <c r="F403" s="712" t="s">
        <v>47</v>
      </c>
      <c r="G403" s="712"/>
      <c r="H403" s="712"/>
      <c r="I403" s="45">
        <v>0</v>
      </c>
    </row>
    <row r="404" spans="2:12">
      <c r="B404" s="40" t="s">
        <v>5</v>
      </c>
      <c r="C404" s="42">
        <f>'ER 2014'!C24</f>
        <v>10110000</v>
      </c>
      <c r="D404" s="41">
        <f t="shared" si="55"/>
        <v>0.16311713455953533</v>
      </c>
      <c r="F404" s="707" t="s">
        <v>244</v>
      </c>
      <c r="G404" s="707"/>
      <c r="H404" s="707"/>
      <c r="I404" s="77">
        <f>C421-C435</f>
        <v>28174000</v>
      </c>
    </row>
    <row r="405" spans="2:12" ht="18.75" customHeight="1">
      <c r="B405" s="87" t="s">
        <v>43</v>
      </c>
      <c r="C405" s="88">
        <f>'ER 2014'!C32</f>
        <v>1936000</v>
      </c>
      <c r="D405" s="46">
        <f t="shared" si="55"/>
        <v>3.1235882542755729E-2</v>
      </c>
    </row>
    <row r="406" spans="2:12">
      <c r="B406" s="40" t="s">
        <v>6</v>
      </c>
      <c r="C406" s="42">
        <f>' ER 2016'!C146</f>
        <v>0</v>
      </c>
      <c r="D406" s="41">
        <f t="shared" si="55"/>
        <v>0</v>
      </c>
      <c r="F406" s="649" t="s">
        <v>48</v>
      </c>
      <c r="G406" s="649"/>
      <c r="H406" s="649"/>
      <c r="I406" s="649"/>
    </row>
    <row r="407" spans="2:12">
      <c r="B407" s="78" t="s">
        <v>7</v>
      </c>
      <c r="C407" s="47">
        <f>'ER 2014'!C36</f>
        <v>8174000</v>
      </c>
      <c r="D407" s="46">
        <f t="shared" si="55"/>
        <v>0.13188125201677961</v>
      </c>
      <c r="F407" s="708" t="s">
        <v>49</v>
      </c>
      <c r="G407" s="708"/>
      <c r="H407" s="708"/>
      <c r="I407" s="86">
        <f>C402/L408</f>
        <v>70.874785591766724</v>
      </c>
      <c r="L407" s="36" t="s">
        <v>245</v>
      </c>
    </row>
    <row r="408" spans="2:12">
      <c r="B408" s="40" t="s">
        <v>8</v>
      </c>
      <c r="C408" s="42">
        <f>'ER 2015'!C93</f>
        <v>0</v>
      </c>
      <c r="D408" s="41">
        <f t="shared" si="55"/>
        <v>0</v>
      </c>
      <c r="F408" s="712" t="s">
        <v>50</v>
      </c>
      <c r="G408" s="712"/>
      <c r="H408" s="712"/>
      <c r="I408" s="89">
        <f>C402/C424</f>
        <v>0.1033</v>
      </c>
      <c r="L408" s="90">
        <f>(C420+0)/12</f>
        <v>874500</v>
      </c>
    </row>
    <row r="409" spans="2:12">
      <c r="B409" s="45" t="s">
        <v>9</v>
      </c>
      <c r="C409" s="47">
        <f>'ER 2015'!C97</f>
        <v>0</v>
      </c>
      <c r="D409" s="46">
        <f t="shared" si="55"/>
        <v>0</v>
      </c>
      <c r="F409" s="708" t="s">
        <v>51</v>
      </c>
      <c r="G409" s="708"/>
      <c r="H409" s="708"/>
      <c r="I409" s="86">
        <f>360/I407</f>
        <v>5.0793804453049374</v>
      </c>
    </row>
    <row r="410" spans="2:12">
      <c r="B410" s="40" t="s">
        <v>10</v>
      </c>
      <c r="C410" s="42">
        <f>C407</f>
        <v>8174000</v>
      </c>
      <c r="D410" s="41">
        <f t="shared" si="55"/>
        <v>0.13188125201677961</v>
      </c>
      <c r="F410" s="712" t="s">
        <v>52</v>
      </c>
      <c r="G410" s="712"/>
      <c r="H410" s="712"/>
      <c r="I410" s="89">
        <f>C402/(C427-C423)</f>
        <v>9.4208416742285722E-2</v>
      </c>
    </row>
    <row r="411" spans="2:12">
      <c r="B411" s="45" t="s">
        <v>12</v>
      </c>
      <c r="C411" s="47">
        <f>'ER 2015'!C102</f>
        <v>0</v>
      </c>
      <c r="D411" s="46">
        <f t="shared" si="55"/>
        <v>0</v>
      </c>
      <c r="F411" s="708" t="s">
        <v>53</v>
      </c>
      <c r="G411" s="708"/>
      <c r="H411" s="708"/>
      <c r="I411" s="86">
        <v>9.1</v>
      </c>
    </row>
    <row r="412" spans="2:12">
      <c r="B412" s="74" t="s">
        <v>13</v>
      </c>
      <c r="C412" s="77">
        <f>'ER 2015'!C101</f>
        <v>0</v>
      </c>
      <c r="D412" s="76">
        <f t="shared" si="55"/>
        <v>0</v>
      </c>
    </row>
    <row r="413" spans="2:12">
      <c r="B413" s="78" t="s">
        <v>14</v>
      </c>
      <c r="C413" s="47">
        <f>C410</f>
        <v>8174000</v>
      </c>
      <c r="D413" s="46">
        <f t="shared" si="55"/>
        <v>0.13188125201677961</v>
      </c>
      <c r="F413" s="649" t="s">
        <v>56</v>
      </c>
      <c r="G413" s="649"/>
      <c r="H413" s="649"/>
      <c r="I413" s="649"/>
    </row>
    <row r="414" spans="2:12">
      <c r="B414" s="91"/>
      <c r="C414" s="92"/>
      <c r="D414" s="93"/>
      <c r="F414" s="708" t="s">
        <v>57</v>
      </c>
      <c r="G414" s="708"/>
      <c r="H414" s="708"/>
      <c r="I414" s="41">
        <f>C436/C427</f>
        <v>4.5187512444843696E-2</v>
      </c>
    </row>
    <row r="415" spans="2:12">
      <c r="F415" s="712" t="s">
        <v>58</v>
      </c>
      <c r="G415" s="712"/>
      <c r="H415" s="712"/>
      <c r="I415" s="46">
        <f>C430/C436</f>
        <v>0</v>
      </c>
    </row>
    <row r="416" spans="2:12">
      <c r="B416" s="649" t="s">
        <v>54</v>
      </c>
      <c r="C416" s="649"/>
      <c r="D416" s="649"/>
      <c r="F416" s="708" t="s">
        <v>59</v>
      </c>
      <c r="G416" s="708"/>
      <c r="H416" s="708"/>
      <c r="I416" s="41">
        <f>C443/C427</f>
        <v>0.95058694062802573</v>
      </c>
    </row>
    <row r="417" spans="2:9">
      <c r="B417" s="447" t="s">
        <v>0</v>
      </c>
      <c r="C417" s="448">
        <v>42004</v>
      </c>
      <c r="D417" s="447" t="s">
        <v>41</v>
      </c>
      <c r="F417" s="712" t="s">
        <v>60</v>
      </c>
      <c r="G417" s="712"/>
      <c r="H417" s="712"/>
      <c r="I417" s="46">
        <f>C443/C436</f>
        <v>21.036496350364963</v>
      </c>
    </row>
    <row r="418" spans="2:9">
      <c r="B418" s="40" t="s">
        <v>16</v>
      </c>
      <c r="C418" s="42">
        <f>'BALANCE 2014'!C12</f>
        <v>46789000</v>
      </c>
      <c r="D418" s="76">
        <f>(C418/$C$427)*100%</f>
        <v>7.1118386753062382E-2</v>
      </c>
      <c r="F418" s="708" t="s">
        <v>61</v>
      </c>
      <c r="G418" s="708"/>
      <c r="H418" s="708"/>
      <c r="I418" s="41">
        <f>C436/C443</f>
        <v>4.7536433032616239E-2</v>
      </c>
    </row>
    <row r="419" spans="2:9">
      <c r="B419" s="45" t="s">
        <v>17</v>
      </c>
      <c r="C419" s="47">
        <f>'BALANCE 2014'!C17</f>
        <v>11114000</v>
      </c>
      <c r="D419" s="46">
        <f t="shared" ref="D419:D427" si="56">(C419/$C$427)*100%</f>
        <v>1.6893067823068143E-2</v>
      </c>
      <c r="F419" s="712" t="s">
        <v>62</v>
      </c>
      <c r="G419" s="712"/>
      <c r="H419" s="712"/>
      <c r="I419" s="46">
        <f>C435/C436</f>
        <v>1</v>
      </c>
    </row>
    <row r="420" spans="2:9">
      <c r="B420" s="74" t="s">
        <v>18</v>
      </c>
      <c r="C420" s="77">
        <f>'BALANCE 2014'!B15</f>
        <v>10494000</v>
      </c>
      <c r="D420" s="76">
        <f t="shared" si="56"/>
        <v>1.5950679659463476E-2</v>
      </c>
    </row>
    <row r="421" spans="2:9">
      <c r="B421" s="78" t="s">
        <v>19</v>
      </c>
      <c r="C421" s="47">
        <f>'BALANCE 2014'!C19</f>
        <v>57903000</v>
      </c>
      <c r="D421" s="46">
        <f t="shared" si="56"/>
        <v>8.8011454576130521E-2</v>
      </c>
      <c r="F421" s="649" t="s">
        <v>63</v>
      </c>
      <c r="G421" s="649"/>
      <c r="H421" s="649"/>
      <c r="I421" s="649"/>
    </row>
    <row r="422" spans="2:9">
      <c r="B422" s="74" t="s">
        <v>20</v>
      </c>
      <c r="C422" s="77">
        <f>'BALANCE 2014'!B25</f>
        <v>600000000</v>
      </c>
      <c r="D422" s="76">
        <f t="shared" si="56"/>
        <v>0.91198854542386942</v>
      </c>
      <c r="F422" s="708" t="s">
        <v>64</v>
      </c>
      <c r="G422" s="708"/>
      <c r="H422" s="708"/>
      <c r="I422" s="41">
        <f>C404/C402</f>
        <v>0.16311713455953533</v>
      </c>
    </row>
    <row r="423" spans="2:9">
      <c r="B423" s="45" t="s">
        <v>21</v>
      </c>
      <c r="C423" s="47">
        <v>0</v>
      </c>
      <c r="D423" s="46">
        <f t="shared" si="56"/>
        <v>0</v>
      </c>
      <c r="F423" s="712" t="s">
        <v>65</v>
      </c>
      <c r="G423" s="712"/>
      <c r="H423" s="712"/>
      <c r="I423" s="46">
        <f>C407/C402</f>
        <v>0.13188125201677961</v>
      </c>
    </row>
    <row r="424" spans="2:9">
      <c r="B424" s="74" t="s">
        <v>22</v>
      </c>
      <c r="C424" s="77">
        <f>'BALANCE 2014'!C26</f>
        <v>600000000</v>
      </c>
      <c r="D424" s="76">
        <f t="shared" si="56"/>
        <v>0.91198854542386942</v>
      </c>
      <c r="F424" s="708" t="s">
        <v>66</v>
      </c>
      <c r="G424" s="708"/>
      <c r="H424" s="708"/>
      <c r="I424" s="41">
        <f>C413/C402</f>
        <v>0.13188125201677961</v>
      </c>
    </row>
    <row r="425" spans="2:9">
      <c r="B425" s="45" t="s">
        <v>23</v>
      </c>
      <c r="C425" s="47">
        <v>0</v>
      </c>
      <c r="D425" s="46">
        <f t="shared" si="56"/>
        <v>0</v>
      </c>
      <c r="F425" s="712" t="s">
        <v>67</v>
      </c>
      <c r="G425" s="712"/>
      <c r="H425" s="712"/>
      <c r="I425" s="46">
        <f>C413/C443</f>
        <v>1.3070160570776182E-2</v>
      </c>
    </row>
    <row r="426" spans="2:9">
      <c r="B426" s="79" t="s">
        <v>24</v>
      </c>
      <c r="C426" s="77">
        <f>'BALANCE 2014'!C28</f>
        <v>600000000</v>
      </c>
      <c r="D426" s="76">
        <f t="shared" si="56"/>
        <v>0.91198854542386942</v>
      </c>
      <c r="F426" s="708" t="s">
        <v>68</v>
      </c>
      <c r="G426" s="708"/>
      <c r="H426" s="708"/>
      <c r="I426" s="41">
        <f>C413/C427</f>
        <v>1.2424323950491182E-2</v>
      </c>
    </row>
    <row r="427" spans="2:9">
      <c r="B427" s="78" t="s">
        <v>25</v>
      </c>
      <c r="C427" s="47">
        <f>'BALANCE 2014'!C30</f>
        <v>657903000</v>
      </c>
      <c r="D427" s="46">
        <f t="shared" si="56"/>
        <v>1</v>
      </c>
      <c r="F427" s="717"/>
      <c r="G427" s="717"/>
      <c r="H427" s="717"/>
      <c r="I427" s="85"/>
    </row>
    <row r="428" spans="2:9">
      <c r="F428" s="95"/>
      <c r="G428" s="95"/>
      <c r="H428" s="95"/>
      <c r="I428" s="85"/>
    </row>
    <row r="429" spans="2:9">
      <c r="B429" s="449" t="s">
        <v>0</v>
      </c>
      <c r="C429" s="448">
        <v>42004</v>
      </c>
      <c r="D429" s="447" t="s">
        <v>55</v>
      </c>
      <c r="F429" s="95"/>
      <c r="G429" s="95"/>
      <c r="H429" s="95"/>
      <c r="I429" s="85"/>
    </row>
    <row r="430" spans="2:9">
      <c r="B430" s="40" t="s">
        <v>26</v>
      </c>
      <c r="C430" s="42">
        <f>'ESF 2017'!C200</f>
        <v>0</v>
      </c>
      <c r="D430" s="52">
        <f>(C430/$C$444)*100%</f>
        <v>0</v>
      </c>
      <c r="F430" s="95"/>
      <c r="G430" s="95"/>
      <c r="H430" s="95"/>
      <c r="I430" s="85"/>
    </row>
    <row r="431" spans="2:9">
      <c r="B431" s="45" t="s">
        <v>27</v>
      </c>
      <c r="C431" s="47">
        <f>'BALANCE 2014'!C36</f>
        <v>29729000</v>
      </c>
      <c r="D431" s="46">
        <f t="shared" ref="D431:D436" si="57">(C431/$C$444)*100%</f>
        <v>4.5187512444843696E-2</v>
      </c>
      <c r="F431" s="95"/>
      <c r="G431" s="95"/>
      <c r="H431" s="95"/>
      <c r="I431" s="85"/>
    </row>
    <row r="432" spans="2:9">
      <c r="B432" s="40" t="s">
        <v>28</v>
      </c>
      <c r="C432" s="42">
        <f>'ESF 2015'!C89</f>
        <v>0</v>
      </c>
      <c r="D432" s="52">
        <f t="shared" si="57"/>
        <v>0</v>
      </c>
      <c r="F432" s="95"/>
      <c r="G432" s="95"/>
      <c r="H432" s="95"/>
      <c r="I432" s="85"/>
    </row>
    <row r="433" spans="2:9">
      <c r="B433" s="45" t="s">
        <v>29</v>
      </c>
      <c r="C433" s="47">
        <f>'ESF 2015'!C94</f>
        <v>0</v>
      </c>
      <c r="D433" s="46">
        <f t="shared" si="57"/>
        <v>0</v>
      </c>
      <c r="F433" s="717"/>
      <c r="G433" s="717"/>
      <c r="H433" s="717"/>
      <c r="I433" s="85"/>
    </row>
    <row r="434" spans="2:9">
      <c r="B434" s="51" t="s">
        <v>243</v>
      </c>
      <c r="C434" s="53">
        <f>'ESF 2016'!C168+'ESF 2016'!C164</f>
        <v>0</v>
      </c>
      <c r="D434" s="52">
        <f t="shared" si="57"/>
        <v>0</v>
      </c>
      <c r="F434" s="717"/>
      <c r="G434" s="717"/>
      <c r="H434" s="717"/>
      <c r="I434" s="85"/>
    </row>
    <row r="435" spans="2:9">
      <c r="B435" s="78" t="s">
        <v>31</v>
      </c>
      <c r="C435" s="47">
        <f>SUM(C430:C434)</f>
        <v>29729000</v>
      </c>
      <c r="D435" s="46">
        <f t="shared" si="57"/>
        <v>4.5187512444843696E-2</v>
      </c>
    </row>
    <row r="436" spans="2:9">
      <c r="B436" s="96" t="s">
        <v>32</v>
      </c>
      <c r="C436" s="53">
        <f>+C435</f>
        <v>29729000</v>
      </c>
      <c r="D436" s="52">
        <f t="shared" si="57"/>
        <v>4.5187512444843696E-2</v>
      </c>
    </row>
    <row r="438" spans="2:9">
      <c r="B438" s="442" t="s">
        <v>0</v>
      </c>
      <c r="C438" s="448">
        <v>42004</v>
      </c>
      <c r="D438" s="447" t="s">
        <v>55</v>
      </c>
    </row>
    <row r="439" spans="2:9">
      <c r="B439" s="40" t="s">
        <v>34</v>
      </c>
      <c r="C439" s="42">
        <f>'BALANCE 2014'!C55</f>
        <v>620000000</v>
      </c>
      <c r="D439" s="52">
        <f>(C439/$C$444)*100%</f>
        <v>0.94238816360466515</v>
      </c>
    </row>
    <row r="440" spans="2:9">
      <c r="B440" s="45" t="s">
        <v>35</v>
      </c>
      <c r="C440" s="47">
        <f>'ESF 2016'!C184</f>
        <v>0</v>
      </c>
      <c r="D440" s="46">
        <f t="shared" ref="D440:D444" si="58">(C440/$C$444)*100%</f>
        <v>0</v>
      </c>
    </row>
    <row r="441" spans="2:9">
      <c r="B441" s="74" t="s">
        <v>36</v>
      </c>
      <c r="C441" s="77">
        <f>'BALANCE 2014'!C59</f>
        <v>5394000</v>
      </c>
      <c r="D441" s="76">
        <f t="shared" si="58"/>
        <v>8.1987770233605869E-3</v>
      </c>
    </row>
    <row r="442" spans="2:9">
      <c r="B442" s="45" t="s">
        <v>37</v>
      </c>
      <c r="C442" s="47">
        <f>'ESF 2015'!B115</f>
        <v>0</v>
      </c>
      <c r="D442" s="46">
        <f t="shared" si="58"/>
        <v>0</v>
      </c>
    </row>
    <row r="443" spans="2:9">
      <c r="B443" s="82" t="s">
        <v>38</v>
      </c>
      <c r="C443" s="42">
        <f>'BALANCE 2014'!C61</f>
        <v>625394000</v>
      </c>
      <c r="D443" s="52">
        <f t="shared" si="58"/>
        <v>0.95058694062802573</v>
      </c>
    </row>
    <row r="444" spans="2:9">
      <c r="B444" s="78" t="s">
        <v>39</v>
      </c>
      <c r="C444" s="47">
        <f>'BALANCE 2014'!C63</f>
        <v>657903000</v>
      </c>
      <c r="D444" s="46">
        <f t="shared" si="58"/>
        <v>1</v>
      </c>
    </row>
    <row r="445" spans="2:9">
      <c r="B445" s="97"/>
      <c r="C445" s="98"/>
      <c r="D445" s="44"/>
    </row>
    <row r="446" spans="2:9">
      <c r="B446" s="97"/>
      <c r="C446" s="98"/>
      <c r="D446" s="44"/>
    </row>
    <row r="447" spans="2:9">
      <c r="B447" s="97"/>
      <c r="C447" s="98"/>
      <c r="D447" s="44"/>
    </row>
    <row r="448" spans="2:9">
      <c r="B448" s="97"/>
      <c r="C448" s="98"/>
      <c r="D448" s="44"/>
    </row>
    <row r="449" spans="2:4">
      <c r="B449" s="97"/>
      <c r="C449" s="98"/>
      <c r="D449" s="44"/>
    </row>
    <row r="450" spans="2:4">
      <c r="B450" s="97"/>
      <c r="C450" s="98"/>
      <c r="D450" s="44"/>
    </row>
    <row r="451" spans="2:4">
      <c r="B451" s="97"/>
      <c r="C451" s="98"/>
      <c r="D451" s="44"/>
    </row>
    <row r="452" spans="2:4">
      <c r="B452" s="97"/>
      <c r="C452" s="98"/>
      <c r="D452" s="44"/>
    </row>
    <row r="453" spans="2:4">
      <c r="B453" s="97"/>
      <c r="C453" s="98"/>
      <c r="D453" s="44"/>
    </row>
    <row r="454" spans="2:4">
      <c r="B454" s="97"/>
      <c r="C454" s="98"/>
      <c r="D454" s="44"/>
    </row>
    <row r="455" spans="2:4">
      <c r="B455" s="97"/>
      <c r="C455" s="98"/>
      <c r="D455" s="44"/>
    </row>
    <row r="456" spans="2:4">
      <c r="B456" s="97"/>
      <c r="C456" s="98"/>
      <c r="D456" s="44"/>
    </row>
    <row r="457" spans="2:4">
      <c r="B457" s="97"/>
      <c r="C457" s="98"/>
      <c r="D457" s="44"/>
    </row>
    <row r="458" spans="2:4">
      <c r="B458" s="97"/>
      <c r="C458" s="98"/>
      <c r="D458" s="44"/>
    </row>
    <row r="459" spans="2:4">
      <c r="B459" s="97"/>
      <c r="C459" s="98"/>
      <c r="D459" s="44"/>
    </row>
    <row r="460" spans="2:4">
      <c r="B460" s="97"/>
      <c r="C460" s="98"/>
      <c r="D460" s="44"/>
    </row>
    <row r="461" spans="2:4">
      <c r="B461" s="97"/>
      <c r="C461" s="98"/>
      <c r="D461" s="44"/>
    </row>
    <row r="462" spans="2:4">
      <c r="B462" s="97"/>
      <c r="C462" s="98"/>
      <c r="D462" s="44"/>
    </row>
    <row r="463" spans="2:4">
      <c r="B463" s="97"/>
      <c r="C463" s="98"/>
      <c r="D463" s="44"/>
    </row>
    <row r="464" spans="2:4">
      <c r="B464" s="97"/>
      <c r="C464" s="98"/>
      <c r="D464" s="44"/>
    </row>
    <row r="465" spans="2:4">
      <c r="B465" s="97"/>
      <c r="C465" s="98"/>
      <c r="D465" s="44"/>
    </row>
    <row r="466" spans="2:4">
      <c r="B466" s="97"/>
      <c r="C466" s="98"/>
      <c r="D466" s="44"/>
    </row>
    <row r="467" spans="2:4">
      <c r="B467" s="97"/>
      <c r="C467" s="98"/>
      <c r="D467" s="44"/>
    </row>
    <row r="468" spans="2:4">
      <c r="B468" s="97"/>
      <c r="C468" s="98"/>
      <c r="D468" s="44"/>
    </row>
    <row r="469" spans="2:4">
      <c r="B469" s="97"/>
      <c r="C469" s="98"/>
      <c r="D469" s="44"/>
    </row>
    <row r="470" spans="2:4">
      <c r="B470" s="97"/>
      <c r="C470" s="98"/>
      <c r="D470" s="44"/>
    </row>
    <row r="471" spans="2:4">
      <c r="B471" s="97"/>
      <c r="C471" s="98"/>
      <c r="D471" s="44"/>
    </row>
    <row r="472" spans="2:4">
      <c r="B472" s="97"/>
      <c r="C472" s="98"/>
      <c r="D472" s="44"/>
    </row>
    <row r="473" spans="2:4">
      <c r="B473" s="97"/>
      <c r="C473" s="98"/>
      <c r="D473" s="44"/>
    </row>
    <row r="474" spans="2:4">
      <c r="B474" s="97"/>
      <c r="C474" s="98"/>
      <c r="D474" s="44"/>
    </row>
    <row r="475" spans="2:4">
      <c r="B475" s="97"/>
      <c r="C475" s="98"/>
      <c r="D475" s="44"/>
    </row>
    <row r="476" spans="2:4">
      <c r="B476" s="97"/>
      <c r="C476" s="98"/>
      <c r="D476" s="44"/>
    </row>
    <row r="477" spans="2:4">
      <c r="B477" s="97"/>
      <c r="C477" s="98"/>
      <c r="D477" s="44"/>
    </row>
    <row r="478" spans="2:4">
      <c r="B478" s="97"/>
      <c r="C478" s="98"/>
      <c r="D478" s="44"/>
    </row>
    <row r="479" spans="2:4">
      <c r="B479" s="97"/>
      <c r="C479" s="98"/>
      <c r="D479" s="44"/>
    </row>
    <row r="480" spans="2:4">
      <c r="B480" s="97"/>
      <c r="C480" s="98"/>
      <c r="D480" s="44"/>
    </row>
    <row r="482" spans="2:13">
      <c r="B482" s="649" t="s">
        <v>69</v>
      </c>
      <c r="C482" s="649"/>
      <c r="D482" s="649"/>
      <c r="E482" s="649"/>
      <c r="F482" s="649"/>
      <c r="G482" s="649"/>
      <c r="H482" s="649"/>
      <c r="I482" s="649"/>
      <c r="J482" s="649"/>
      <c r="K482" s="649"/>
    </row>
    <row r="483" spans="2:13" ht="7.5" customHeight="1">
      <c r="B483" s="110"/>
      <c r="C483" s="110"/>
      <c r="D483" s="110"/>
      <c r="E483" s="110"/>
      <c r="F483" s="110"/>
      <c r="G483" s="110"/>
      <c r="H483" s="110"/>
      <c r="I483" s="40"/>
      <c r="J483" s="40"/>
      <c r="K483" s="40"/>
    </row>
    <row r="484" spans="2:13">
      <c r="B484" s="649" t="s">
        <v>70</v>
      </c>
      <c r="C484" s="649"/>
      <c r="D484" s="649"/>
      <c r="E484" s="649"/>
      <c r="F484" s="649"/>
      <c r="G484" s="649"/>
      <c r="H484" s="649"/>
      <c r="I484" s="649"/>
      <c r="J484" s="649"/>
      <c r="K484" s="649"/>
    </row>
    <row r="485" spans="2:13">
      <c r="B485" s="447" t="s">
        <v>71</v>
      </c>
      <c r="C485" s="447">
        <v>2017</v>
      </c>
      <c r="D485" s="447">
        <v>2016</v>
      </c>
      <c r="E485" s="447" t="s">
        <v>73</v>
      </c>
      <c r="F485" s="447">
        <v>2016</v>
      </c>
      <c r="G485" s="447">
        <v>2015</v>
      </c>
      <c r="H485" s="447" t="s">
        <v>73</v>
      </c>
      <c r="I485" s="447">
        <v>2015</v>
      </c>
      <c r="J485" s="447">
        <v>2014</v>
      </c>
      <c r="K485" s="447" t="s">
        <v>73</v>
      </c>
    </row>
    <row r="486" spans="2:13">
      <c r="B486" s="40" t="s">
        <v>46</v>
      </c>
      <c r="C486" s="86">
        <f>I146</f>
        <v>1.5497608130935312</v>
      </c>
      <c r="D486" s="86">
        <f>I236</f>
        <v>0.84560710760118463</v>
      </c>
      <c r="E486" s="86">
        <f>C486-D486</f>
        <v>0.70415370549234657</v>
      </c>
      <c r="F486" s="86">
        <f>D486</f>
        <v>0.84560710760118463</v>
      </c>
      <c r="G486" s="86">
        <f>I320</f>
        <v>0.37709034781148282</v>
      </c>
      <c r="H486" s="86">
        <f>F486-G486</f>
        <v>0.46851675978970181</v>
      </c>
      <c r="I486" s="86">
        <f>G486</f>
        <v>0.37709034781148282</v>
      </c>
      <c r="J486" s="86">
        <f>I402</f>
        <v>1.9476941706750983</v>
      </c>
      <c r="K486" s="86">
        <f>I486-J486</f>
        <v>-1.5706038228636154</v>
      </c>
    </row>
    <row r="487" spans="2:13">
      <c r="B487" s="111" t="s">
        <v>72</v>
      </c>
      <c r="C487" s="112">
        <f>I148</f>
        <v>154916000</v>
      </c>
      <c r="D487" s="113">
        <f>I238</f>
        <v>-25024000</v>
      </c>
      <c r="E487" s="114">
        <f t="shared" ref="E487" si="59">C487-D487</f>
        <v>179940000</v>
      </c>
      <c r="F487" s="113">
        <f>D487</f>
        <v>-25024000</v>
      </c>
      <c r="G487" s="113">
        <f>I322</f>
        <v>-77888000</v>
      </c>
      <c r="H487" s="114">
        <f t="shared" ref="H487" si="60">F487-G487</f>
        <v>52864000</v>
      </c>
      <c r="I487" s="115">
        <f>G487</f>
        <v>-77888000</v>
      </c>
      <c r="J487" s="113">
        <f>I404</f>
        <v>28174000</v>
      </c>
      <c r="K487" s="112">
        <f>I487-J487</f>
        <v>-106062000</v>
      </c>
    </row>
    <row r="489" spans="2:13">
      <c r="B489" s="649" t="s">
        <v>74</v>
      </c>
      <c r="C489" s="649"/>
      <c r="D489" s="649"/>
      <c r="E489" s="649"/>
      <c r="F489" s="649"/>
      <c r="G489" s="649"/>
      <c r="H489" s="649"/>
      <c r="I489" s="649"/>
      <c r="J489" s="649"/>
      <c r="K489" s="649"/>
      <c r="M489" s="80"/>
    </row>
    <row r="490" spans="2:13">
      <c r="B490" s="447" t="s">
        <v>71</v>
      </c>
      <c r="C490" s="447">
        <v>2017</v>
      </c>
      <c r="D490" s="447">
        <v>2016</v>
      </c>
      <c r="E490" s="447" t="s">
        <v>73</v>
      </c>
      <c r="F490" s="447">
        <v>2016</v>
      </c>
      <c r="G490" s="447">
        <v>2015</v>
      </c>
      <c r="H490" s="447" t="s">
        <v>73</v>
      </c>
      <c r="I490" s="447">
        <v>2015</v>
      </c>
      <c r="J490" s="447">
        <v>2014</v>
      </c>
      <c r="K490" s="447" t="s">
        <v>73</v>
      </c>
    </row>
    <row r="491" spans="2:13">
      <c r="B491" s="40" t="s">
        <v>75</v>
      </c>
      <c r="C491" s="86">
        <f>I151</f>
        <v>40.961259748941544</v>
      </c>
      <c r="D491" s="86">
        <f>I241</f>
        <v>51.873163226723335</v>
      </c>
      <c r="E491" s="86">
        <f>C491-D491</f>
        <v>-10.911903477781792</v>
      </c>
      <c r="F491" s="86">
        <f>D491</f>
        <v>51.873163226723335</v>
      </c>
      <c r="G491" s="86">
        <f>I325</f>
        <v>85.432135542729469</v>
      </c>
      <c r="H491" s="86">
        <f>F491-G491</f>
        <v>-33.558972316006134</v>
      </c>
      <c r="I491" s="86">
        <f>G491</f>
        <v>85.432135542729469</v>
      </c>
      <c r="J491" s="86">
        <f>I407</f>
        <v>70.874785591766724</v>
      </c>
      <c r="K491" s="86">
        <f t="shared" ref="K491:K495" si="61">I491-J491</f>
        <v>14.557349950962745</v>
      </c>
    </row>
    <row r="492" spans="2:13">
      <c r="B492" s="45" t="s">
        <v>76</v>
      </c>
      <c r="C492" s="89">
        <f>I153</f>
        <v>8.7887921955159722</v>
      </c>
      <c r="D492" s="89">
        <f>I243</f>
        <v>6.9400047655960169</v>
      </c>
      <c r="E492" s="89">
        <f t="shared" ref="E492:E495" si="62">C492-D492</f>
        <v>1.8487874299199554</v>
      </c>
      <c r="F492" s="89">
        <f>D492</f>
        <v>6.9400047655960169</v>
      </c>
      <c r="G492" s="89">
        <f>I327</f>
        <v>4.2138710183587014</v>
      </c>
      <c r="H492" s="89">
        <f t="shared" ref="H492:H495" si="63">F492-G492</f>
        <v>2.7261337472373155</v>
      </c>
      <c r="I492" s="89">
        <f>G492</f>
        <v>4.2138710183587014</v>
      </c>
      <c r="J492" s="89">
        <f>I409</f>
        <v>5.0793804453049374</v>
      </c>
      <c r="K492" s="89">
        <f t="shared" si="61"/>
        <v>-0.865509426946236</v>
      </c>
    </row>
    <row r="493" spans="2:13">
      <c r="B493" s="40" t="s">
        <v>77</v>
      </c>
      <c r="C493" s="86">
        <f>I152</f>
        <v>2.0171077327162563</v>
      </c>
      <c r="D493" s="86">
        <f>I242</f>
        <v>0.92028812524288017</v>
      </c>
      <c r="E493" s="86">
        <f t="shared" si="62"/>
        <v>1.096819607473376</v>
      </c>
      <c r="F493" s="86">
        <f>D493</f>
        <v>0.92028812524288017</v>
      </c>
      <c r="G493" s="86">
        <f>I326</f>
        <v>0.45818399680468647</v>
      </c>
      <c r="H493" s="86">
        <f t="shared" si="63"/>
        <v>0.46210412843819371</v>
      </c>
      <c r="I493" s="86">
        <f>G493</f>
        <v>0.45818399680468647</v>
      </c>
      <c r="J493" s="86">
        <f>I408</f>
        <v>0.1033</v>
      </c>
      <c r="K493" s="86">
        <f t="shared" si="61"/>
        <v>0.35488399680468646</v>
      </c>
    </row>
    <row r="494" spans="2:13">
      <c r="B494" s="45" t="s">
        <v>52</v>
      </c>
      <c r="C494" s="89">
        <f>I154</f>
        <v>0.96028478936269268</v>
      </c>
      <c r="D494" s="89">
        <f>I244</f>
        <v>0.74157836169344238</v>
      </c>
      <c r="E494" s="89">
        <f t="shared" si="62"/>
        <v>0.2187064276692503</v>
      </c>
      <c r="F494" s="89">
        <f>D494</f>
        <v>0.74157836169344238</v>
      </c>
      <c r="G494" s="89">
        <f>I328</f>
        <v>0.43112003617909656</v>
      </c>
      <c r="H494" s="89">
        <f t="shared" si="63"/>
        <v>0.31045832551434582</v>
      </c>
      <c r="I494" s="89">
        <f>G494</f>
        <v>0.43112003617909656</v>
      </c>
      <c r="J494" s="89">
        <f>I410</f>
        <v>9.4208416742285722E-2</v>
      </c>
      <c r="K494" s="89">
        <f t="shared" si="61"/>
        <v>0.33691161943681081</v>
      </c>
    </row>
    <row r="495" spans="2:13">
      <c r="B495" s="51" t="s">
        <v>53</v>
      </c>
      <c r="C495" s="86">
        <f>I155</f>
        <v>9.1</v>
      </c>
      <c r="D495" s="116">
        <f>I155</f>
        <v>9.1</v>
      </c>
      <c r="E495" s="86">
        <f t="shared" si="62"/>
        <v>0</v>
      </c>
      <c r="F495" s="116">
        <f>D495</f>
        <v>9.1</v>
      </c>
      <c r="G495" s="116">
        <f>I329</f>
        <v>9.1</v>
      </c>
      <c r="H495" s="86">
        <f t="shared" si="63"/>
        <v>0</v>
      </c>
      <c r="I495" s="116">
        <f>G495</f>
        <v>9.1</v>
      </c>
      <c r="J495" s="116">
        <f>I411</f>
        <v>9.1</v>
      </c>
      <c r="K495" s="86">
        <f t="shared" si="61"/>
        <v>0</v>
      </c>
    </row>
    <row r="497" spans="2:13">
      <c r="B497" s="659" t="s">
        <v>78</v>
      </c>
      <c r="C497" s="659"/>
      <c r="D497" s="659"/>
      <c r="E497" s="659"/>
      <c r="F497" s="659"/>
      <c r="G497" s="659"/>
      <c r="H497" s="659"/>
      <c r="I497" s="659"/>
      <c r="J497" s="659"/>
      <c r="K497" s="659"/>
    </row>
    <row r="498" spans="2:13">
      <c r="B498" s="449" t="s">
        <v>71</v>
      </c>
      <c r="C498" s="449">
        <v>2017</v>
      </c>
      <c r="D498" s="449">
        <v>2016</v>
      </c>
      <c r="E498" s="449" t="s">
        <v>73</v>
      </c>
      <c r="F498" s="449">
        <v>2016</v>
      </c>
      <c r="G498" s="449">
        <v>2015</v>
      </c>
      <c r="H498" s="449" t="s">
        <v>73</v>
      </c>
      <c r="I498" s="449">
        <v>2015</v>
      </c>
      <c r="J498" s="449">
        <v>2014</v>
      </c>
      <c r="K498" s="449" t="s">
        <v>73</v>
      </c>
    </row>
    <row r="499" spans="2:13">
      <c r="B499" s="40" t="s">
        <v>57</v>
      </c>
      <c r="C499" s="117">
        <f t="shared" ref="C499:C504" si="64">I158</f>
        <v>0.27890689180762723</v>
      </c>
      <c r="D499" s="117">
        <f t="shared" ref="D499:D504" si="65">I248</f>
        <v>0.18867463287720668</v>
      </c>
      <c r="E499" s="117">
        <f>C499-D499</f>
        <v>9.0232258930420556E-2</v>
      </c>
      <c r="F499" s="117">
        <f t="shared" ref="F499:F504" si="66">D499</f>
        <v>0.18867463287720668</v>
      </c>
      <c r="G499" s="117">
        <f t="shared" ref="G499:G504" si="67">I332</f>
        <v>0.15664120683845056</v>
      </c>
      <c r="H499" s="117">
        <f>F499-G499</f>
        <v>3.2033426038756113E-2</v>
      </c>
      <c r="I499" s="117">
        <f t="shared" ref="I499:I504" si="68">G499</f>
        <v>0.15664120683845056</v>
      </c>
      <c r="J499" s="117">
        <f t="shared" ref="J499:J504" si="69">I414</f>
        <v>4.5187512444843696E-2</v>
      </c>
      <c r="K499" s="117">
        <f t="shared" ref="K499:K504" si="70">I499-J499</f>
        <v>0.11145369439360686</v>
      </c>
      <c r="M499" s="100"/>
    </row>
    <row r="500" spans="2:13">
      <c r="B500" s="45" t="s">
        <v>58</v>
      </c>
      <c r="C500" s="118">
        <f t="shared" si="64"/>
        <v>0.18824080514429287</v>
      </c>
      <c r="D500" s="118">
        <f t="shared" si="65"/>
        <v>0</v>
      </c>
      <c r="E500" s="118">
        <f t="shared" ref="E500:E504" si="71">C500-D500</f>
        <v>0.18824080514429287</v>
      </c>
      <c r="F500" s="118">
        <f t="shared" si="66"/>
        <v>0</v>
      </c>
      <c r="G500" s="118">
        <f t="shared" si="67"/>
        <v>0</v>
      </c>
      <c r="H500" s="118">
        <f t="shared" ref="H500:H504" si="72">F500-G500</f>
        <v>0</v>
      </c>
      <c r="I500" s="118">
        <f t="shared" si="68"/>
        <v>0</v>
      </c>
      <c r="J500" s="118">
        <f t="shared" si="69"/>
        <v>0</v>
      </c>
      <c r="K500" s="118">
        <f t="shared" si="70"/>
        <v>0</v>
      </c>
    </row>
    <row r="501" spans="2:13">
      <c r="B501" s="40" t="s">
        <v>79</v>
      </c>
      <c r="C501" s="117">
        <f t="shared" si="64"/>
        <v>0.72109310819237282</v>
      </c>
      <c r="D501" s="117">
        <f t="shared" si="65"/>
        <v>0.81132536712279335</v>
      </c>
      <c r="E501" s="117">
        <f t="shared" si="71"/>
        <v>-9.0232258930420528E-2</v>
      </c>
      <c r="F501" s="117">
        <f t="shared" si="66"/>
        <v>0.81132536712279335</v>
      </c>
      <c r="G501" s="117">
        <f t="shared" si="67"/>
        <v>0.84335879316154949</v>
      </c>
      <c r="H501" s="117">
        <f t="shared" si="72"/>
        <v>-3.2033426038756141E-2</v>
      </c>
      <c r="I501" s="117">
        <f t="shared" si="68"/>
        <v>0.84335879316154949</v>
      </c>
      <c r="J501" s="117">
        <f t="shared" si="69"/>
        <v>0.95058694062802573</v>
      </c>
      <c r="K501" s="117">
        <f t="shared" si="70"/>
        <v>-0.10722814746647624</v>
      </c>
    </row>
    <row r="502" spans="2:13">
      <c r="B502" s="45" t="s">
        <v>80</v>
      </c>
      <c r="C502" s="118">
        <f t="shared" si="64"/>
        <v>2.5854259230343377</v>
      </c>
      <c r="D502" s="118">
        <f t="shared" si="65"/>
        <v>4.3001295656465945</v>
      </c>
      <c r="E502" s="118">
        <f t="shared" si="71"/>
        <v>-1.7147036426122568</v>
      </c>
      <c r="F502" s="118">
        <f t="shared" si="66"/>
        <v>4.3001295656465945</v>
      </c>
      <c r="G502" s="118">
        <f t="shared" si="67"/>
        <v>5.3840161869496717</v>
      </c>
      <c r="H502" s="118">
        <f t="shared" si="72"/>
        <v>-1.0838866213030771</v>
      </c>
      <c r="I502" s="118">
        <f t="shared" si="68"/>
        <v>5.3840161869496717</v>
      </c>
      <c r="J502" s="118">
        <f t="shared" si="69"/>
        <v>21.036496350364963</v>
      </c>
      <c r="K502" s="118">
        <f t="shared" si="70"/>
        <v>-15.652480163415291</v>
      </c>
    </row>
    <row r="503" spans="2:13">
      <c r="B503" s="45" t="s">
        <v>262</v>
      </c>
      <c r="C503" s="118">
        <f t="shared" si="64"/>
        <v>0.38678346615569176</v>
      </c>
      <c r="D503" s="118">
        <f t="shared" si="65"/>
        <v>0.23255113240980538</v>
      </c>
      <c r="E503" s="118">
        <f t="shared" si="71"/>
        <v>0.15423233374588638</v>
      </c>
      <c r="F503" s="118">
        <f t="shared" si="66"/>
        <v>0.23255113240980538</v>
      </c>
      <c r="G503" s="118">
        <f t="shared" si="67"/>
        <v>0.18573495421947323</v>
      </c>
      <c r="H503" s="118">
        <f t="shared" si="72"/>
        <v>4.6816178190332153E-2</v>
      </c>
      <c r="I503" s="118">
        <f t="shared" si="68"/>
        <v>0.18573495421947323</v>
      </c>
      <c r="J503" s="118">
        <f t="shared" si="69"/>
        <v>4.7536433032616239E-2</v>
      </c>
      <c r="K503" s="118">
        <f t="shared" si="70"/>
        <v>0.13819852118685699</v>
      </c>
    </row>
    <row r="504" spans="2:13">
      <c r="B504" s="51" t="s">
        <v>62</v>
      </c>
      <c r="C504" s="119">
        <f t="shared" si="64"/>
        <v>1</v>
      </c>
      <c r="D504" s="119">
        <f t="shared" si="65"/>
        <v>1</v>
      </c>
      <c r="E504" s="117">
        <f t="shared" si="71"/>
        <v>0</v>
      </c>
      <c r="F504" s="119">
        <f t="shared" si="66"/>
        <v>1</v>
      </c>
      <c r="G504" s="119">
        <f t="shared" si="67"/>
        <v>1</v>
      </c>
      <c r="H504" s="117">
        <f t="shared" si="72"/>
        <v>0</v>
      </c>
      <c r="I504" s="119">
        <f t="shared" si="68"/>
        <v>1</v>
      </c>
      <c r="J504" s="119">
        <f t="shared" si="69"/>
        <v>1</v>
      </c>
      <c r="K504" s="117">
        <f t="shared" si="70"/>
        <v>0</v>
      </c>
    </row>
    <row r="506" spans="2:13">
      <c r="B506" s="659" t="s">
        <v>81</v>
      </c>
      <c r="C506" s="659"/>
      <c r="D506" s="659"/>
      <c r="E506" s="659"/>
      <c r="F506" s="659"/>
      <c r="G506" s="659"/>
      <c r="H506" s="659"/>
      <c r="I506" s="659"/>
      <c r="J506" s="659"/>
      <c r="K506" s="659"/>
    </row>
    <row r="507" spans="2:13">
      <c r="B507" s="449" t="s">
        <v>71</v>
      </c>
      <c r="C507" s="449">
        <v>2017</v>
      </c>
      <c r="D507" s="449">
        <v>2016</v>
      </c>
      <c r="E507" s="449" t="s">
        <v>73</v>
      </c>
      <c r="F507" s="449">
        <v>2016</v>
      </c>
      <c r="G507" s="449">
        <v>2015</v>
      </c>
      <c r="H507" s="449" t="s">
        <v>73</v>
      </c>
      <c r="I507" s="449">
        <v>2015</v>
      </c>
      <c r="J507" s="449">
        <v>2014</v>
      </c>
      <c r="K507" s="449" t="s">
        <v>73</v>
      </c>
    </row>
    <row r="508" spans="2:13">
      <c r="B508" s="40" t="s">
        <v>64</v>
      </c>
      <c r="C508" s="117">
        <f>I166</f>
        <v>0.12030694294781517</v>
      </c>
      <c r="D508" s="117">
        <f>I256</f>
        <v>0.14105410157958395</v>
      </c>
      <c r="E508" s="117">
        <f>C508-D508</f>
        <v>-2.0747158631768778E-2</v>
      </c>
      <c r="F508" s="117">
        <f>D508</f>
        <v>0.14105410157958395</v>
      </c>
      <c r="G508" s="117">
        <f>I340</f>
        <v>0.29277158847220042</v>
      </c>
      <c r="H508" s="117">
        <f>F508-G508</f>
        <v>-0.15171748689261647</v>
      </c>
      <c r="I508" s="117">
        <f>G508</f>
        <v>0.29277158847220042</v>
      </c>
      <c r="J508" s="117">
        <f>I422</f>
        <v>0.16311713455953533</v>
      </c>
      <c r="K508" s="117">
        <f>I508-J508</f>
        <v>0.12965445391266509</v>
      </c>
    </row>
    <row r="509" spans="2:13">
      <c r="B509" s="45" t="s">
        <v>65</v>
      </c>
      <c r="C509" s="118">
        <f>I167</f>
        <v>5.2373707216954279E-2</v>
      </c>
      <c r="D509" s="118">
        <f>I257</f>
        <v>5.7885402496810366E-2</v>
      </c>
      <c r="E509" s="118">
        <f t="shared" ref="E509:E512" si="73">C509-D509</f>
        <v>-5.5116952798560867E-3</v>
      </c>
      <c r="F509" s="118">
        <f>D509</f>
        <v>5.7885402496810366E-2</v>
      </c>
      <c r="G509" s="118">
        <f>I341</f>
        <v>0.209831987958459</v>
      </c>
      <c r="H509" s="118">
        <f t="shared" ref="H509:H512" si="74">F509-G509</f>
        <v>-0.15194658546164863</v>
      </c>
      <c r="I509" s="118">
        <f>G509</f>
        <v>0.209831987958459</v>
      </c>
      <c r="J509" s="118">
        <f>I423</f>
        <v>0.13188125201677961</v>
      </c>
      <c r="K509" s="118">
        <f>I509-J509</f>
        <v>7.7950735941679394E-2</v>
      </c>
    </row>
    <row r="510" spans="2:13">
      <c r="B510" s="40" t="s">
        <v>82</v>
      </c>
      <c r="C510" s="117">
        <f>I168</f>
        <v>2.74850767444411E-2</v>
      </c>
      <c r="D510" s="117">
        <f>I258</f>
        <v>3.5821899421794458E-2</v>
      </c>
      <c r="E510" s="117">
        <f t="shared" si="73"/>
        <v>-8.3368226773533581E-3</v>
      </c>
      <c r="F510" s="117">
        <f>D510</f>
        <v>3.5821899421794458E-2</v>
      </c>
      <c r="G510" s="117">
        <f>I342</f>
        <v>0.1389484573228493</v>
      </c>
      <c r="H510" s="117">
        <f t="shared" si="74"/>
        <v>-0.10312655790105485</v>
      </c>
      <c r="I510" s="117">
        <f>G510</f>
        <v>0.1389484573228493</v>
      </c>
      <c r="J510" s="117">
        <f>I424</f>
        <v>0.13188125201677961</v>
      </c>
      <c r="K510" s="117">
        <f>I510-J510</f>
        <v>7.0672053060696904E-3</v>
      </c>
    </row>
    <row r="511" spans="2:13">
      <c r="B511" s="45" t="s">
        <v>67</v>
      </c>
      <c r="C511" s="118">
        <f>I169</f>
        <v>4.3342731098550254E-2</v>
      </c>
      <c r="D511" s="118">
        <f>I259</f>
        <v>3.4080620978097893E-2</v>
      </c>
      <c r="E511" s="118">
        <f t="shared" si="73"/>
        <v>9.2621101204523604E-3</v>
      </c>
      <c r="F511" s="118">
        <f>D511</f>
        <v>3.4080620978097893E-2</v>
      </c>
      <c r="G511" s="118">
        <f>I343</f>
        <v>7.1029631082036568E-2</v>
      </c>
      <c r="H511" s="118">
        <f t="shared" si="74"/>
        <v>-3.6949010103938675E-2</v>
      </c>
      <c r="I511" s="118">
        <f>G511</f>
        <v>7.1029631082036568E-2</v>
      </c>
      <c r="J511" s="118">
        <f>I425</f>
        <v>1.3070160570776182E-2</v>
      </c>
      <c r="K511" s="118">
        <f>I511-J511</f>
        <v>5.7959470511260387E-2</v>
      </c>
    </row>
    <row r="512" spans="2:13">
      <c r="B512" s="40" t="s">
        <v>68</v>
      </c>
      <c r="C512" s="117">
        <f>I170</f>
        <v>3.1254144685399818E-2</v>
      </c>
      <c r="D512" s="117">
        <f>I260</f>
        <v>2.7650472326828046E-2</v>
      </c>
      <c r="E512" s="117">
        <f t="shared" si="73"/>
        <v>3.6036723585717717E-3</v>
      </c>
      <c r="F512" s="117">
        <f>D512</f>
        <v>2.7650472326828046E-2</v>
      </c>
      <c r="G512" s="117">
        <f>I344</f>
        <v>5.9903463948056436E-2</v>
      </c>
      <c r="H512" s="117">
        <f t="shared" si="74"/>
        <v>-3.225299162122839E-2</v>
      </c>
      <c r="I512" s="117">
        <f>G512</f>
        <v>5.9903463948056436E-2</v>
      </c>
      <c r="J512" s="117">
        <f>I426</f>
        <v>1.2424323950491182E-2</v>
      </c>
      <c r="K512" s="117">
        <f>I512-J512</f>
        <v>4.7479139997565256E-2</v>
      </c>
    </row>
    <row r="513" spans="2:10">
      <c r="B513" s="39"/>
      <c r="C513" s="101"/>
      <c r="D513" s="101"/>
      <c r="E513" s="101"/>
      <c r="F513" s="101"/>
      <c r="G513" s="101"/>
      <c r="H513" s="101"/>
    </row>
    <row r="514" spans="2:10">
      <c r="B514" s="687" t="s">
        <v>266</v>
      </c>
      <c r="C514" s="687"/>
      <c r="D514" s="687"/>
      <c r="E514" s="687"/>
      <c r="F514" s="687"/>
      <c r="G514" s="687"/>
      <c r="H514" s="687"/>
      <c r="I514" s="687"/>
      <c r="J514" s="687"/>
    </row>
    <row r="516" spans="2:10">
      <c r="B516" s="687" t="s">
        <v>267</v>
      </c>
      <c r="C516" s="687"/>
      <c r="D516" s="687"/>
      <c r="E516" s="102"/>
      <c r="F516" s="102"/>
      <c r="G516" s="102"/>
    </row>
    <row r="517" spans="2:10">
      <c r="B517" s="102"/>
      <c r="C517" s="102"/>
      <c r="D517" s="102"/>
      <c r="E517" s="102"/>
      <c r="F517" s="102"/>
      <c r="G517" s="102"/>
    </row>
    <row r="518" spans="2:10">
      <c r="B518" s="718" t="s">
        <v>263</v>
      </c>
      <c r="C518" s="718"/>
      <c r="D518" s="718"/>
      <c r="E518" s="718"/>
      <c r="F518" s="718"/>
      <c r="G518" s="718"/>
      <c r="H518" s="718"/>
      <c r="I518" s="718"/>
    </row>
    <row r="523" spans="2:10" ht="21" customHeight="1"/>
    <row r="549" spans="2:10">
      <c r="B549" s="687" t="s">
        <v>266</v>
      </c>
      <c r="C549" s="687"/>
      <c r="D549" s="687"/>
      <c r="E549" s="687"/>
      <c r="F549" s="687"/>
      <c r="G549" s="687"/>
      <c r="H549" s="687"/>
      <c r="I549" s="687"/>
      <c r="J549" s="687"/>
    </row>
    <row r="551" spans="2:10">
      <c r="B551" s="685" t="s">
        <v>265</v>
      </c>
      <c r="C551" s="685"/>
      <c r="D551" s="685"/>
      <c r="E551" s="102"/>
      <c r="F551" s="102"/>
      <c r="G551" s="102"/>
    </row>
    <row r="553" spans="2:10">
      <c r="B553" s="718" t="s">
        <v>83</v>
      </c>
      <c r="C553" s="718"/>
      <c r="D553" s="718"/>
      <c r="E553" s="718"/>
      <c r="F553" s="718"/>
      <c r="G553" s="718"/>
      <c r="H553" s="718"/>
      <c r="I553" s="718"/>
      <c r="J553" s="718"/>
    </row>
    <row r="554" spans="2:10">
      <c r="C554" s="103"/>
      <c r="D554" s="103"/>
      <c r="E554" s="103"/>
      <c r="F554" s="104"/>
      <c r="G554" s="104"/>
    </row>
    <row r="558" spans="2:10" ht="21" customHeight="1"/>
    <row r="580" spans="2:7">
      <c r="B580" s="687" t="s">
        <v>264</v>
      </c>
      <c r="C580" s="687"/>
      <c r="D580" s="687"/>
    </row>
    <row r="581" spans="2:7">
      <c r="B581" s="104"/>
      <c r="C581" s="104"/>
      <c r="D581" s="104"/>
      <c r="E581" s="104"/>
      <c r="F581" s="104"/>
      <c r="G581" s="104"/>
    </row>
    <row r="610" spans="2:7">
      <c r="B610" s="687" t="s">
        <v>268</v>
      </c>
      <c r="C610" s="687"/>
      <c r="D610" s="687"/>
    </row>
    <row r="612" spans="2:7">
      <c r="B612" s="104"/>
      <c r="C612" s="104"/>
      <c r="D612" s="104"/>
      <c r="E612" s="104"/>
      <c r="F612" s="104"/>
      <c r="G612" s="104"/>
    </row>
    <row r="635" spans="2:11">
      <c r="K635" s="27"/>
    </row>
    <row r="637" spans="2:11">
      <c r="B637" s="687" t="s">
        <v>266</v>
      </c>
      <c r="C637" s="687"/>
      <c r="D637" s="687"/>
      <c r="E637" s="687"/>
      <c r="F637" s="687"/>
      <c r="G637" s="687"/>
      <c r="H637" s="687"/>
      <c r="I637" s="687"/>
      <c r="J637" s="687"/>
    </row>
    <row r="639" spans="2:11">
      <c r="B639" s="687" t="s">
        <v>269</v>
      </c>
      <c r="C639" s="687"/>
      <c r="D639" s="687"/>
      <c r="E639" s="102"/>
      <c r="F639" s="102"/>
      <c r="G639" s="102"/>
    </row>
    <row r="640" spans="2:11" s="27" customFormat="1">
      <c r="B640" s="36"/>
      <c r="C640" s="36"/>
      <c r="D640" s="36"/>
      <c r="E640" s="36"/>
      <c r="F640" s="36"/>
      <c r="G640" s="36"/>
      <c r="H640" s="36"/>
      <c r="I640" s="37"/>
      <c r="J640" s="36"/>
      <c r="K640" s="36"/>
    </row>
    <row r="641" spans="2:10">
      <c r="B641" s="718" t="s">
        <v>84</v>
      </c>
      <c r="C641" s="718"/>
      <c r="D641" s="718"/>
      <c r="E641" s="718"/>
      <c r="F641" s="718"/>
      <c r="G641" s="718"/>
      <c r="H641" s="718"/>
      <c r="I641" s="718"/>
      <c r="J641" s="718"/>
    </row>
    <row r="646" spans="2:10" ht="22.5" customHeight="1"/>
    <row r="673" spans="2:10">
      <c r="B673" s="687" t="s">
        <v>270</v>
      </c>
      <c r="C673" s="687"/>
      <c r="D673" s="687"/>
    </row>
    <row r="674" spans="2:10">
      <c r="B674" s="719" t="s">
        <v>84</v>
      </c>
      <c r="C674" s="719"/>
      <c r="D674" s="719"/>
      <c r="E674" s="719"/>
      <c r="F674" s="719"/>
      <c r="G674" s="719"/>
      <c r="H674" s="719"/>
      <c r="I674" s="719"/>
      <c r="J674" s="719"/>
    </row>
    <row r="675" spans="2:10">
      <c r="B675" s="105"/>
      <c r="C675" s="105"/>
    </row>
    <row r="676" spans="2:10">
      <c r="B676" s="105"/>
      <c r="C676" s="105"/>
    </row>
    <row r="679" spans="2:10" ht="28.5" customHeight="1"/>
    <row r="707" spans="2:10">
      <c r="B707" s="720" t="s">
        <v>271</v>
      </c>
      <c r="C707" s="720"/>
      <c r="D707" s="720"/>
      <c r="E707" s="720"/>
      <c r="F707" s="720"/>
      <c r="G707" s="720"/>
      <c r="H707" s="720"/>
      <c r="I707" s="720"/>
      <c r="J707" s="720"/>
    </row>
    <row r="709" spans="2:10" ht="15" customHeight="1">
      <c r="B709" s="701" t="s">
        <v>272</v>
      </c>
      <c r="C709" s="701"/>
      <c r="D709" s="701"/>
      <c r="E709" s="701"/>
      <c r="F709" s="701"/>
      <c r="G709" s="701"/>
      <c r="H709" s="701"/>
      <c r="I709" s="701"/>
      <c r="J709" s="701"/>
    </row>
    <row r="710" spans="2:10">
      <c r="B710" s="701"/>
      <c r="C710" s="701"/>
      <c r="D710" s="701"/>
      <c r="E710" s="701"/>
      <c r="F710" s="701"/>
      <c r="G710" s="701"/>
      <c r="H710" s="701"/>
      <c r="I710" s="701"/>
      <c r="J710" s="701"/>
    </row>
    <row r="712" spans="2:10">
      <c r="B712" s="701" t="s">
        <v>274</v>
      </c>
      <c r="C712" s="701"/>
      <c r="D712" s="701"/>
      <c r="E712" s="701"/>
      <c r="F712" s="701"/>
      <c r="G712" s="701"/>
      <c r="H712" s="701"/>
      <c r="I712" s="701"/>
      <c r="J712" s="701"/>
    </row>
    <row r="713" spans="2:10">
      <c r="B713" s="701"/>
      <c r="C713" s="701"/>
      <c r="D713" s="701"/>
      <c r="E713" s="701"/>
      <c r="F713" s="701"/>
      <c r="G713" s="701"/>
      <c r="H713" s="701"/>
      <c r="I713" s="701"/>
      <c r="J713" s="701"/>
    </row>
    <row r="714" spans="2:10" ht="15" customHeight="1">
      <c r="B714" s="701"/>
      <c r="C714" s="701"/>
      <c r="D714" s="701"/>
      <c r="E714" s="701"/>
      <c r="F714" s="701"/>
      <c r="G714" s="701"/>
      <c r="H714" s="701"/>
      <c r="I714" s="701"/>
      <c r="J714" s="701"/>
    </row>
    <row r="715" spans="2:10">
      <c r="B715" s="701"/>
      <c r="C715" s="701"/>
      <c r="D715" s="701"/>
      <c r="E715" s="701"/>
      <c r="F715" s="701"/>
      <c r="G715" s="701"/>
      <c r="H715" s="701"/>
      <c r="I715" s="701"/>
      <c r="J715" s="701"/>
    </row>
    <row r="717" spans="2:10" ht="15" customHeight="1">
      <c r="B717" s="701" t="s">
        <v>445</v>
      </c>
      <c r="C717" s="701"/>
      <c r="D717" s="701"/>
      <c r="E717" s="701"/>
      <c r="F717" s="701"/>
      <c r="G717" s="701"/>
      <c r="H717" s="701"/>
      <c r="I717" s="701"/>
      <c r="J717" s="701"/>
    </row>
    <row r="718" spans="2:10">
      <c r="B718" s="701"/>
      <c r="C718" s="701"/>
      <c r="D718" s="701"/>
      <c r="E718" s="701"/>
      <c r="F718" s="701"/>
      <c r="G718" s="701"/>
      <c r="H718" s="701"/>
      <c r="I718" s="701"/>
      <c r="J718" s="701"/>
    </row>
    <row r="720" spans="2:10">
      <c r="B720" s="701" t="s">
        <v>449</v>
      </c>
      <c r="C720" s="701"/>
      <c r="D720" s="701"/>
      <c r="E720" s="701"/>
      <c r="F720" s="701"/>
      <c r="G720" s="701"/>
      <c r="H720" s="701"/>
      <c r="I720" s="701"/>
      <c r="J720" s="701"/>
    </row>
    <row r="721" spans="2:10">
      <c r="B721" s="701"/>
      <c r="C721" s="701"/>
      <c r="D721" s="701"/>
      <c r="E721" s="701"/>
      <c r="F721" s="701"/>
      <c r="G721" s="701"/>
      <c r="H721" s="701"/>
      <c r="I721" s="701"/>
      <c r="J721" s="701"/>
    </row>
    <row r="722" spans="2:10" ht="15" customHeight="1">
      <c r="B722" s="701"/>
      <c r="C722" s="701"/>
      <c r="D722" s="701"/>
      <c r="E722" s="701"/>
      <c r="F722" s="701"/>
      <c r="G722" s="701"/>
      <c r="H722" s="701"/>
      <c r="I722" s="701"/>
      <c r="J722" s="701"/>
    </row>
    <row r="724" spans="2:10">
      <c r="B724" s="701" t="s">
        <v>450</v>
      </c>
      <c r="C724" s="701"/>
      <c r="D724" s="701"/>
      <c r="E724" s="701"/>
      <c r="F724" s="701"/>
      <c r="G724" s="701"/>
      <c r="H724" s="701"/>
      <c r="I724" s="701"/>
      <c r="J724" s="701"/>
    </row>
    <row r="725" spans="2:10">
      <c r="B725" s="701"/>
      <c r="C725" s="701"/>
      <c r="D725" s="701"/>
      <c r="E725" s="701"/>
      <c r="F725" s="701"/>
      <c r="G725" s="701"/>
      <c r="H725" s="701"/>
      <c r="I725" s="701"/>
      <c r="J725" s="701"/>
    </row>
    <row r="727" spans="2:10">
      <c r="B727" s="701" t="s">
        <v>446</v>
      </c>
      <c r="C727" s="701"/>
      <c r="D727" s="701"/>
      <c r="E727" s="701"/>
      <c r="F727" s="701"/>
      <c r="G727" s="701"/>
      <c r="H727" s="701"/>
      <c r="I727" s="701"/>
      <c r="J727" s="701"/>
    </row>
    <row r="728" spans="2:10">
      <c r="B728" s="701"/>
      <c r="C728" s="701"/>
      <c r="D728" s="701"/>
      <c r="E728" s="701"/>
      <c r="F728" s="701"/>
      <c r="G728" s="701"/>
      <c r="H728" s="701"/>
      <c r="I728" s="701"/>
      <c r="J728" s="701"/>
    </row>
    <row r="730" spans="2:10">
      <c r="B730" s="701" t="s">
        <v>447</v>
      </c>
      <c r="C730" s="701"/>
      <c r="D730" s="701"/>
      <c r="E730" s="701"/>
      <c r="F730" s="701"/>
      <c r="G730" s="701"/>
      <c r="H730" s="701"/>
      <c r="I730" s="701"/>
      <c r="J730" s="701"/>
    </row>
    <row r="731" spans="2:10">
      <c r="B731" s="701"/>
      <c r="C731" s="701"/>
      <c r="D731" s="701"/>
      <c r="E731" s="701"/>
      <c r="F731" s="701"/>
      <c r="G731" s="701"/>
      <c r="H731" s="701"/>
      <c r="I731" s="701"/>
      <c r="J731" s="701"/>
    </row>
    <row r="733" spans="2:10">
      <c r="B733" s="701" t="s">
        <v>451</v>
      </c>
      <c r="C733" s="701"/>
      <c r="D733" s="701"/>
      <c r="E733" s="701"/>
      <c r="F733" s="701"/>
      <c r="G733" s="701"/>
      <c r="H733" s="701"/>
      <c r="I733" s="701"/>
      <c r="J733" s="701"/>
    </row>
    <row r="734" spans="2:10">
      <c r="B734" s="701"/>
      <c r="C734" s="701"/>
      <c r="D734" s="701"/>
      <c r="E734" s="701"/>
      <c r="F734" s="701"/>
      <c r="G734" s="701"/>
      <c r="H734" s="701"/>
      <c r="I734" s="701"/>
      <c r="J734" s="701"/>
    </row>
    <row r="736" spans="2:10" ht="15.75" customHeight="1">
      <c r="B736" s="701" t="s">
        <v>448</v>
      </c>
      <c r="C736" s="701"/>
      <c r="D736" s="701"/>
      <c r="E736" s="701"/>
      <c r="F736" s="701"/>
      <c r="G736" s="701"/>
      <c r="H736" s="701"/>
      <c r="I736" s="701"/>
      <c r="J736" s="701"/>
    </row>
    <row r="737" spans="2:10">
      <c r="B737" s="701"/>
      <c r="C737" s="701"/>
      <c r="D737" s="701"/>
      <c r="E737" s="701"/>
      <c r="F737" s="701"/>
      <c r="G737" s="701"/>
      <c r="H737" s="701"/>
      <c r="I737" s="701"/>
      <c r="J737" s="701"/>
    </row>
    <row r="738" spans="2:10">
      <c r="B738" s="701"/>
      <c r="C738" s="701"/>
      <c r="D738" s="701"/>
      <c r="E738" s="701"/>
      <c r="F738" s="701"/>
      <c r="G738" s="701"/>
      <c r="H738" s="701"/>
      <c r="I738" s="701"/>
      <c r="J738" s="701"/>
    </row>
  </sheetData>
  <mergeCells count="162">
    <mergeCell ref="F417:H417"/>
    <mergeCell ref="F409:H409"/>
    <mergeCell ref="F410:H410"/>
    <mergeCell ref="F411:H411"/>
    <mergeCell ref="B416:D416"/>
    <mergeCell ref="F413:I413"/>
    <mergeCell ref="F404:H404"/>
    <mergeCell ref="F406:I406"/>
    <mergeCell ref="B506:K506"/>
    <mergeCell ref="F433:H433"/>
    <mergeCell ref="F434:H434"/>
    <mergeCell ref="F423:H423"/>
    <mergeCell ref="F424:H424"/>
    <mergeCell ref="F425:H425"/>
    <mergeCell ref="F426:H426"/>
    <mergeCell ref="F427:H427"/>
    <mergeCell ref="B2:G2"/>
    <mergeCell ref="B3:G3"/>
    <mergeCell ref="B231:I231"/>
    <mergeCell ref="B234:D234"/>
    <mergeCell ref="B315:I315"/>
    <mergeCell ref="B318:D318"/>
    <mergeCell ref="B398:I398"/>
    <mergeCell ref="B484:K484"/>
    <mergeCell ref="B489:K489"/>
    <mergeCell ref="F418:H418"/>
    <mergeCell ref="F419:H419"/>
    <mergeCell ref="F421:I421"/>
    <mergeCell ref="F422:H422"/>
    <mergeCell ref="F414:H414"/>
    <mergeCell ref="F415:H415"/>
    <mergeCell ref="F416:H416"/>
    <mergeCell ref="F407:H407"/>
    <mergeCell ref="F408:H408"/>
    <mergeCell ref="F401:I401"/>
    <mergeCell ref="F402:H402"/>
    <mergeCell ref="F403:H403"/>
    <mergeCell ref="F346:H346"/>
    <mergeCell ref="F352:H352"/>
    <mergeCell ref="B400:D400"/>
    <mergeCell ref="B720:J722"/>
    <mergeCell ref="B724:J725"/>
    <mergeCell ref="B727:J728"/>
    <mergeCell ref="B730:J731"/>
    <mergeCell ref="B733:J734"/>
    <mergeCell ref="B482:K482"/>
    <mergeCell ref="B518:I518"/>
    <mergeCell ref="B553:J553"/>
    <mergeCell ref="B641:J641"/>
    <mergeCell ref="B674:J674"/>
    <mergeCell ref="B707:J707"/>
    <mergeCell ref="B709:J710"/>
    <mergeCell ref="B712:J715"/>
    <mergeCell ref="B717:J718"/>
    <mergeCell ref="B514:J514"/>
    <mergeCell ref="B549:J549"/>
    <mergeCell ref="B637:J637"/>
    <mergeCell ref="B639:D639"/>
    <mergeCell ref="B673:D673"/>
    <mergeCell ref="B516:D516"/>
    <mergeCell ref="B551:D551"/>
    <mergeCell ref="B580:D580"/>
    <mergeCell ref="B610:D610"/>
    <mergeCell ref="B497:K497"/>
    <mergeCell ref="F400:I400"/>
    <mergeCell ref="F341:H341"/>
    <mergeCell ref="F342:H342"/>
    <mergeCell ref="F343:H343"/>
    <mergeCell ref="F344:H344"/>
    <mergeCell ref="F345:H345"/>
    <mergeCell ref="F336:H336"/>
    <mergeCell ref="F337:H337"/>
    <mergeCell ref="F339:I339"/>
    <mergeCell ref="F340:H340"/>
    <mergeCell ref="F332:H332"/>
    <mergeCell ref="F333:H333"/>
    <mergeCell ref="F334:H334"/>
    <mergeCell ref="F335:H335"/>
    <mergeCell ref="F327:H327"/>
    <mergeCell ref="F328:H328"/>
    <mergeCell ref="F329:H329"/>
    <mergeCell ref="B334:D334"/>
    <mergeCell ref="F331:I331"/>
    <mergeCell ref="F322:H322"/>
    <mergeCell ref="F324:I324"/>
    <mergeCell ref="F325:H325"/>
    <mergeCell ref="F326:H326"/>
    <mergeCell ref="F318:I318"/>
    <mergeCell ref="F319:I319"/>
    <mergeCell ref="F320:H320"/>
    <mergeCell ref="F321:H321"/>
    <mergeCell ref="F267:H267"/>
    <mergeCell ref="F268:H268"/>
    <mergeCell ref="B317:D317"/>
    <mergeCell ref="F317:I317"/>
    <mergeCell ref="F257:H257"/>
    <mergeCell ref="F258:H258"/>
    <mergeCell ref="F259:H259"/>
    <mergeCell ref="F260:H260"/>
    <mergeCell ref="F261:H261"/>
    <mergeCell ref="F235:I235"/>
    <mergeCell ref="F236:H236"/>
    <mergeCell ref="F237:H237"/>
    <mergeCell ref="F252:H252"/>
    <mergeCell ref="F253:H253"/>
    <mergeCell ref="F255:I255"/>
    <mergeCell ref="F256:H256"/>
    <mergeCell ref="F248:H248"/>
    <mergeCell ref="F249:H249"/>
    <mergeCell ref="F250:H250"/>
    <mergeCell ref="F251:H251"/>
    <mergeCell ref="F243:H243"/>
    <mergeCell ref="F244:H244"/>
    <mergeCell ref="F245:H245"/>
    <mergeCell ref="B5:G5"/>
    <mergeCell ref="F170:H170"/>
    <mergeCell ref="F171:H171"/>
    <mergeCell ref="F172:H172"/>
    <mergeCell ref="B85:G85"/>
    <mergeCell ref="B141:I141"/>
    <mergeCell ref="B233:D233"/>
    <mergeCell ref="F233:I233"/>
    <mergeCell ref="F143:I143"/>
    <mergeCell ref="F144:I144"/>
    <mergeCell ref="F150:I150"/>
    <mergeCell ref="F151:H151"/>
    <mergeCell ref="F152:H152"/>
    <mergeCell ref="F146:H146"/>
    <mergeCell ref="F145:I145"/>
    <mergeCell ref="F157:I157"/>
    <mergeCell ref="F158:H158"/>
    <mergeCell ref="F159:H159"/>
    <mergeCell ref="F160:H160"/>
    <mergeCell ref="F174:H174"/>
    <mergeCell ref="F162:H162"/>
    <mergeCell ref="F163:H163"/>
    <mergeCell ref="F165:I165"/>
    <mergeCell ref="F166:H166"/>
    <mergeCell ref="B736:J738"/>
    <mergeCell ref="F167:H167"/>
    <mergeCell ref="B23:G23"/>
    <mergeCell ref="B39:G39"/>
    <mergeCell ref="B54:G54"/>
    <mergeCell ref="B115:G115"/>
    <mergeCell ref="B143:D143"/>
    <mergeCell ref="F148:H148"/>
    <mergeCell ref="F168:H168"/>
    <mergeCell ref="F169:H169"/>
    <mergeCell ref="F161:H161"/>
    <mergeCell ref="F153:H153"/>
    <mergeCell ref="F154:H154"/>
    <mergeCell ref="F155:H155"/>
    <mergeCell ref="F147:H147"/>
    <mergeCell ref="B159:D159"/>
    <mergeCell ref="B144:D144"/>
    <mergeCell ref="B250:D250"/>
    <mergeCell ref="F247:I247"/>
    <mergeCell ref="F238:H238"/>
    <mergeCell ref="F240:I240"/>
    <mergeCell ref="F241:H241"/>
    <mergeCell ref="F242:H242"/>
    <mergeCell ref="F234:I234"/>
  </mergeCells>
  <pageMargins left="0.7" right="0.7" top="0.75" bottom="0.75" header="0.3" footer="0.3"/>
  <pageSetup scale="45" orientation="portrait" r:id="rId1"/>
  <rowBreaks count="8" manualBreakCount="8">
    <brk id="83" max="11" man="1"/>
    <brk id="139" max="11" man="1"/>
    <brk id="229" max="16383" man="1"/>
    <brk id="312" max="11" man="1"/>
    <brk id="396" max="16383" man="1"/>
    <brk id="480" max="16383" man="1"/>
    <brk id="552" max="16383" man="1"/>
    <brk id="640" max="11" man="1"/>
  </rowBreaks>
  <colBreaks count="1" manualBreakCount="1">
    <brk id="12" min="3" max="795" man="1"/>
  </col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H19"/>
  <sheetViews>
    <sheetView showGridLines="0" workbookViewId="0">
      <selection activeCell="D7" sqref="D7"/>
    </sheetView>
  </sheetViews>
  <sheetFormatPr baseColWidth="10" defaultRowHeight="15"/>
  <cols>
    <col min="2" max="2" width="53.42578125" bestFit="1" customWidth="1"/>
    <col min="3" max="3" width="15.85546875" bestFit="1" customWidth="1"/>
    <col min="4" max="5" width="14.140625" bestFit="1" customWidth="1"/>
    <col min="6" max="6" width="13" bestFit="1" customWidth="1"/>
  </cols>
  <sheetData>
    <row r="1" spans="2:8">
      <c r="G1" s="583"/>
      <c r="H1" s="583"/>
    </row>
    <row r="2" spans="2:8" ht="15.75">
      <c r="B2" s="662" t="s">
        <v>85</v>
      </c>
      <c r="C2" s="662"/>
      <c r="D2" s="662"/>
      <c r="E2" s="662"/>
      <c r="F2" s="662"/>
      <c r="G2" s="584"/>
      <c r="H2" s="583"/>
    </row>
    <row r="3" spans="2:8" ht="15.75">
      <c r="B3" s="662" t="s">
        <v>86</v>
      </c>
      <c r="C3" s="662"/>
      <c r="D3" s="662"/>
      <c r="E3" s="662"/>
      <c r="F3" s="662"/>
      <c r="G3" s="584"/>
      <c r="H3" s="583"/>
    </row>
    <row r="4" spans="2:8" ht="15.75">
      <c r="B4" s="585"/>
      <c r="C4" s="585"/>
      <c r="D4" s="585"/>
      <c r="E4" s="585"/>
      <c r="F4" s="585"/>
      <c r="G4" s="584"/>
      <c r="H4" s="583"/>
    </row>
    <row r="5" spans="2:8" ht="15.75">
      <c r="B5" s="662" t="s">
        <v>367</v>
      </c>
      <c r="C5" s="662"/>
      <c r="D5" s="662"/>
      <c r="E5" s="662"/>
      <c r="F5" s="662"/>
      <c r="G5" s="583"/>
      <c r="H5" s="583"/>
    </row>
    <row r="6" spans="2:8" ht="15.75">
      <c r="B6" s="36"/>
      <c r="C6" s="36"/>
      <c r="D6" s="36"/>
      <c r="G6" s="583"/>
      <c r="H6" s="583"/>
    </row>
    <row r="7" spans="2:8" ht="15.75">
      <c r="B7" s="442" t="s">
        <v>0</v>
      </c>
      <c r="C7" s="442">
        <v>2017</v>
      </c>
      <c r="D7" s="442">
        <v>2016</v>
      </c>
      <c r="E7" s="442">
        <v>2015</v>
      </c>
      <c r="F7" s="442">
        <v>2014</v>
      </c>
      <c r="G7" s="583"/>
      <c r="H7" s="583"/>
    </row>
    <row r="8" spans="2:8" ht="15.75">
      <c r="B8" s="40" t="s">
        <v>3</v>
      </c>
      <c r="C8" s="106">
        <f>'ER 2017'!C10</f>
        <v>1148878000</v>
      </c>
      <c r="D8" s="42">
        <f>' ER 2016'!C10</f>
        <v>663086000</v>
      </c>
      <c r="E8" s="42">
        <f>'INDICADORES BASICOS'!C42</f>
        <v>344142000</v>
      </c>
      <c r="F8" s="63">
        <f>'INDICADORES BASICOS'!F42</f>
        <v>61980000</v>
      </c>
      <c r="G8" s="583"/>
      <c r="H8" s="583"/>
    </row>
    <row r="9" spans="2:8" ht="15.75">
      <c r="B9" s="45" t="s">
        <v>4</v>
      </c>
      <c r="C9" s="107">
        <f>'ER 2017'!C33</f>
        <v>1010660000</v>
      </c>
      <c r="D9" s="47">
        <f>' ER 2016'!C31</f>
        <v>569555000</v>
      </c>
      <c r="E9" s="47">
        <f>'INDICADORES BASICOS'!C43</f>
        <v>243387000</v>
      </c>
      <c r="F9" s="65">
        <f>'INDICADORES BASICOS'!F43</f>
        <v>51870000</v>
      </c>
      <c r="G9" s="583"/>
      <c r="H9" s="583"/>
    </row>
    <row r="10" spans="2:8" ht="15.75">
      <c r="B10" s="82" t="s">
        <v>5</v>
      </c>
      <c r="C10" s="462">
        <f>'ER 2017'!C35</f>
        <v>138218000</v>
      </c>
      <c r="D10" s="463">
        <f>' ER 2016'!C33</f>
        <v>93531000</v>
      </c>
      <c r="E10" s="463">
        <f>'INDICADORES BASICOS'!C44</f>
        <v>100755000</v>
      </c>
      <c r="F10" s="466">
        <f>'INDICADORES BASICOS'!F44</f>
        <v>10110000</v>
      </c>
      <c r="G10" s="583"/>
      <c r="H10" s="583"/>
    </row>
    <row r="11" spans="2:8" ht="15.75">
      <c r="B11" s="45" t="s">
        <v>43</v>
      </c>
      <c r="C11" s="107">
        <f>'ER 2017'!C50</f>
        <v>76822000</v>
      </c>
      <c r="D11" s="47">
        <f>' ER 2016'!C44</f>
        <v>54863000</v>
      </c>
      <c r="E11" s="47">
        <f>'INDICADORES BASICOS'!C45</f>
        <v>28543000</v>
      </c>
      <c r="F11" s="65">
        <f>'INDICADORES BASICOS'!F45</f>
        <v>1936000</v>
      </c>
    </row>
    <row r="12" spans="2:8" ht="15.75">
      <c r="B12" s="40" t="s">
        <v>6</v>
      </c>
      <c r="C12" s="106">
        <f>'ER 2017'!C56</f>
        <v>1225000</v>
      </c>
      <c r="D12" s="42">
        <f>' ER 2016'!C48</f>
        <v>285000</v>
      </c>
      <c r="E12" s="42">
        <v>0</v>
      </c>
      <c r="F12" s="66">
        <f>'ER 2014'!H2</f>
        <v>0</v>
      </c>
    </row>
    <row r="13" spans="2:8" ht="15.75">
      <c r="B13" s="78" t="s">
        <v>7</v>
      </c>
      <c r="C13" s="465">
        <f>'ER 2017'!C60</f>
        <v>60171000</v>
      </c>
      <c r="D13" s="460">
        <f>' ER 2016'!C52</f>
        <v>38383000</v>
      </c>
      <c r="E13" s="460">
        <f>'INDICADORES BASICOS'!C46</f>
        <v>72212000</v>
      </c>
      <c r="F13" s="461">
        <f>'INDICADORES BASICOS'!F46</f>
        <v>8174000</v>
      </c>
    </row>
    <row r="14" spans="2:8" ht="15.75">
      <c r="B14" s="40" t="s">
        <v>8</v>
      </c>
      <c r="C14" s="106">
        <f>'ER 2017'!C73</f>
        <v>756000</v>
      </c>
      <c r="D14" s="42"/>
      <c r="E14" s="42">
        <f>'INDICADORES BASICOS'!C47</f>
        <v>25000</v>
      </c>
      <c r="F14" s="81">
        <f>'INDICADORES BASICOS'!F47</f>
        <v>0</v>
      </c>
    </row>
    <row r="15" spans="2:8" ht="15.75">
      <c r="B15" s="45" t="s">
        <v>9</v>
      </c>
      <c r="C15" s="107">
        <f>'ER 2017'!C78</f>
        <v>13083000</v>
      </c>
      <c r="D15" s="47">
        <f>' ER 2016'!C63</f>
        <v>2394000</v>
      </c>
      <c r="E15" s="47">
        <f>'INDICADORES BASICOS'!C48</f>
        <v>3456000</v>
      </c>
      <c r="F15" s="65">
        <f>'INDICADORES BASICOS'!F48</f>
        <v>0</v>
      </c>
    </row>
    <row r="16" spans="2:8" ht="15.75">
      <c r="B16" s="82" t="s">
        <v>10</v>
      </c>
      <c r="C16" s="462">
        <f>'ER 2017'!C80</f>
        <v>47844000</v>
      </c>
      <c r="D16" s="463">
        <f>' ER 2016'!C65</f>
        <v>35989000</v>
      </c>
      <c r="E16" s="463">
        <f>'INDICADORES BASICOS'!C49</f>
        <v>68781000</v>
      </c>
      <c r="F16" s="464">
        <f>'INDICADORES BASICOS'!F49</f>
        <v>8174000</v>
      </c>
    </row>
    <row r="17" spans="2:6" ht="15.75">
      <c r="B17" s="48" t="s">
        <v>12</v>
      </c>
      <c r="C17" s="108"/>
      <c r="D17" s="50">
        <f>' ER 2016'!B69</f>
        <v>3239000</v>
      </c>
      <c r="E17" s="47">
        <f>'INDICADORES BASICOS'!C50</f>
        <v>3768000</v>
      </c>
      <c r="F17" s="65">
        <f>'INDICADORES BASICOS'!F50</f>
        <v>0</v>
      </c>
    </row>
    <row r="18" spans="2:6" ht="15.75">
      <c r="B18" s="51" t="s">
        <v>13</v>
      </c>
      <c r="C18" s="109">
        <f>'ER 2017'!B83</f>
        <v>16267000.000000002</v>
      </c>
      <c r="D18" s="53">
        <f>' ER 2016'!B68</f>
        <v>8997000</v>
      </c>
      <c r="E18" s="42">
        <f>'INDICADORES BASICOS'!C51</f>
        <v>17195000</v>
      </c>
      <c r="F18" s="81">
        <f>'INDICADORES BASICOS'!F51</f>
        <v>0</v>
      </c>
    </row>
    <row r="19" spans="2:6" ht="15.75">
      <c r="B19" s="457" t="s">
        <v>14</v>
      </c>
      <c r="C19" s="458">
        <f>'ER 2017'!C86</f>
        <v>31577000</v>
      </c>
      <c r="D19" s="459">
        <f>' ER 2016'!C72</f>
        <v>23753000</v>
      </c>
      <c r="E19" s="460">
        <f>'INDICADORES BASICOS'!C52</f>
        <v>47818000</v>
      </c>
      <c r="F19" s="461">
        <f>'INDICADORES BASICOS'!F52</f>
        <v>8174000</v>
      </c>
    </row>
  </sheetData>
  <mergeCells count="3">
    <mergeCell ref="B5:F5"/>
    <mergeCell ref="B2:F2"/>
    <mergeCell ref="B3:F3"/>
  </mergeCell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07"/>
  <sheetViews>
    <sheetView zoomScaleNormal="100" workbookViewId="0">
      <selection activeCell="F15" sqref="F15"/>
    </sheetView>
  </sheetViews>
  <sheetFormatPr baseColWidth="10" defaultColWidth="10.7109375" defaultRowHeight="15.75"/>
  <cols>
    <col min="1" max="1" width="55.85546875" style="14" customWidth="1"/>
    <col min="2" max="2" width="24.28515625" style="271" customWidth="1"/>
    <col min="3" max="3" width="23.28515625" style="156" customWidth="1"/>
    <col min="4" max="4" width="17.28515625" style="3" customWidth="1"/>
    <col min="5" max="5" width="15.140625" style="3" customWidth="1"/>
    <col min="6" max="6" width="13" style="3" customWidth="1"/>
    <col min="7" max="254" width="10.7109375" style="3"/>
    <col min="255" max="255" width="49" style="3" customWidth="1"/>
    <col min="256" max="256" width="19.7109375" style="3" customWidth="1"/>
    <col min="257" max="257" width="17.5703125" style="3" customWidth="1"/>
    <col min="258" max="510" width="10.7109375" style="3"/>
    <col min="511" max="511" width="49" style="3" customWidth="1"/>
    <col min="512" max="512" width="19.7109375" style="3" customWidth="1"/>
    <col min="513" max="513" width="17.5703125" style="3" customWidth="1"/>
    <col min="514" max="766" width="10.7109375" style="3"/>
    <col min="767" max="767" width="49" style="3" customWidth="1"/>
    <col min="768" max="768" width="19.7109375" style="3" customWidth="1"/>
    <col min="769" max="769" width="17.5703125" style="3" customWidth="1"/>
    <col min="770" max="1022" width="10.7109375" style="3"/>
    <col min="1023" max="1023" width="49" style="3" customWidth="1"/>
    <col min="1024" max="1024" width="19.7109375" style="3" customWidth="1"/>
    <col min="1025" max="1025" width="17.5703125" style="3" customWidth="1"/>
    <col min="1026" max="1278" width="10.7109375" style="3"/>
    <col min="1279" max="1279" width="49" style="3" customWidth="1"/>
    <col min="1280" max="1280" width="19.7109375" style="3" customWidth="1"/>
    <col min="1281" max="1281" width="17.5703125" style="3" customWidth="1"/>
    <col min="1282" max="1534" width="10.7109375" style="3"/>
    <col min="1535" max="1535" width="49" style="3" customWidth="1"/>
    <col min="1536" max="1536" width="19.7109375" style="3" customWidth="1"/>
    <col min="1537" max="1537" width="17.5703125" style="3" customWidth="1"/>
    <col min="1538" max="1790" width="10.7109375" style="3"/>
    <col min="1791" max="1791" width="49" style="3" customWidth="1"/>
    <col min="1792" max="1792" width="19.7109375" style="3" customWidth="1"/>
    <col min="1793" max="1793" width="17.5703125" style="3" customWidth="1"/>
    <col min="1794" max="2046" width="10.7109375" style="3"/>
    <col min="2047" max="2047" width="49" style="3" customWidth="1"/>
    <col min="2048" max="2048" width="19.7109375" style="3" customWidth="1"/>
    <col min="2049" max="2049" width="17.5703125" style="3" customWidth="1"/>
    <col min="2050" max="2302" width="10.7109375" style="3"/>
    <col min="2303" max="2303" width="49" style="3" customWidth="1"/>
    <col min="2304" max="2304" width="19.7109375" style="3" customWidth="1"/>
    <col min="2305" max="2305" width="17.5703125" style="3" customWidth="1"/>
    <col min="2306" max="2558" width="10.7109375" style="3"/>
    <col min="2559" max="2559" width="49" style="3" customWidth="1"/>
    <col min="2560" max="2560" width="19.7109375" style="3" customWidth="1"/>
    <col min="2561" max="2561" width="17.5703125" style="3" customWidth="1"/>
    <col min="2562" max="2814" width="10.7109375" style="3"/>
    <col min="2815" max="2815" width="49" style="3" customWidth="1"/>
    <col min="2816" max="2816" width="19.7109375" style="3" customWidth="1"/>
    <col min="2817" max="2817" width="17.5703125" style="3" customWidth="1"/>
    <col min="2818" max="3070" width="10.7109375" style="3"/>
    <col min="3071" max="3071" width="49" style="3" customWidth="1"/>
    <col min="3072" max="3072" width="19.7109375" style="3" customWidth="1"/>
    <col min="3073" max="3073" width="17.5703125" style="3" customWidth="1"/>
    <col min="3074" max="3326" width="10.7109375" style="3"/>
    <col min="3327" max="3327" width="49" style="3" customWidth="1"/>
    <col min="3328" max="3328" width="19.7109375" style="3" customWidth="1"/>
    <col min="3329" max="3329" width="17.5703125" style="3" customWidth="1"/>
    <col min="3330" max="3582" width="10.7109375" style="3"/>
    <col min="3583" max="3583" width="49" style="3" customWidth="1"/>
    <col min="3584" max="3584" width="19.7109375" style="3" customWidth="1"/>
    <col min="3585" max="3585" width="17.5703125" style="3" customWidth="1"/>
    <col min="3586" max="3838" width="10.7109375" style="3"/>
    <col min="3839" max="3839" width="49" style="3" customWidth="1"/>
    <col min="3840" max="3840" width="19.7109375" style="3" customWidth="1"/>
    <col min="3841" max="3841" width="17.5703125" style="3" customWidth="1"/>
    <col min="3842" max="4094" width="10.7109375" style="3"/>
    <col min="4095" max="4095" width="49" style="3" customWidth="1"/>
    <col min="4096" max="4096" width="19.7109375" style="3" customWidth="1"/>
    <col min="4097" max="4097" width="17.5703125" style="3" customWidth="1"/>
    <col min="4098" max="4350" width="10.7109375" style="3"/>
    <col min="4351" max="4351" width="49" style="3" customWidth="1"/>
    <col min="4352" max="4352" width="19.7109375" style="3" customWidth="1"/>
    <col min="4353" max="4353" width="17.5703125" style="3" customWidth="1"/>
    <col min="4354" max="4606" width="10.7109375" style="3"/>
    <col min="4607" max="4607" width="49" style="3" customWidth="1"/>
    <col min="4608" max="4608" width="19.7109375" style="3" customWidth="1"/>
    <col min="4609" max="4609" width="17.5703125" style="3" customWidth="1"/>
    <col min="4610" max="4862" width="10.7109375" style="3"/>
    <col min="4863" max="4863" width="49" style="3" customWidth="1"/>
    <col min="4864" max="4864" width="19.7109375" style="3" customWidth="1"/>
    <col min="4865" max="4865" width="17.5703125" style="3" customWidth="1"/>
    <col min="4866" max="5118" width="10.7109375" style="3"/>
    <col min="5119" max="5119" width="49" style="3" customWidth="1"/>
    <col min="5120" max="5120" width="19.7109375" style="3" customWidth="1"/>
    <col min="5121" max="5121" width="17.5703125" style="3" customWidth="1"/>
    <col min="5122" max="5374" width="10.7109375" style="3"/>
    <col min="5375" max="5375" width="49" style="3" customWidth="1"/>
    <col min="5376" max="5376" width="19.7109375" style="3" customWidth="1"/>
    <col min="5377" max="5377" width="17.5703125" style="3" customWidth="1"/>
    <col min="5378" max="5630" width="10.7109375" style="3"/>
    <col min="5631" max="5631" width="49" style="3" customWidth="1"/>
    <col min="5632" max="5632" width="19.7109375" style="3" customWidth="1"/>
    <col min="5633" max="5633" width="17.5703125" style="3" customWidth="1"/>
    <col min="5634" max="5886" width="10.7109375" style="3"/>
    <col min="5887" max="5887" width="49" style="3" customWidth="1"/>
    <col min="5888" max="5888" width="19.7109375" style="3" customWidth="1"/>
    <col min="5889" max="5889" width="17.5703125" style="3" customWidth="1"/>
    <col min="5890" max="6142" width="10.7109375" style="3"/>
    <col min="6143" max="6143" width="49" style="3" customWidth="1"/>
    <col min="6144" max="6144" width="19.7109375" style="3" customWidth="1"/>
    <col min="6145" max="6145" width="17.5703125" style="3" customWidth="1"/>
    <col min="6146" max="6398" width="10.7109375" style="3"/>
    <col min="6399" max="6399" width="49" style="3" customWidth="1"/>
    <col min="6400" max="6400" width="19.7109375" style="3" customWidth="1"/>
    <col min="6401" max="6401" width="17.5703125" style="3" customWidth="1"/>
    <col min="6402" max="6654" width="10.7109375" style="3"/>
    <col min="6655" max="6655" width="49" style="3" customWidth="1"/>
    <col min="6656" max="6656" width="19.7109375" style="3" customWidth="1"/>
    <col min="6657" max="6657" width="17.5703125" style="3" customWidth="1"/>
    <col min="6658" max="6910" width="10.7109375" style="3"/>
    <col min="6911" max="6911" width="49" style="3" customWidth="1"/>
    <col min="6912" max="6912" width="19.7109375" style="3" customWidth="1"/>
    <col min="6913" max="6913" width="17.5703125" style="3" customWidth="1"/>
    <col min="6914" max="7166" width="10.7109375" style="3"/>
    <col min="7167" max="7167" width="49" style="3" customWidth="1"/>
    <col min="7168" max="7168" width="19.7109375" style="3" customWidth="1"/>
    <col min="7169" max="7169" width="17.5703125" style="3" customWidth="1"/>
    <col min="7170" max="7422" width="10.7109375" style="3"/>
    <col min="7423" max="7423" width="49" style="3" customWidth="1"/>
    <col min="7424" max="7424" width="19.7109375" style="3" customWidth="1"/>
    <col min="7425" max="7425" width="17.5703125" style="3" customWidth="1"/>
    <col min="7426" max="7678" width="10.7109375" style="3"/>
    <col min="7679" max="7679" width="49" style="3" customWidth="1"/>
    <col min="7680" max="7680" width="19.7109375" style="3" customWidth="1"/>
    <col min="7681" max="7681" width="17.5703125" style="3" customWidth="1"/>
    <col min="7682" max="7934" width="10.7109375" style="3"/>
    <col min="7935" max="7935" width="49" style="3" customWidth="1"/>
    <col min="7936" max="7936" width="19.7109375" style="3" customWidth="1"/>
    <col min="7937" max="7937" width="17.5703125" style="3" customWidth="1"/>
    <col min="7938" max="8190" width="10.7109375" style="3"/>
    <col min="8191" max="8191" width="49" style="3" customWidth="1"/>
    <col min="8192" max="8192" width="19.7109375" style="3" customWidth="1"/>
    <col min="8193" max="8193" width="17.5703125" style="3" customWidth="1"/>
    <col min="8194" max="8446" width="10.7109375" style="3"/>
    <col min="8447" max="8447" width="49" style="3" customWidth="1"/>
    <col min="8448" max="8448" width="19.7109375" style="3" customWidth="1"/>
    <col min="8449" max="8449" width="17.5703125" style="3" customWidth="1"/>
    <col min="8450" max="8702" width="10.7109375" style="3"/>
    <col min="8703" max="8703" width="49" style="3" customWidth="1"/>
    <col min="8704" max="8704" width="19.7109375" style="3" customWidth="1"/>
    <col min="8705" max="8705" width="17.5703125" style="3" customWidth="1"/>
    <col min="8706" max="8958" width="10.7109375" style="3"/>
    <col min="8959" max="8959" width="49" style="3" customWidth="1"/>
    <col min="8960" max="8960" width="19.7109375" style="3" customWidth="1"/>
    <col min="8961" max="8961" width="17.5703125" style="3" customWidth="1"/>
    <col min="8962" max="9214" width="10.7109375" style="3"/>
    <col min="9215" max="9215" width="49" style="3" customWidth="1"/>
    <col min="9216" max="9216" width="19.7109375" style="3" customWidth="1"/>
    <col min="9217" max="9217" width="17.5703125" style="3" customWidth="1"/>
    <col min="9218" max="9470" width="10.7109375" style="3"/>
    <col min="9471" max="9471" width="49" style="3" customWidth="1"/>
    <col min="9472" max="9472" width="19.7109375" style="3" customWidth="1"/>
    <col min="9473" max="9473" width="17.5703125" style="3" customWidth="1"/>
    <col min="9474" max="9726" width="10.7109375" style="3"/>
    <col min="9727" max="9727" width="49" style="3" customWidth="1"/>
    <col min="9728" max="9728" width="19.7109375" style="3" customWidth="1"/>
    <col min="9729" max="9729" width="17.5703125" style="3" customWidth="1"/>
    <col min="9730" max="9982" width="10.7109375" style="3"/>
    <col min="9983" max="9983" width="49" style="3" customWidth="1"/>
    <col min="9984" max="9984" width="19.7109375" style="3" customWidth="1"/>
    <col min="9985" max="9985" width="17.5703125" style="3" customWidth="1"/>
    <col min="9986" max="10238" width="10.7109375" style="3"/>
    <col min="10239" max="10239" width="49" style="3" customWidth="1"/>
    <col min="10240" max="10240" width="19.7109375" style="3" customWidth="1"/>
    <col min="10241" max="10241" width="17.5703125" style="3" customWidth="1"/>
    <col min="10242" max="10494" width="10.7109375" style="3"/>
    <col min="10495" max="10495" width="49" style="3" customWidth="1"/>
    <col min="10496" max="10496" width="19.7109375" style="3" customWidth="1"/>
    <col min="10497" max="10497" width="17.5703125" style="3" customWidth="1"/>
    <col min="10498" max="10750" width="10.7109375" style="3"/>
    <col min="10751" max="10751" width="49" style="3" customWidth="1"/>
    <col min="10752" max="10752" width="19.7109375" style="3" customWidth="1"/>
    <col min="10753" max="10753" width="17.5703125" style="3" customWidth="1"/>
    <col min="10754" max="11006" width="10.7109375" style="3"/>
    <col min="11007" max="11007" width="49" style="3" customWidth="1"/>
    <col min="11008" max="11008" width="19.7109375" style="3" customWidth="1"/>
    <col min="11009" max="11009" width="17.5703125" style="3" customWidth="1"/>
    <col min="11010" max="11262" width="10.7109375" style="3"/>
    <col min="11263" max="11263" width="49" style="3" customWidth="1"/>
    <col min="11264" max="11264" width="19.7109375" style="3" customWidth="1"/>
    <col min="11265" max="11265" width="17.5703125" style="3" customWidth="1"/>
    <col min="11266" max="11518" width="10.7109375" style="3"/>
    <col min="11519" max="11519" width="49" style="3" customWidth="1"/>
    <col min="11520" max="11520" width="19.7109375" style="3" customWidth="1"/>
    <col min="11521" max="11521" width="17.5703125" style="3" customWidth="1"/>
    <col min="11522" max="11774" width="10.7109375" style="3"/>
    <col min="11775" max="11775" width="49" style="3" customWidth="1"/>
    <col min="11776" max="11776" width="19.7109375" style="3" customWidth="1"/>
    <col min="11777" max="11777" width="17.5703125" style="3" customWidth="1"/>
    <col min="11778" max="12030" width="10.7109375" style="3"/>
    <col min="12031" max="12031" width="49" style="3" customWidth="1"/>
    <col min="12032" max="12032" width="19.7109375" style="3" customWidth="1"/>
    <col min="12033" max="12033" width="17.5703125" style="3" customWidth="1"/>
    <col min="12034" max="12286" width="10.7109375" style="3"/>
    <col min="12287" max="12287" width="49" style="3" customWidth="1"/>
    <col min="12288" max="12288" width="19.7109375" style="3" customWidth="1"/>
    <col min="12289" max="12289" width="17.5703125" style="3" customWidth="1"/>
    <col min="12290" max="12542" width="10.7109375" style="3"/>
    <col min="12543" max="12543" width="49" style="3" customWidth="1"/>
    <col min="12544" max="12544" width="19.7109375" style="3" customWidth="1"/>
    <col min="12545" max="12545" width="17.5703125" style="3" customWidth="1"/>
    <col min="12546" max="12798" width="10.7109375" style="3"/>
    <col min="12799" max="12799" width="49" style="3" customWidth="1"/>
    <col min="12800" max="12800" width="19.7109375" style="3" customWidth="1"/>
    <col min="12801" max="12801" width="17.5703125" style="3" customWidth="1"/>
    <col min="12802" max="13054" width="10.7109375" style="3"/>
    <col min="13055" max="13055" width="49" style="3" customWidth="1"/>
    <col min="13056" max="13056" width="19.7109375" style="3" customWidth="1"/>
    <col min="13057" max="13057" width="17.5703125" style="3" customWidth="1"/>
    <col min="13058" max="13310" width="10.7109375" style="3"/>
    <col min="13311" max="13311" width="49" style="3" customWidth="1"/>
    <col min="13312" max="13312" width="19.7109375" style="3" customWidth="1"/>
    <col min="13313" max="13313" width="17.5703125" style="3" customWidth="1"/>
    <col min="13314" max="13566" width="10.7109375" style="3"/>
    <col min="13567" max="13567" width="49" style="3" customWidth="1"/>
    <col min="13568" max="13568" width="19.7109375" style="3" customWidth="1"/>
    <col min="13569" max="13569" width="17.5703125" style="3" customWidth="1"/>
    <col min="13570" max="13822" width="10.7109375" style="3"/>
    <col min="13823" max="13823" width="49" style="3" customWidth="1"/>
    <col min="13824" max="13824" width="19.7109375" style="3" customWidth="1"/>
    <col min="13825" max="13825" width="17.5703125" style="3" customWidth="1"/>
    <col min="13826" max="14078" width="10.7109375" style="3"/>
    <col min="14079" max="14079" width="49" style="3" customWidth="1"/>
    <col min="14080" max="14080" width="19.7109375" style="3" customWidth="1"/>
    <col min="14081" max="14081" width="17.5703125" style="3" customWidth="1"/>
    <col min="14082" max="14334" width="10.7109375" style="3"/>
    <col min="14335" max="14335" width="49" style="3" customWidth="1"/>
    <col min="14336" max="14336" width="19.7109375" style="3" customWidth="1"/>
    <col min="14337" max="14337" width="17.5703125" style="3" customWidth="1"/>
    <col min="14338" max="14590" width="10.7109375" style="3"/>
    <col min="14591" max="14591" width="49" style="3" customWidth="1"/>
    <col min="14592" max="14592" width="19.7109375" style="3" customWidth="1"/>
    <col min="14593" max="14593" width="17.5703125" style="3" customWidth="1"/>
    <col min="14594" max="14846" width="10.7109375" style="3"/>
    <col min="14847" max="14847" width="49" style="3" customWidth="1"/>
    <col min="14848" max="14848" width="19.7109375" style="3" customWidth="1"/>
    <col min="14849" max="14849" width="17.5703125" style="3" customWidth="1"/>
    <col min="14850" max="15102" width="10.7109375" style="3"/>
    <col min="15103" max="15103" width="49" style="3" customWidth="1"/>
    <col min="15104" max="15104" width="19.7109375" style="3" customWidth="1"/>
    <col min="15105" max="15105" width="17.5703125" style="3" customWidth="1"/>
    <col min="15106" max="15358" width="10.7109375" style="3"/>
    <col min="15359" max="15359" width="49" style="3" customWidth="1"/>
    <col min="15360" max="15360" width="19.7109375" style="3" customWidth="1"/>
    <col min="15361" max="15361" width="17.5703125" style="3" customWidth="1"/>
    <col min="15362" max="15614" width="10.7109375" style="3"/>
    <col min="15615" max="15615" width="49" style="3" customWidth="1"/>
    <col min="15616" max="15616" width="19.7109375" style="3" customWidth="1"/>
    <col min="15617" max="15617" width="17.5703125" style="3" customWidth="1"/>
    <col min="15618" max="15870" width="10.7109375" style="3"/>
    <col min="15871" max="15871" width="49" style="3" customWidth="1"/>
    <col min="15872" max="15872" width="19.7109375" style="3" customWidth="1"/>
    <col min="15873" max="15873" width="17.5703125" style="3" customWidth="1"/>
    <col min="15874" max="16126" width="10.7109375" style="3"/>
    <col min="16127" max="16127" width="49" style="3" customWidth="1"/>
    <col min="16128" max="16128" width="19.7109375" style="3" customWidth="1"/>
    <col min="16129" max="16129" width="17.5703125" style="3" customWidth="1"/>
    <col min="16130" max="16384" width="10.7109375" style="3"/>
  </cols>
  <sheetData>
    <row r="1" spans="1:4" s="172" customFormat="1">
      <c r="A1" s="721" t="s">
        <v>85</v>
      </c>
      <c r="B1" s="721"/>
      <c r="C1" s="721"/>
      <c r="D1" s="721"/>
    </row>
    <row r="2" spans="1:4" s="172" customFormat="1">
      <c r="A2" s="722" t="s">
        <v>86</v>
      </c>
      <c r="B2" s="722"/>
      <c r="C2" s="722"/>
      <c r="D2" s="722"/>
    </row>
    <row r="3" spans="1:4" s="172" customFormat="1">
      <c r="A3" s="156"/>
      <c r="B3" s="156"/>
      <c r="C3" s="156"/>
    </row>
    <row r="4" spans="1:4" s="172" customFormat="1">
      <c r="A4" s="723" t="s">
        <v>342</v>
      </c>
      <c r="B4" s="724"/>
      <c r="C4" s="724"/>
      <c r="D4" s="724"/>
    </row>
    <row r="5" spans="1:4" s="172" customFormat="1">
      <c r="A5" s="263"/>
      <c r="B5" s="270"/>
      <c r="C5" s="156"/>
    </row>
    <row r="6" spans="1:4" s="172" customFormat="1">
      <c r="A6" s="253" t="s">
        <v>137</v>
      </c>
      <c r="B6" s="289">
        <v>2017</v>
      </c>
      <c r="C6" s="290">
        <v>2016</v>
      </c>
      <c r="D6" s="194" t="s">
        <v>343</v>
      </c>
    </row>
    <row r="7" spans="1:4" s="172" customFormat="1">
      <c r="A7" s="254" t="s">
        <v>138</v>
      </c>
      <c r="B7" s="288"/>
      <c r="C7" s="156"/>
    </row>
    <row r="8" spans="1:4" s="172" customFormat="1">
      <c r="A8" s="727" t="s">
        <v>139</v>
      </c>
      <c r="B8" s="727"/>
      <c r="C8" s="156"/>
    </row>
    <row r="9" spans="1:4" s="172" customFormat="1">
      <c r="A9" s="32" t="s">
        <v>140</v>
      </c>
      <c r="B9" s="275">
        <v>2419000</v>
      </c>
      <c r="C9" s="156">
        <f>+'ESF 2016'!B10</f>
        <v>883000</v>
      </c>
      <c r="D9" s="172">
        <f>+B9-C9</f>
        <v>1536000</v>
      </c>
    </row>
    <row r="10" spans="1:4" s="172" customFormat="1" ht="16.5" thickBot="1">
      <c r="A10" s="32" t="s">
        <v>141</v>
      </c>
      <c r="B10" s="276">
        <v>10855000</v>
      </c>
      <c r="C10" s="291">
        <f>+'ESF 2016'!B11</f>
        <v>2770000</v>
      </c>
      <c r="D10" s="172">
        <f>+B10-C10</f>
        <v>8085000</v>
      </c>
    </row>
    <row r="11" spans="1:4" s="172" customFormat="1" ht="31.5">
      <c r="A11" s="23" t="s">
        <v>142</v>
      </c>
      <c r="B11" s="277">
        <f>SUM(B9:B10)</f>
        <v>13274000</v>
      </c>
      <c r="C11" s="292">
        <f>SUM(C9:C10)</f>
        <v>3653000</v>
      </c>
    </row>
    <row r="12" spans="1:4" s="172" customFormat="1">
      <c r="A12" s="23"/>
      <c r="B12" s="275"/>
      <c r="C12" s="156"/>
    </row>
    <row r="13" spans="1:4" s="172" customFormat="1" ht="31.5">
      <c r="A13" s="23" t="s">
        <v>144</v>
      </c>
      <c r="B13" s="275"/>
      <c r="C13" s="156"/>
    </row>
    <row r="14" spans="1:4" s="172" customFormat="1">
      <c r="A14" s="32" t="s">
        <v>145</v>
      </c>
      <c r="B14" s="275">
        <v>221026000</v>
      </c>
      <c r="C14" s="156">
        <f>+'ESF 2016'!B15</f>
        <v>115549000</v>
      </c>
      <c r="D14" s="172">
        <f t="shared" ref="D14:D72" si="0">+B14-C14</f>
        <v>105477000</v>
      </c>
    </row>
    <row r="15" spans="1:4" s="172" customFormat="1">
      <c r="A15" s="32" t="s">
        <v>146</v>
      </c>
      <c r="B15" s="275">
        <v>68968000</v>
      </c>
      <c r="C15" s="156">
        <f>+'ESF 2016'!B16</f>
        <v>5358000</v>
      </c>
      <c r="D15" s="172">
        <f t="shared" si="0"/>
        <v>63610000</v>
      </c>
    </row>
    <row r="16" spans="1:4" s="172" customFormat="1">
      <c r="A16" s="32" t="s">
        <v>236</v>
      </c>
      <c r="B16" s="275">
        <v>116900000</v>
      </c>
      <c r="D16" s="172">
        <f>+B16-C16</f>
        <v>116900000</v>
      </c>
    </row>
    <row r="17" spans="1:4" s="172" customFormat="1" ht="16.5" thickBot="1">
      <c r="A17" s="32" t="s">
        <v>147</v>
      </c>
      <c r="B17" s="276">
        <v>16536000</v>
      </c>
      <c r="C17" s="291">
        <f>+'ESF 2016'!B17</f>
        <v>12496000</v>
      </c>
      <c r="D17" s="172">
        <f>+B17-C17</f>
        <v>4040000</v>
      </c>
    </row>
    <row r="18" spans="1:4" s="172" customFormat="1" ht="31.5">
      <c r="A18" s="23" t="s">
        <v>148</v>
      </c>
      <c r="B18" s="277">
        <f>SUM(B14:B17)</f>
        <v>423430000</v>
      </c>
      <c r="C18" s="292">
        <f>SUM(C14:C17)</f>
        <v>133403000</v>
      </c>
    </row>
    <row r="19" spans="1:4" s="172" customFormat="1">
      <c r="A19" s="23"/>
      <c r="B19" s="275"/>
      <c r="C19" s="156"/>
    </row>
    <row r="20" spans="1:4" s="172" customFormat="1" ht="16.5" thickBot="1">
      <c r="A20" s="282" t="s">
        <v>149</v>
      </c>
      <c r="B20" s="287">
        <f>+B11+B18</f>
        <v>436704000</v>
      </c>
      <c r="C20" s="294">
        <f>+C11+C18</f>
        <v>137056000</v>
      </c>
    </row>
    <row r="21" spans="1:4">
      <c r="A21" s="32"/>
      <c r="B21" s="275"/>
      <c r="D21" s="172"/>
    </row>
    <row r="22" spans="1:4" s="172" customFormat="1">
      <c r="A22" s="728" t="s">
        <v>150</v>
      </c>
      <c r="B22" s="728"/>
      <c r="C22" s="156"/>
    </row>
    <row r="23" spans="1:4">
      <c r="A23" s="729" t="s">
        <v>151</v>
      </c>
      <c r="B23" s="730"/>
      <c r="D23" s="172"/>
    </row>
    <row r="24" spans="1:4">
      <c r="A24" s="22"/>
      <c r="B24" s="277"/>
      <c r="D24" s="172"/>
    </row>
    <row r="25" spans="1:4">
      <c r="A25" s="23" t="s">
        <v>152</v>
      </c>
      <c r="B25" s="272"/>
      <c r="D25" s="172"/>
    </row>
    <row r="26" spans="1:4">
      <c r="A26" s="32" t="s">
        <v>153</v>
      </c>
      <c r="B26" s="275">
        <v>1730000</v>
      </c>
      <c r="C26" s="156">
        <f>+'ESF 2016'!B25</f>
        <v>1730000</v>
      </c>
      <c r="D26" s="172">
        <f t="shared" si="0"/>
        <v>0</v>
      </c>
    </row>
    <row r="27" spans="1:4" ht="16.5" thickBot="1">
      <c r="A27" s="32" t="s">
        <v>160</v>
      </c>
      <c r="B27" s="276">
        <v>-173000</v>
      </c>
      <c r="C27" s="291"/>
      <c r="D27" s="172">
        <f t="shared" si="0"/>
        <v>-173000</v>
      </c>
    </row>
    <row r="28" spans="1:4">
      <c r="A28" s="23" t="s">
        <v>154</v>
      </c>
      <c r="B28" s="277">
        <f>SUM(B26:B27)</f>
        <v>1557000</v>
      </c>
      <c r="C28" s="292">
        <f>SUM(C26:C27)</f>
        <v>1730000</v>
      </c>
      <c r="D28" s="172"/>
    </row>
    <row r="29" spans="1:4">
      <c r="A29" s="22"/>
      <c r="B29" s="277"/>
      <c r="D29" s="172"/>
    </row>
    <row r="30" spans="1:4">
      <c r="A30" s="23" t="s">
        <v>155</v>
      </c>
      <c r="B30" s="272"/>
      <c r="D30" s="172"/>
    </row>
    <row r="31" spans="1:4">
      <c r="A31" s="32" t="s">
        <v>156</v>
      </c>
      <c r="B31" s="275">
        <v>2800000</v>
      </c>
      <c r="C31" s="156">
        <f>+'ESF 2016'!B29</f>
        <v>2800000</v>
      </c>
      <c r="D31" s="172"/>
    </row>
    <row r="32" spans="1:4" ht="16.5" thickBot="1">
      <c r="A32" s="32" t="s">
        <v>160</v>
      </c>
      <c r="B32" s="276">
        <v>-560000</v>
      </c>
      <c r="C32" s="291"/>
      <c r="D32" s="172">
        <f t="shared" si="0"/>
        <v>-560000</v>
      </c>
    </row>
    <row r="33" spans="1:4" ht="31.5">
      <c r="A33" s="23" t="s">
        <v>157</v>
      </c>
      <c r="B33" s="277">
        <f>SUM(B31:B32)</f>
        <v>2240000</v>
      </c>
      <c r="C33" s="292">
        <f>SUM(C31:C32)</f>
        <v>2800000</v>
      </c>
      <c r="D33" s="172"/>
    </row>
    <row r="34" spans="1:4">
      <c r="A34" s="22"/>
      <c r="B34" s="277"/>
      <c r="D34" s="172"/>
    </row>
    <row r="35" spans="1:4">
      <c r="A35" s="23" t="s">
        <v>158</v>
      </c>
      <c r="B35" s="272"/>
      <c r="D35" s="172"/>
    </row>
    <row r="36" spans="1:4">
      <c r="A36" s="32" t="s">
        <v>159</v>
      </c>
      <c r="B36" s="275">
        <v>751100000</v>
      </c>
      <c r="C36" s="156">
        <f>+'ESF 2016'!B33</f>
        <v>751100000</v>
      </c>
      <c r="D36" s="172">
        <f t="shared" si="0"/>
        <v>0</v>
      </c>
    </row>
    <row r="37" spans="1:4" ht="16.5" thickBot="1">
      <c r="A37" s="32" t="s">
        <v>160</v>
      </c>
      <c r="B37" s="276">
        <v>-185330000</v>
      </c>
      <c r="C37" s="291">
        <f>+'ESF 2016'!B34</f>
        <v>-35110000</v>
      </c>
      <c r="D37" s="172">
        <f t="shared" si="0"/>
        <v>-150220000</v>
      </c>
    </row>
    <row r="38" spans="1:4">
      <c r="A38" s="23" t="s">
        <v>161</v>
      </c>
      <c r="B38" s="277">
        <f>SUM(B36:B37)</f>
        <v>565770000</v>
      </c>
      <c r="C38" s="292">
        <f>SUM(C36:C37)</f>
        <v>715990000</v>
      </c>
      <c r="D38" s="172"/>
    </row>
    <row r="39" spans="1:4">
      <c r="A39" s="23"/>
      <c r="B39" s="275"/>
      <c r="D39" s="172"/>
    </row>
    <row r="40" spans="1:4">
      <c r="A40" s="23" t="s">
        <v>23</v>
      </c>
      <c r="B40" s="275"/>
      <c r="D40" s="172"/>
    </row>
    <row r="41" spans="1:4" ht="16.5" thickBot="1">
      <c r="A41" s="32" t="s">
        <v>237</v>
      </c>
      <c r="B41" s="276">
        <f>3598000+461000</f>
        <v>4059000</v>
      </c>
      <c r="C41" s="291">
        <f>+'ESF 2016'!B40</f>
        <v>1469000</v>
      </c>
      <c r="D41" s="172">
        <f t="shared" si="0"/>
        <v>2590000</v>
      </c>
    </row>
    <row r="42" spans="1:4">
      <c r="A42" s="23" t="s">
        <v>164</v>
      </c>
      <c r="B42" s="277">
        <f>+B41</f>
        <v>4059000</v>
      </c>
      <c r="C42" s="292">
        <f>+C41</f>
        <v>1469000</v>
      </c>
      <c r="D42" s="172"/>
    </row>
    <row r="43" spans="1:4">
      <c r="A43" s="32"/>
      <c r="B43" s="275"/>
      <c r="D43" s="172"/>
    </row>
    <row r="44" spans="1:4" ht="16.5" thickBot="1">
      <c r="A44" s="282" t="s">
        <v>165</v>
      </c>
      <c r="B44" s="283">
        <f>+B28+B33+B38+B42</f>
        <v>573626000</v>
      </c>
      <c r="C44" s="295">
        <f>+C28+C33+C38+C42</f>
        <v>721989000</v>
      </c>
      <c r="D44" s="172"/>
    </row>
    <row r="45" spans="1:4">
      <c r="A45" s="32"/>
      <c r="B45" s="275"/>
      <c r="D45" s="172"/>
    </row>
    <row r="46" spans="1:4" s="11" customFormat="1" ht="16.5" thickBot="1">
      <c r="A46" s="282" t="s">
        <v>166</v>
      </c>
      <c r="B46" s="284">
        <f>+B44+B20</f>
        <v>1010330000</v>
      </c>
      <c r="C46" s="295">
        <f>+C44+C20</f>
        <v>859045000</v>
      </c>
      <c r="D46" s="172"/>
    </row>
    <row r="47" spans="1:4">
      <c r="A47" s="32"/>
      <c r="B47" s="275"/>
      <c r="D47" s="172"/>
    </row>
    <row r="48" spans="1:4">
      <c r="A48" s="721" t="s">
        <v>85</v>
      </c>
      <c r="B48" s="721"/>
      <c r="C48" s="721"/>
      <c r="D48" s="721"/>
    </row>
    <row r="49" spans="1:4">
      <c r="A49" s="722" t="s">
        <v>86</v>
      </c>
      <c r="B49" s="722"/>
      <c r="C49" s="722"/>
      <c r="D49" s="722"/>
    </row>
    <row r="50" spans="1:4">
      <c r="A50" s="156"/>
      <c r="B50" s="156"/>
      <c r="D50" s="172"/>
    </row>
    <row r="51" spans="1:4">
      <c r="A51" s="723" t="s">
        <v>342</v>
      </c>
      <c r="B51" s="724"/>
      <c r="C51" s="724"/>
      <c r="D51" s="724"/>
    </row>
    <row r="52" spans="1:4">
      <c r="A52" s="32"/>
      <c r="B52" s="275"/>
      <c r="D52" s="172"/>
    </row>
    <row r="53" spans="1:4">
      <c r="A53" s="332" t="s">
        <v>167</v>
      </c>
      <c r="B53" s="289">
        <v>2017</v>
      </c>
      <c r="C53" s="290">
        <v>2016</v>
      </c>
      <c r="D53" s="194" t="s">
        <v>343</v>
      </c>
    </row>
    <row r="54" spans="1:4">
      <c r="A54" s="279" t="s">
        <v>238</v>
      </c>
      <c r="B54" s="277"/>
      <c r="D54" s="172"/>
    </row>
    <row r="55" spans="1:4" ht="16.5" thickBot="1">
      <c r="A55" s="280" t="s">
        <v>239</v>
      </c>
      <c r="B55" s="276">
        <v>53044000</v>
      </c>
      <c r="C55" s="156">
        <v>0</v>
      </c>
      <c r="D55" s="172">
        <f t="shared" si="0"/>
        <v>53044000</v>
      </c>
    </row>
    <row r="56" spans="1:4">
      <c r="A56" s="279" t="s">
        <v>240</v>
      </c>
      <c r="B56" s="277">
        <f>SUM(B55)</f>
        <v>53044000</v>
      </c>
      <c r="D56" s="172"/>
    </row>
    <row r="57" spans="1:4">
      <c r="A57" s="281"/>
      <c r="B57" s="277"/>
      <c r="D57" s="172"/>
    </row>
    <row r="58" spans="1:4">
      <c r="A58" s="23" t="s">
        <v>27</v>
      </c>
      <c r="B58" s="275"/>
      <c r="D58" s="172"/>
    </row>
    <row r="59" spans="1:4" ht="16.5" thickBot="1">
      <c r="A59" s="32" t="s">
        <v>168</v>
      </c>
      <c r="B59" s="276">
        <v>30699000</v>
      </c>
      <c r="C59" s="291">
        <f>+'ESF 2016'!C57</f>
        <v>38622000</v>
      </c>
      <c r="D59" s="172">
        <f t="shared" si="0"/>
        <v>-7923000</v>
      </c>
    </row>
    <row r="60" spans="1:4">
      <c r="A60" s="23" t="s">
        <v>169</v>
      </c>
      <c r="B60" s="277">
        <f>SUM(B59)</f>
        <v>30699000</v>
      </c>
      <c r="C60" s="292">
        <f>SUM(C59)</f>
        <v>38622000</v>
      </c>
    </row>
    <row r="61" spans="1:4">
      <c r="A61" s="281"/>
      <c r="B61" s="277"/>
      <c r="D61" s="172"/>
    </row>
    <row r="62" spans="1:4" ht="31.5">
      <c r="A62" s="23" t="s">
        <v>170</v>
      </c>
      <c r="B62" s="275"/>
      <c r="D62" s="172"/>
    </row>
    <row r="63" spans="1:4">
      <c r="A63" s="297" t="s">
        <v>171</v>
      </c>
      <c r="B63" s="275"/>
      <c r="C63" s="156">
        <f>+'ESF 2016'!B60</f>
        <v>87000</v>
      </c>
      <c r="D63" s="172">
        <f t="shared" si="0"/>
        <v>-87000</v>
      </c>
    </row>
    <row r="64" spans="1:4">
      <c r="A64" s="32" t="s">
        <v>172</v>
      </c>
      <c r="B64" s="275">
        <v>1064000</v>
      </c>
      <c r="C64" s="156">
        <f>+'ESF 2016'!B61</f>
        <v>809000</v>
      </c>
      <c r="D64" s="172">
        <f t="shared" si="0"/>
        <v>255000</v>
      </c>
    </row>
    <row r="65" spans="1:4">
      <c r="A65" s="297" t="s">
        <v>173</v>
      </c>
      <c r="B65" s="275"/>
      <c r="C65" s="156">
        <f>+'ESF 2016'!B62</f>
        <v>1107000</v>
      </c>
      <c r="D65" s="172">
        <f t="shared" si="0"/>
        <v>-1107000</v>
      </c>
    </row>
    <row r="66" spans="1:4" ht="16.5" thickBot="1">
      <c r="A66" s="297" t="s">
        <v>174</v>
      </c>
      <c r="B66" s="276"/>
      <c r="C66" s="291">
        <f>+'ESF 2016'!B63</f>
        <v>69361000</v>
      </c>
      <c r="D66" s="172">
        <f t="shared" si="0"/>
        <v>-69361000</v>
      </c>
    </row>
    <row r="67" spans="1:4" ht="30" customHeight="1">
      <c r="A67" s="285" t="s">
        <v>220</v>
      </c>
      <c r="B67" s="286">
        <f>+B64</f>
        <v>1064000</v>
      </c>
      <c r="C67" s="286">
        <f>+SUM(C63:C66)</f>
        <v>71364000</v>
      </c>
      <c r="D67" s="172"/>
    </row>
    <row r="68" spans="1:4">
      <c r="A68" s="23"/>
      <c r="B68" s="275"/>
      <c r="D68" s="172"/>
    </row>
    <row r="69" spans="1:4">
      <c r="A69" s="23" t="s">
        <v>178</v>
      </c>
      <c r="B69" s="275"/>
      <c r="D69" s="172"/>
    </row>
    <row r="70" spans="1:4">
      <c r="A70" s="32" t="str">
        <f>+'ESF 2016'!A67</f>
        <v>Ingresos recibidos por anticipado</v>
      </c>
      <c r="B70" s="275"/>
      <c r="C70" s="156">
        <f>+'ESF 2016'!B67</f>
        <v>2190000</v>
      </c>
      <c r="D70" s="172">
        <f t="shared" si="0"/>
        <v>-2190000</v>
      </c>
    </row>
    <row r="71" spans="1:4">
      <c r="A71" s="32" t="s">
        <v>241</v>
      </c>
      <c r="B71" s="275">
        <v>15120000</v>
      </c>
      <c r="C71" s="3"/>
      <c r="D71" s="172">
        <f t="shared" si="0"/>
        <v>15120000</v>
      </c>
    </row>
    <row r="72" spans="1:4" ht="16.5" thickBot="1">
      <c r="A72" s="32" t="s">
        <v>179</v>
      </c>
      <c r="B72" s="276">
        <v>165594000</v>
      </c>
      <c r="C72" s="291">
        <f>+'ESF 2016'!B71</f>
        <v>37668000</v>
      </c>
      <c r="D72" s="172">
        <f t="shared" si="0"/>
        <v>127926000</v>
      </c>
    </row>
    <row r="73" spans="1:4">
      <c r="A73" s="23" t="s">
        <v>180</v>
      </c>
      <c r="B73" s="277">
        <f>SUM(B71:B72)</f>
        <v>180714000</v>
      </c>
      <c r="C73" s="277">
        <f>SUM(C70:C72)</f>
        <v>39858000</v>
      </c>
      <c r="D73" s="172"/>
    </row>
    <row r="74" spans="1:4">
      <c r="A74" s="23"/>
      <c r="B74" s="275"/>
      <c r="D74" s="172"/>
    </row>
    <row r="75" spans="1:4">
      <c r="A75" s="23" t="s">
        <v>181</v>
      </c>
      <c r="B75" s="275"/>
      <c r="D75" s="172"/>
    </row>
    <row r="76" spans="1:4">
      <c r="A76" s="32" t="s">
        <v>182</v>
      </c>
      <c r="B76" s="275">
        <f>'ER 2017'!B83</f>
        <v>16267000.000000002</v>
      </c>
      <c r="C76" s="156">
        <f>+'ESF 2016'!B75</f>
        <v>8997000</v>
      </c>
      <c r="D76" s="172">
        <f t="shared" ref="D76:D96" si="1">+B76-C76</f>
        <v>7270000.0000000019</v>
      </c>
    </row>
    <row r="77" spans="1:4" ht="16.5" thickBot="1">
      <c r="A77" s="32" t="str">
        <f>+'ESF 2016'!A76</f>
        <v>Impuesto sobre la renta para la equidad CREE</v>
      </c>
      <c r="B77" s="276"/>
      <c r="C77" s="291">
        <f>+'ESF 2016'!B76</f>
        <v>3239000</v>
      </c>
      <c r="D77" s="172">
        <f t="shared" si="1"/>
        <v>-3239000</v>
      </c>
    </row>
    <row r="78" spans="1:4">
      <c r="A78" s="23" t="s">
        <v>183</v>
      </c>
      <c r="B78" s="277">
        <f>SUM(B76)</f>
        <v>16267000.000000002</v>
      </c>
      <c r="C78" s="277">
        <f>+C76+C77</f>
        <v>12236000</v>
      </c>
      <c r="D78" s="172"/>
    </row>
    <row r="79" spans="1:4">
      <c r="A79" s="23"/>
      <c r="B79" s="275"/>
      <c r="D79" s="172"/>
    </row>
    <row r="80" spans="1:4" s="11" customFormat="1" ht="16.5" thickBot="1">
      <c r="A80" s="282" t="s">
        <v>184</v>
      </c>
      <c r="B80" s="283">
        <f>+B78+B73+B67+B60+B56</f>
        <v>281788000</v>
      </c>
      <c r="C80" s="283">
        <f>+C78+C73+C67+C60+C56</f>
        <v>162080000</v>
      </c>
      <c r="D80" s="172"/>
    </row>
    <row r="81" spans="1:4" s="11" customFormat="1">
      <c r="A81" s="23"/>
      <c r="B81" s="277"/>
      <c r="C81" s="296"/>
      <c r="D81" s="172"/>
    </row>
    <row r="82" spans="1:4">
      <c r="A82" s="725" t="s">
        <v>185</v>
      </c>
      <c r="B82" s="726"/>
      <c r="C82" s="726"/>
      <c r="D82" s="172"/>
    </row>
    <row r="83" spans="1:4">
      <c r="A83" s="23" t="s">
        <v>186</v>
      </c>
      <c r="B83" s="275"/>
      <c r="D83" s="172"/>
    </row>
    <row r="84" spans="1:4" ht="16.5" thickBot="1">
      <c r="A84" s="32" t="s">
        <v>187</v>
      </c>
      <c r="B84" s="276">
        <v>620000000</v>
      </c>
      <c r="C84" s="291">
        <f>+'ESF 2016'!C84</f>
        <v>620000000</v>
      </c>
      <c r="D84" s="172"/>
    </row>
    <row r="85" spans="1:4">
      <c r="A85" s="23" t="s">
        <v>188</v>
      </c>
      <c r="B85" s="277">
        <f>SUM(B84)</f>
        <v>620000000</v>
      </c>
      <c r="C85" s="277">
        <f>SUM(C84)</f>
        <v>620000000</v>
      </c>
      <c r="D85" s="172"/>
    </row>
    <row r="86" spans="1:4">
      <c r="A86" s="23"/>
      <c r="B86" s="275"/>
      <c r="D86" s="172"/>
    </row>
    <row r="87" spans="1:4">
      <c r="A87" s="23" t="s">
        <v>189</v>
      </c>
      <c r="B87" s="275"/>
      <c r="D87" s="172"/>
    </row>
    <row r="88" spans="1:4" ht="16.5" thickBot="1">
      <c r="A88" s="32" t="s">
        <v>190</v>
      </c>
      <c r="B88" s="276">
        <f>+'ESF 2016'!B87+(' ER 2016'!C72*10%)-300</f>
        <v>7696000</v>
      </c>
      <c r="C88" s="291">
        <f>+'ESF 2016'!C88</f>
        <v>5321000</v>
      </c>
      <c r="D88" s="172">
        <f t="shared" si="1"/>
        <v>2375000</v>
      </c>
    </row>
    <row r="89" spans="1:4">
      <c r="A89" s="23" t="s">
        <v>191</v>
      </c>
      <c r="B89" s="277">
        <f>SUM(B88)</f>
        <v>7696000</v>
      </c>
      <c r="C89" s="277">
        <f>SUM(C88)</f>
        <v>5321000</v>
      </c>
      <c r="D89" s="172"/>
    </row>
    <row r="90" spans="1:4">
      <c r="A90" s="23"/>
      <c r="B90" s="275"/>
      <c r="D90" s="172"/>
    </row>
    <row r="91" spans="1:4">
      <c r="A91" s="23" t="s">
        <v>36</v>
      </c>
      <c r="B91" s="275"/>
      <c r="D91" s="172"/>
    </row>
    <row r="92" spans="1:4" ht="16.5" thickBot="1">
      <c r="A92" s="32" t="s">
        <v>192</v>
      </c>
      <c r="B92" s="276">
        <f>+'ER 2017'!C86</f>
        <v>31577000</v>
      </c>
      <c r="C92" s="291">
        <f>+'ESF 2016'!C92</f>
        <v>23753000</v>
      </c>
      <c r="D92" s="172">
        <f t="shared" si="1"/>
        <v>7824000</v>
      </c>
    </row>
    <row r="93" spans="1:4">
      <c r="A93" s="23" t="s">
        <v>193</v>
      </c>
      <c r="B93" s="277">
        <f>SUM(B92)</f>
        <v>31577000</v>
      </c>
      <c r="C93" s="277">
        <f>SUM(C92)</f>
        <v>23753000</v>
      </c>
      <c r="D93" s="172"/>
    </row>
    <row r="94" spans="1:4">
      <c r="A94" s="23"/>
      <c r="B94" s="275"/>
      <c r="D94" s="172"/>
    </row>
    <row r="95" spans="1:4">
      <c r="A95" s="23" t="s">
        <v>194</v>
      </c>
      <c r="B95" s="275"/>
      <c r="D95" s="172"/>
    </row>
    <row r="96" spans="1:4" ht="16.5" thickBot="1">
      <c r="A96" s="32" t="s">
        <v>195</v>
      </c>
      <c r="B96" s="276">
        <f>+'ESF 2016'!B95+21378000</f>
        <v>69269000</v>
      </c>
      <c r="C96" s="291">
        <f>+'ESF 2016'!C96</f>
        <v>47891000</v>
      </c>
      <c r="D96" s="172">
        <f t="shared" si="1"/>
        <v>21378000</v>
      </c>
    </row>
    <row r="97" spans="1:4" ht="31.5">
      <c r="A97" s="23" t="s">
        <v>196</v>
      </c>
      <c r="B97" s="277">
        <f>SUM(B96)</f>
        <v>69269000</v>
      </c>
      <c r="C97" s="277">
        <f>SUM(C96)</f>
        <v>47891000</v>
      </c>
      <c r="D97" s="172"/>
    </row>
    <row r="98" spans="1:4">
      <c r="A98" s="23"/>
      <c r="B98" s="275"/>
      <c r="D98" s="172"/>
    </row>
    <row r="99" spans="1:4" s="11" customFormat="1" ht="16.5" thickBot="1">
      <c r="A99" s="326" t="s">
        <v>197</v>
      </c>
      <c r="B99" s="327">
        <f>+B93+B89+B85+B97</f>
        <v>728542000</v>
      </c>
      <c r="C99" s="327">
        <f>+C93+C89+C85+C97</f>
        <v>696965000</v>
      </c>
      <c r="D99" s="172"/>
    </row>
    <row r="100" spans="1:4">
      <c r="A100" s="32"/>
      <c r="B100" s="275"/>
      <c r="D100" s="172"/>
    </row>
    <row r="101" spans="1:4" s="11" customFormat="1" ht="16.5" thickBot="1">
      <c r="A101" s="282" t="s">
        <v>198</v>
      </c>
      <c r="B101" s="283">
        <f>+B99+B80</f>
        <v>1010330000</v>
      </c>
      <c r="C101" s="283">
        <f>+C99+C80</f>
        <v>859045000</v>
      </c>
      <c r="D101" s="172"/>
    </row>
    <row r="102" spans="1:4" s="11" customFormat="1">
      <c r="A102" s="20"/>
      <c r="B102" s="298">
        <f>+B101-B46</f>
        <v>0</v>
      </c>
      <c r="C102" s="298">
        <f>+C101-C46</f>
        <v>0</v>
      </c>
    </row>
    <row r="103" spans="1:4" s="11" customFormat="1">
      <c r="A103" s="20"/>
      <c r="B103" s="270"/>
      <c r="C103" s="296"/>
    </row>
    <row r="104" spans="1:4" s="11" customFormat="1">
      <c r="A104" s="20"/>
      <c r="B104" s="270"/>
      <c r="C104" s="296"/>
    </row>
    <row r="105" spans="1:4" s="11" customFormat="1">
      <c r="A105" s="267" t="s">
        <v>130</v>
      </c>
      <c r="B105" s="274" t="s">
        <v>131</v>
      </c>
      <c r="C105" s="296"/>
    </row>
    <row r="106" spans="1:4">
      <c r="A106" s="268" t="s">
        <v>132</v>
      </c>
      <c r="B106" s="255" t="s">
        <v>133</v>
      </c>
    </row>
    <row r="107" spans="1:4">
      <c r="A107" s="269" t="s">
        <v>251</v>
      </c>
      <c r="B107" s="274" t="s">
        <v>134</v>
      </c>
    </row>
  </sheetData>
  <mergeCells count="10">
    <mergeCell ref="A1:D1"/>
    <mergeCell ref="A2:D2"/>
    <mergeCell ref="A4:D4"/>
    <mergeCell ref="A82:C82"/>
    <mergeCell ref="A48:D48"/>
    <mergeCell ref="A49:D49"/>
    <mergeCell ref="A51:D51"/>
    <mergeCell ref="A8:B8"/>
    <mergeCell ref="A22:B22"/>
    <mergeCell ref="A23:B23"/>
  </mergeCells>
  <pageMargins left="0.70866141732283472" right="0.70866141732283472" top="0.74803149606299213" bottom="0.74803149606299213" header="0.31496062992125984" footer="0.31496062992125984"/>
  <pageSetup scale="68" orientation="portrait" horizontalDpi="0" verticalDpi="0" r:id="rId1"/>
  <rowBreaks count="1" manualBreakCount="1">
    <brk id="46"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5"/>
  <sheetViews>
    <sheetView topLeftCell="A64" zoomScaleNormal="100" workbookViewId="0">
      <selection activeCell="C80" sqref="C80"/>
    </sheetView>
  </sheetViews>
  <sheetFormatPr baseColWidth="10" defaultColWidth="10.7109375" defaultRowHeight="15.75"/>
  <cols>
    <col min="1" max="1" width="55.85546875" style="14" customWidth="1"/>
    <col min="2" max="3" width="23.28515625" style="156" customWidth="1"/>
    <col min="4" max="4" width="20.85546875" style="3" customWidth="1"/>
    <col min="5" max="5" width="11.28515625" style="3" bestFit="1" customWidth="1"/>
    <col min="6" max="6" width="15.140625" style="3" customWidth="1"/>
    <col min="7" max="7" width="13" style="3" customWidth="1"/>
    <col min="8" max="255" width="10.7109375" style="3"/>
    <col min="256" max="256" width="49" style="3" customWidth="1"/>
    <col min="257" max="257" width="19.7109375" style="3" customWidth="1"/>
    <col min="258" max="258" width="17.5703125" style="3" customWidth="1"/>
    <col min="259" max="511" width="10.7109375" style="3"/>
    <col min="512" max="512" width="49" style="3" customWidth="1"/>
    <col min="513" max="513" width="19.7109375" style="3" customWidth="1"/>
    <col min="514" max="514" width="17.5703125" style="3" customWidth="1"/>
    <col min="515" max="767" width="10.7109375" style="3"/>
    <col min="768" max="768" width="49" style="3" customWidth="1"/>
    <col min="769" max="769" width="19.7109375" style="3" customWidth="1"/>
    <col min="770" max="770" width="17.5703125" style="3" customWidth="1"/>
    <col min="771" max="1023" width="10.7109375" style="3"/>
    <col min="1024" max="1024" width="49" style="3" customWidth="1"/>
    <col min="1025" max="1025" width="19.7109375" style="3" customWidth="1"/>
    <col min="1026" max="1026" width="17.5703125" style="3" customWidth="1"/>
    <col min="1027" max="1279" width="10.7109375" style="3"/>
    <col min="1280" max="1280" width="49" style="3" customWidth="1"/>
    <col min="1281" max="1281" width="19.7109375" style="3" customWidth="1"/>
    <col min="1282" max="1282" width="17.5703125" style="3" customWidth="1"/>
    <col min="1283" max="1535" width="10.7109375" style="3"/>
    <col min="1536" max="1536" width="49" style="3" customWidth="1"/>
    <col min="1537" max="1537" width="19.7109375" style="3" customWidth="1"/>
    <col min="1538" max="1538" width="17.5703125" style="3" customWidth="1"/>
    <col min="1539" max="1791" width="10.7109375" style="3"/>
    <col min="1792" max="1792" width="49" style="3" customWidth="1"/>
    <col min="1793" max="1793" width="19.7109375" style="3" customWidth="1"/>
    <col min="1794" max="1794" width="17.5703125" style="3" customWidth="1"/>
    <col min="1795" max="2047" width="10.7109375" style="3"/>
    <col min="2048" max="2048" width="49" style="3" customWidth="1"/>
    <col min="2049" max="2049" width="19.7109375" style="3" customWidth="1"/>
    <col min="2050" max="2050" width="17.5703125" style="3" customWidth="1"/>
    <col min="2051" max="2303" width="10.7109375" style="3"/>
    <col min="2304" max="2304" width="49" style="3" customWidth="1"/>
    <col min="2305" max="2305" width="19.7109375" style="3" customWidth="1"/>
    <col min="2306" max="2306" width="17.5703125" style="3" customWidth="1"/>
    <col min="2307" max="2559" width="10.7109375" style="3"/>
    <col min="2560" max="2560" width="49" style="3" customWidth="1"/>
    <col min="2561" max="2561" width="19.7109375" style="3" customWidth="1"/>
    <col min="2562" max="2562" width="17.5703125" style="3" customWidth="1"/>
    <col min="2563" max="2815" width="10.7109375" style="3"/>
    <col min="2816" max="2816" width="49" style="3" customWidth="1"/>
    <col min="2817" max="2817" width="19.7109375" style="3" customWidth="1"/>
    <col min="2818" max="2818" width="17.5703125" style="3" customWidth="1"/>
    <col min="2819" max="3071" width="10.7109375" style="3"/>
    <col min="3072" max="3072" width="49" style="3" customWidth="1"/>
    <col min="3073" max="3073" width="19.7109375" style="3" customWidth="1"/>
    <col min="3074" max="3074" width="17.5703125" style="3" customWidth="1"/>
    <col min="3075" max="3327" width="10.7109375" style="3"/>
    <col min="3328" max="3328" width="49" style="3" customWidth="1"/>
    <col min="3329" max="3329" width="19.7109375" style="3" customWidth="1"/>
    <col min="3330" max="3330" width="17.5703125" style="3" customWidth="1"/>
    <col min="3331" max="3583" width="10.7109375" style="3"/>
    <col min="3584" max="3584" width="49" style="3" customWidth="1"/>
    <col min="3585" max="3585" width="19.7109375" style="3" customWidth="1"/>
    <col min="3586" max="3586" width="17.5703125" style="3" customWidth="1"/>
    <col min="3587" max="3839" width="10.7109375" style="3"/>
    <col min="3840" max="3840" width="49" style="3" customWidth="1"/>
    <col min="3841" max="3841" width="19.7109375" style="3" customWidth="1"/>
    <col min="3842" max="3842" width="17.5703125" style="3" customWidth="1"/>
    <col min="3843" max="4095" width="10.7109375" style="3"/>
    <col min="4096" max="4096" width="49" style="3" customWidth="1"/>
    <col min="4097" max="4097" width="19.7109375" style="3" customWidth="1"/>
    <col min="4098" max="4098" width="17.5703125" style="3" customWidth="1"/>
    <col min="4099" max="4351" width="10.7109375" style="3"/>
    <col min="4352" max="4352" width="49" style="3" customWidth="1"/>
    <col min="4353" max="4353" width="19.7109375" style="3" customWidth="1"/>
    <col min="4354" max="4354" width="17.5703125" style="3" customWidth="1"/>
    <col min="4355" max="4607" width="10.7109375" style="3"/>
    <col min="4608" max="4608" width="49" style="3" customWidth="1"/>
    <col min="4609" max="4609" width="19.7109375" style="3" customWidth="1"/>
    <col min="4610" max="4610" width="17.5703125" style="3" customWidth="1"/>
    <col min="4611" max="4863" width="10.7109375" style="3"/>
    <col min="4864" max="4864" width="49" style="3" customWidth="1"/>
    <col min="4865" max="4865" width="19.7109375" style="3" customWidth="1"/>
    <col min="4866" max="4866" width="17.5703125" style="3" customWidth="1"/>
    <col min="4867" max="5119" width="10.7109375" style="3"/>
    <col min="5120" max="5120" width="49" style="3" customWidth="1"/>
    <col min="5121" max="5121" width="19.7109375" style="3" customWidth="1"/>
    <col min="5122" max="5122" width="17.5703125" style="3" customWidth="1"/>
    <col min="5123" max="5375" width="10.7109375" style="3"/>
    <col min="5376" max="5376" width="49" style="3" customWidth="1"/>
    <col min="5377" max="5377" width="19.7109375" style="3" customWidth="1"/>
    <col min="5378" max="5378" width="17.5703125" style="3" customWidth="1"/>
    <col min="5379" max="5631" width="10.7109375" style="3"/>
    <col min="5632" max="5632" width="49" style="3" customWidth="1"/>
    <col min="5633" max="5633" width="19.7109375" style="3" customWidth="1"/>
    <col min="5634" max="5634" width="17.5703125" style="3" customWidth="1"/>
    <col min="5635" max="5887" width="10.7109375" style="3"/>
    <col min="5888" max="5888" width="49" style="3" customWidth="1"/>
    <col min="5889" max="5889" width="19.7109375" style="3" customWidth="1"/>
    <col min="5890" max="5890" width="17.5703125" style="3" customWidth="1"/>
    <col min="5891" max="6143" width="10.7109375" style="3"/>
    <col min="6144" max="6144" width="49" style="3" customWidth="1"/>
    <col min="6145" max="6145" width="19.7109375" style="3" customWidth="1"/>
    <col min="6146" max="6146" width="17.5703125" style="3" customWidth="1"/>
    <col min="6147" max="6399" width="10.7109375" style="3"/>
    <col min="6400" max="6400" width="49" style="3" customWidth="1"/>
    <col min="6401" max="6401" width="19.7109375" style="3" customWidth="1"/>
    <col min="6402" max="6402" width="17.5703125" style="3" customWidth="1"/>
    <col min="6403" max="6655" width="10.7109375" style="3"/>
    <col min="6656" max="6656" width="49" style="3" customWidth="1"/>
    <col min="6657" max="6657" width="19.7109375" style="3" customWidth="1"/>
    <col min="6658" max="6658" width="17.5703125" style="3" customWidth="1"/>
    <col min="6659" max="6911" width="10.7109375" style="3"/>
    <col min="6912" max="6912" width="49" style="3" customWidth="1"/>
    <col min="6913" max="6913" width="19.7109375" style="3" customWidth="1"/>
    <col min="6914" max="6914" width="17.5703125" style="3" customWidth="1"/>
    <col min="6915" max="7167" width="10.7109375" style="3"/>
    <col min="7168" max="7168" width="49" style="3" customWidth="1"/>
    <col min="7169" max="7169" width="19.7109375" style="3" customWidth="1"/>
    <col min="7170" max="7170" width="17.5703125" style="3" customWidth="1"/>
    <col min="7171" max="7423" width="10.7109375" style="3"/>
    <col min="7424" max="7424" width="49" style="3" customWidth="1"/>
    <col min="7425" max="7425" width="19.7109375" style="3" customWidth="1"/>
    <col min="7426" max="7426" width="17.5703125" style="3" customWidth="1"/>
    <col min="7427" max="7679" width="10.7109375" style="3"/>
    <col min="7680" max="7680" width="49" style="3" customWidth="1"/>
    <col min="7681" max="7681" width="19.7109375" style="3" customWidth="1"/>
    <col min="7682" max="7682" width="17.5703125" style="3" customWidth="1"/>
    <col min="7683" max="7935" width="10.7109375" style="3"/>
    <col min="7936" max="7936" width="49" style="3" customWidth="1"/>
    <col min="7937" max="7937" width="19.7109375" style="3" customWidth="1"/>
    <col min="7938" max="7938" width="17.5703125" style="3" customWidth="1"/>
    <col min="7939" max="8191" width="10.7109375" style="3"/>
    <col min="8192" max="8192" width="49" style="3" customWidth="1"/>
    <col min="8193" max="8193" width="19.7109375" style="3" customWidth="1"/>
    <col min="8194" max="8194" width="17.5703125" style="3" customWidth="1"/>
    <col min="8195" max="8447" width="10.7109375" style="3"/>
    <col min="8448" max="8448" width="49" style="3" customWidth="1"/>
    <col min="8449" max="8449" width="19.7109375" style="3" customWidth="1"/>
    <col min="8450" max="8450" width="17.5703125" style="3" customWidth="1"/>
    <col min="8451" max="8703" width="10.7109375" style="3"/>
    <col min="8704" max="8704" width="49" style="3" customWidth="1"/>
    <col min="8705" max="8705" width="19.7109375" style="3" customWidth="1"/>
    <col min="8706" max="8706" width="17.5703125" style="3" customWidth="1"/>
    <col min="8707" max="8959" width="10.7109375" style="3"/>
    <col min="8960" max="8960" width="49" style="3" customWidth="1"/>
    <col min="8961" max="8961" width="19.7109375" style="3" customWidth="1"/>
    <col min="8962" max="8962" width="17.5703125" style="3" customWidth="1"/>
    <col min="8963" max="9215" width="10.7109375" style="3"/>
    <col min="9216" max="9216" width="49" style="3" customWidth="1"/>
    <col min="9217" max="9217" width="19.7109375" style="3" customWidth="1"/>
    <col min="9218" max="9218" width="17.5703125" style="3" customWidth="1"/>
    <col min="9219" max="9471" width="10.7109375" style="3"/>
    <col min="9472" max="9472" width="49" style="3" customWidth="1"/>
    <col min="9473" max="9473" width="19.7109375" style="3" customWidth="1"/>
    <col min="9474" max="9474" width="17.5703125" style="3" customWidth="1"/>
    <col min="9475" max="9727" width="10.7109375" style="3"/>
    <col min="9728" max="9728" width="49" style="3" customWidth="1"/>
    <col min="9729" max="9729" width="19.7109375" style="3" customWidth="1"/>
    <col min="9730" max="9730" width="17.5703125" style="3" customWidth="1"/>
    <col min="9731" max="9983" width="10.7109375" style="3"/>
    <col min="9984" max="9984" width="49" style="3" customWidth="1"/>
    <col min="9985" max="9985" width="19.7109375" style="3" customWidth="1"/>
    <col min="9986" max="9986" width="17.5703125" style="3" customWidth="1"/>
    <col min="9987" max="10239" width="10.7109375" style="3"/>
    <col min="10240" max="10240" width="49" style="3" customWidth="1"/>
    <col min="10241" max="10241" width="19.7109375" style="3" customWidth="1"/>
    <col min="10242" max="10242" width="17.5703125" style="3" customWidth="1"/>
    <col min="10243" max="10495" width="10.7109375" style="3"/>
    <col min="10496" max="10496" width="49" style="3" customWidth="1"/>
    <col min="10497" max="10497" width="19.7109375" style="3" customWidth="1"/>
    <col min="10498" max="10498" width="17.5703125" style="3" customWidth="1"/>
    <col min="10499" max="10751" width="10.7109375" style="3"/>
    <col min="10752" max="10752" width="49" style="3" customWidth="1"/>
    <col min="10753" max="10753" width="19.7109375" style="3" customWidth="1"/>
    <col min="10754" max="10754" width="17.5703125" style="3" customWidth="1"/>
    <col min="10755" max="11007" width="10.7109375" style="3"/>
    <col min="11008" max="11008" width="49" style="3" customWidth="1"/>
    <col min="11009" max="11009" width="19.7109375" style="3" customWidth="1"/>
    <col min="11010" max="11010" width="17.5703125" style="3" customWidth="1"/>
    <col min="11011" max="11263" width="10.7109375" style="3"/>
    <col min="11264" max="11264" width="49" style="3" customWidth="1"/>
    <col min="11265" max="11265" width="19.7109375" style="3" customWidth="1"/>
    <col min="11266" max="11266" width="17.5703125" style="3" customWidth="1"/>
    <col min="11267" max="11519" width="10.7109375" style="3"/>
    <col min="11520" max="11520" width="49" style="3" customWidth="1"/>
    <col min="11521" max="11521" width="19.7109375" style="3" customWidth="1"/>
    <col min="11522" max="11522" width="17.5703125" style="3" customWidth="1"/>
    <col min="11523" max="11775" width="10.7109375" style="3"/>
    <col min="11776" max="11776" width="49" style="3" customWidth="1"/>
    <col min="11777" max="11777" width="19.7109375" style="3" customWidth="1"/>
    <col min="11778" max="11778" width="17.5703125" style="3" customWidth="1"/>
    <col min="11779" max="12031" width="10.7109375" style="3"/>
    <col min="12032" max="12032" width="49" style="3" customWidth="1"/>
    <col min="12033" max="12033" width="19.7109375" style="3" customWidth="1"/>
    <col min="12034" max="12034" width="17.5703125" style="3" customWidth="1"/>
    <col min="12035" max="12287" width="10.7109375" style="3"/>
    <col min="12288" max="12288" width="49" style="3" customWidth="1"/>
    <col min="12289" max="12289" width="19.7109375" style="3" customWidth="1"/>
    <col min="12290" max="12290" width="17.5703125" style="3" customWidth="1"/>
    <col min="12291" max="12543" width="10.7109375" style="3"/>
    <col min="12544" max="12544" width="49" style="3" customWidth="1"/>
    <col min="12545" max="12545" width="19.7109375" style="3" customWidth="1"/>
    <col min="12546" max="12546" width="17.5703125" style="3" customWidth="1"/>
    <col min="12547" max="12799" width="10.7109375" style="3"/>
    <col min="12800" max="12800" width="49" style="3" customWidth="1"/>
    <col min="12801" max="12801" width="19.7109375" style="3" customWidth="1"/>
    <col min="12802" max="12802" width="17.5703125" style="3" customWidth="1"/>
    <col min="12803" max="13055" width="10.7109375" style="3"/>
    <col min="13056" max="13056" width="49" style="3" customWidth="1"/>
    <col min="13057" max="13057" width="19.7109375" style="3" customWidth="1"/>
    <col min="13058" max="13058" width="17.5703125" style="3" customWidth="1"/>
    <col min="13059" max="13311" width="10.7109375" style="3"/>
    <col min="13312" max="13312" width="49" style="3" customWidth="1"/>
    <col min="13313" max="13313" width="19.7109375" style="3" customWidth="1"/>
    <col min="13314" max="13314" width="17.5703125" style="3" customWidth="1"/>
    <col min="13315" max="13567" width="10.7109375" style="3"/>
    <col min="13568" max="13568" width="49" style="3" customWidth="1"/>
    <col min="13569" max="13569" width="19.7109375" style="3" customWidth="1"/>
    <col min="13570" max="13570" width="17.5703125" style="3" customWidth="1"/>
    <col min="13571" max="13823" width="10.7109375" style="3"/>
    <col min="13824" max="13824" width="49" style="3" customWidth="1"/>
    <col min="13825" max="13825" width="19.7109375" style="3" customWidth="1"/>
    <col min="13826" max="13826" width="17.5703125" style="3" customWidth="1"/>
    <col min="13827" max="14079" width="10.7109375" style="3"/>
    <col min="14080" max="14080" width="49" style="3" customWidth="1"/>
    <col min="14081" max="14081" width="19.7109375" style="3" customWidth="1"/>
    <col min="14082" max="14082" width="17.5703125" style="3" customWidth="1"/>
    <col min="14083" max="14335" width="10.7109375" style="3"/>
    <col min="14336" max="14336" width="49" style="3" customWidth="1"/>
    <col min="14337" max="14337" width="19.7109375" style="3" customWidth="1"/>
    <col min="14338" max="14338" width="17.5703125" style="3" customWidth="1"/>
    <col min="14339" max="14591" width="10.7109375" style="3"/>
    <col min="14592" max="14592" width="49" style="3" customWidth="1"/>
    <col min="14593" max="14593" width="19.7109375" style="3" customWidth="1"/>
    <col min="14594" max="14594" width="17.5703125" style="3" customWidth="1"/>
    <col min="14595" max="14847" width="10.7109375" style="3"/>
    <col min="14848" max="14848" width="49" style="3" customWidth="1"/>
    <col min="14849" max="14849" width="19.7109375" style="3" customWidth="1"/>
    <col min="14850" max="14850" width="17.5703125" style="3" customWidth="1"/>
    <col min="14851" max="15103" width="10.7109375" style="3"/>
    <col min="15104" max="15104" width="49" style="3" customWidth="1"/>
    <col min="15105" max="15105" width="19.7109375" style="3" customWidth="1"/>
    <col min="15106" max="15106" width="17.5703125" style="3" customWidth="1"/>
    <col min="15107" max="15359" width="10.7109375" style="3"/>
    <col min="15360" max="15360" width="49" style="3" customWidth="1"/>
    <col min="15361" max="15361" width="19.7109375" style="3" customWidth="1"/>
    <col min="15362" max="15362" width="17.5703125" style="3" customWidth="1"/>
    <col min="15363" max="15615" width="10.7109375" style="3"/>
    <col min="15616" max="15616" width="49" style="3" customWidth="1"/>
    <col min="15617" max="15617" width="19.7109375" style="3" customWidth="1"/>
    <col min="15618" max="15618" width="17.5703125" style="3" customWidth="1"/>
    <col min="15619" max="15871" width="10.7109375" style="3"/>
    <col min="15872" max="15872" width="49" style="3" customWidth="1"/>
    <col min="15873" max="15873" width="19.7109375" style="3" customWidth="1"/>
    <col min="15874" max="15874" width="17.5703125" style="3" customWidth="1"/>
    <col min="15875" max="16127" width="10.7109375" style="3"/>
    <col min="16128" max="16128" width="49" style="3" customWidth="1"/>
    <col min="16129" max="16129" width="19.7109375" style="3" customWidth="1"/>
    <col min="16130" max="16130" width="17.5703125" style="3" customWidth="1"/>
    <col min="16131" max="16384" width="10.7109375" style="3"/>
  </cols>
  <sheetData>
    <row r="1" spans="1:4" s="172" customFormat="1">
      <c r="A1" s="721" t="s">
        <v>85</v>
      </c>
      <c r="B1" s="721"/>
      <c r="C1" s="721"/>
      <c r="D1" s="721"/>
    </row>
    <row r="2" spans="1:4" s="172" customFormat="1">
      <c r="A2" s="722" t="s">
        <v>86</v>
      </c>
      <c r="B2" s="722"/>
      <c r="C2" s="722"/>
      <c r="D2" s="722"/>
    </row>
    <row r="3" spans="1:4" s="172" customFormat="1">
      <c r="A3" s="156"/>
      <c r="B3" s="156"/>
      <c r="C3" s="156"/>
    </row>
    <row r="4" spans="1:4" s="172" customFormat="1">
      <c r="A4" s="723" t="s">
        <v>342</v>
      </c>
      <c r="B4" s="724"/>
      <c r="C4" s="724"/>
      <c r="D4" s="724"/>
    </row>
    <row r="5" spans="1:4" s="172" customFormat="1">
      <c r="A5" s="263"/>
      <c r="B5" s="156"/>
      <c r="C5" s="156"/>
    </row>
    <row r="6" spans="1:4" s="172" customFormat="1">
      <c r="A6" s="253" t="s">
        <v>137</v>
      </c>
      <c r="B6" s="300">
        <v>2016</v>
      </c>
      <c r="C6" s="301" t="s">
        <v>293</v>
      </c>
      <c r="D6" s="194" t="s">
        <v>343</v>
      </c>
    </row>
    <row r="7" spans="1:4" s="172" customFormat="1">
      <c r="A7" s="254" t="s">
        <v>138</v>
      </c>
      <c r="B7" s="156"/>
      <c r="C7" s="156"/>
    </row>
    <row r="8" spans="1:4" s="172" customFormat="1">
      <c r="A8" s="142" t="s">
        <v>139</v>
      </c>
      <c r="B8" s="156"/>
      <c r="C8" s="156"/>
    </row>
    <row r="9" spans="1:4" s="172" customFormat="1">
      <c r="A9" s="32" t="s">
        <v>140</v>
      </c>
      <c r="B9" s="156">
        <f>+'ESF 2016'!B10</f>
        <v>883000</v>
      </c>
      <c r="C9" s="156">
        <f>+'ESF 2015'!B11</f>
        <v>3065000</v>
      </c>
      <c r="D9" s="172">
        <f>+B9-C9</f>
        <v>-2182000</v>
      </c>
    </row>
    <row r="10" spans="1:4" s="172" customFormat="1" ht="16.5" thickBot="1">
      <c r="A10" s="32" t="s">
        <v>141</v>
      </c>
      <c r="B10" s="291">
        <f>+'ESF 2016'!B11</f>
        <v>2770000</v>
      </c>
      <c r="C10" s="291">
        <f>+'ESF 2016'!C11</f>
        <v>0</v>
      </c>
      <c r="D10" s="172">
        <f>+B10-C10</f>
        <v>2770000</v>
      </c>
    </row>
    <row r="11" spans="1:4" s="172" customFormat="1" ht="20.25" customHeight="1">
      <c r="A11" s="23" t="s">
        <v>142</v>
      </c>
      <c r="B11" s="292">
        <f>SUM(B9:B10)</f>
        <v>3653000</v>
      </c>
      <c r="C11" s="292">
        <f>SUM(C9:C10)</f>
        <v>3065000</v>
      </c>
    </row>
    <row r="12" spans="1:4" s="172" customFormat="1">
      <c r="A12" s="23"/>
      <c r="B12" s="156"/>
      <c r="C12" s="156"/>
    </row>
    <row r="13" spans="1:4" s="172" customFormat="1" ht="31.5">
      <c r="A13" s="23" t="s">
        <v>144</v>
      </c>
      <c r="B13" s="156"/>
      <c r="C13" s="156"/>
    </row>
    <row r="14" spans="1:4" s="172" customFormat="1">
      <c r="A14" s="32" t="s">
        <v>145</v>
      </c>
      <c r="B14" s="156">
        <f>+'ESF 2016'!B15</f>
        <v>115549000</v>
      </c>
      <c r="C14" s="156">
        <f>+'ESF 2015'!B15</f>
        <v>37845000</v>
      </c>
      <c r="D14" s="172">
        <f>+B14-C14</f>
        <v>77704000</v>
      </c>
    </row>
    <row r="15" spans="1:4" s="172" customFormat="1">
      <c r="A15" s="32" t="s">
        <v>146</v>
      </c>
      <c r="B15" s="156">
        <f>+'ESF 2016'!B16</f>
        <v>5358000</v>
      </c>
      <c r="C15" s="156"/>
      <c r="D15" s="172">
        <f t="shared" ref="D15:D17" si="0">+B15-C15</f>
        <v>5358000</v>
      </c>
    </row>
    <row r="16" spans="1:4" s="172" customFormat="1">
      <c r="A16" s="32" t="s">
        <v>236</v>
      </c>
      <c r="B16" s="172">
        <v>0</v>
      </c>
      <c r="C16" s="156"/>
      <c r="D16" s="172">
        <f t="shared" si="0"/>
        <v>0</v>
      </c>
    </row>
    <row r="17" spans="1:4" s="172" customFormat="1" ht="16.5" thickBot="1">
      <c r="A17" s="32" t="s">
        <v>147</v>
      </c>
      <c r="B17" s="291">
        <f>+'ESF 2016'!B17</f>
        <v>12496000</v>
      </c>
      <c r="C17" s="293">
        <f>+'ESF 2015'!B16</f>
        <v>6241000</v>
      </c>
      <c r="D17" s="172">
        <f t="shared" si="0"/>
        <v>6255000</v>
      </c>
    </row>
    <row r="18" spans="1:4" s="172" customFormat="1" ht="31.5">
      <c r="A18" s="23" t="s">
        <v>148</v>
      </c>
      <c r="B18" s="292">
        <f>SUM(B14:B17)</f>
        <v>133403000</v>
      </c>
      <c r="C18" s="292">
        <f>SUM(C14:C17)</f>
        <v>44086000</v>
      </c>
    </row>
    <row r="19" spans="1:4" s="172" customFormat="1">
      <c r="A19" s="23"/>
      <c r="B19" s="156"/>
      <c r="C19" s="156"/>
    </row>
    <row r="20" spans="1:4" s="172" customFormat="1" ht="16.5" thickBot="1">
      <c r="A20" s="282" t="s">
        <v>149</v>
      </c>
      <c r="B20" s="294">
        <f>+B11+B18</f>
        <v>137056000</v>
      </c>
      <c r="C20" s="294">
        <f>+C11+C18</f>
        <v>47151000</v>
      </c>
    </row>
    <row r="21" spans="1:4">
      <c r="A21" s="32"/>
      <c r="D21" s="172"/>
    </row>
    <row r="22" spans="1:4" s="172" customFormat="1">
      <c r="A22" s="335" t="s">
        <v>150</v>
      </c>
      <c r="B22" s="156"/>
      <c r="C22" s="156"/>
    </row>
    <row r="23" spans="1:4">
      <c r="A23" s="299" t="s">
        <v>151</v>
      </c>
      <c r="D23" s="172"/>
    </row>
    <row r="24" spans="1:4">
      <c r="A24" s="22"/>
      <c r="D24" s="172"/>
    </row>
    <row r="25" spans="1:4">
      <c r="A25" s="23" t="s">
        <v>152</v>
      </c>
      <c r="D25" s="172"/>
    </row>
    <row r="26" spans="1:4">
      <c r="A26" s="32" t="s">
        <v>153</v>
      </c>
      <c r="B26" s="156">
        <f>+'ESF 2016'!B25</f>
        <v>1730000</v>
      </c>
      <c r="C26" s="156">
        <v>0</v>
      </c>
      <c r="D26" s="172">
        <f>+B26-C26</f>
        <v>1730000</v>
      </c>
    </row>
    <row r="27" spans="1:4" ht="16.5" thickBot="1">
      <c r="A27" s="32" t="s">
        <v>160</v>
      </c>
      <c r="B27" s="291"/>
      <c r="C27" s="291"/>
      <c r="D27" s="172">
        <f>+B27-C27</f>
        <v>0</v>
      </c>
    </row>
    <row r="28" spans="1:4">
      <c r="A28" s="23" t="s">
        <v>154</v>
      </c>
      <c r="B28" s="292">
        <f>SUM(B26:B27)</f>
        <v>1730000</v>
      </c>
      <c r="C28" s="292">
        <f>SUM(C26:C27)</f>
        <v>0</v>
      </c>
      <c r="D28" s="172"/>
    </row>
    <row r="29" spans="1:4">
      <c r="A29" s="22"/>
      <c r="D29" s="172"/>
    </row>
    <row r="30" spans="1:4">
      <c r="A30" s="23" t="s">
        <v>155</v>
      </c>
      <c r="D30" s="172"/>
    </row>
    <row r="31" spans="1:4">
      <c r="A31" s="32" t="s">
        <v>156</v>
      </c>
      <c r="B31" s="156">
        <f>+'ESF 2016'!B29</f>
        <v>2800000</v>
      </c>
      <c r="C31" s="156">
        <v>0</v>
      </c>
      <c r="D31" s="172">
        <f>+B31-C31</f>
        <v>2800000</v>
      </c>
    </row>
    <row r="32" spans="1:4" ht="16.5" thickBot="1">
      <c r="A32" s="32" t="s">
        <v>160</v>
      </c>
      <c r="B32" s="291">
        <v>0</v>
      </c>
      <c r="C32" s="291">
        <v>0</v>
      </c>
      <c r="D32" s="172"/>
    </row>
    <row r="33" spans="1:4" ht="31.5">
      <c r="A33" s="23" t="s">
        <v>157</v>
      </c>
      <c r="B33" s="292">
        <f>SUM(B31:B32)</f>
        <v>2800000</v>
      </c>
      <c r="C33" s="292"/>
      <c r="D33" s="172"/>
    </row>
    <row r="34" spans="1:4">
      <c r="A34" s="22"/>
      <c r="D34" s="172"/>
    </row>
    <row r="35" spans="1:4">
      <c r="A35" s="23" t="s">
        <v>158</v>
      </c>
      <c r="D35" s="172"/>
    </row>
    <row r="36" spans="1:4">
      <c r="A36" s="32" t="s">
        <v>159</v>
      </c>
      <c r="B36" s="156">
        <f>+'ESF 2016'!B33</f>
        <v>751100000</v>
      </c>
      <c r="C36" s="156">
        <f>+'ESF 2015'!B24</f>
        <v>751100000</v>
      </c>
      <c r="D36" s="172">
        <f>+B36-C36</f>
        <v>0</v>
      </c>
    </row>
    <row r="37" spans="1:4" ht="16.5" thickBot="1">
      <c r="A37" s="32" t="s">
        <v>160</v>
      </c>
      <c r="B37" s="291">
        <f>+'ESF 2016'!B34</f>
        <v>-35110000</v>
      </c>
      <c r="C37" s="291">
        <v>0</v>
      </c>
      <c r="D37" s="172">
        <f>+B37-C37</f>
        <v>-35110000</v>
      </c>
    </row>
    <row r="38" spans="1:4">
      <c r="A38" s="23" t="s">
        <v>161</v>
      </c>
      <c r="B38" s="292">
        <f>SUM(B36:B37)</f>
        <v>715990000</v>
      </c>
      <c r="C38" s="292">
        <f>SUM(C36:C37)</f>
        <v>751100000</v>
      </c>
      <c r="D38" s="172"/>
    </row>
    <row r="39" spans="1:4">
      <c r="A39" s="23"/>
      <c r="D39" s="172"/>
    </row>
    <row r="40" spans="1:4">
      <c r="A40" s="23" t="s">
        <v>23</v>
      </c>
      <c r="D40" s="172"/>
    </row>
    <row r="41" spans="1:4" ht="16.5" thickBot="1">
      <c r="A41" s="32" t="s">
        <v>237</v>
      </c>
      <c r="B41" s="291">
        <f>+'ESF 2016'!B40</f>
        <v>1469000</v>
      </c>
      <c r="C41" s="291">
        <v>0</v>
      </c>
      <c r="D41" s="172">
        <f>+B41-C41</f>
        <v>1469000</v>
      </c>
    </row>
    <row r="42" spans="1:4">
      <c r="A42" s="23" t="s">
        <v>164</v>
      </c>
      <c r="B42" s="292">
        <f>+B41</f>
        <v>1469000</v>
      </c>
      <c r="C42" s="292">
        <f>+C41</f>
        <v>0</v>
      </c>
      <c r="D42" s="172"/>
    </row>
    <row r="43" spans="1:4">
      <c r="A43" s="32"/>
      <c r="D43" s="172"/>
    </row>
    <row r="44" spans="1:4" ht="16.5" thickBot="1">
      <c r="A44" s="282" t="s">
        <v>165</v>
      </c>
      <c r="B44" s="295">
        <f>+B28+B33+B38+B42</f>
        <v>721989000</v>
      </c>
      <c r="C44" s="295">
        <f>+C28+C33+C38+C42</f>
        <v>751100000</v>
      </c>
      <c r="D44" s="172"/>
    </row>
    <row r="45" spans="1:4">
      <c r="A45" s="32"/>
      <c r="D45" s="172"/>
    </row>
    <row r="46" spans="1:4" s="11" customFormat="1" ht="16.5" thickBot="1">
      <c r="A46" s="282" t="s">
        <v>166</v>
      </c>
      <c r="B46" s="295">
        <f>+B44+B20</f>
        <v>859045000</v>
      </c>
      <c r="C46" s="295">
        <f>+C44+C20</f>
        <v>798251000</v>
      </c>
      <c r="D46" s="172"/>
    </row>
    <row r="47" spans="1:4" s="11" customFormat="1">
      <c r="A47" s="340"/>
      <c r="B47" s="341"/>
      <c r="C47" s="341"/>
      <c r="D47" s="172"/>
    </row>
    <row r="48" spans="1:4">
      <c r="A48" s="721" t="s">
        <v>85</v>
      </c>
      <c r="B48" s="721"/>
      <c r="C48" s="721"/>
      <c r="D48" s="721"/>
    </row>
    <row r="49" spans="1:7">
      <c r="A49" s="722" t="s">
        <v>86</v>
      </c>
      <c r="B49" s="722"/>
      <c r="C49" s="722"/>
      <c r="D49" s="722"/>
      <c r="E49" s="14"/>
      <c r="F49" s="14"/>
      <c r="G49" s="14"/>
    </row>
    <row r="50" spans="1:7">
      <c r="A50" s="156"/>
      <c r="D50" s="172"/>
      <c r="E50" s="14"/>
      <c r="F50" s="14"/>
      <c r="G50" s="14"/>
    </row>
    <row r="51" spans="1:7" ht="15.75" customHeight="1">
      <c r="A51" s="723" t="s">
        <v>342</v>
      </c>
      <c r="B51" s="724"/>
      <c r="C51" s="724"/>
      <c r="D51" s="724"/>
      <c r="E51" s="14"/>
      <c r="F51" s="14"/>
      <c r="G51" s="14"/>
    </row>
    <row r="52" spans="1:7">
      <c r="A52" s="32"/>
      <c r="D52" s="172"/>
      <c r="E52" s="14"/>
      <c r="F52" s="14"/>
      <c r="G52" s="14"/>
    </row>
    <row r="53" spans="1:7">
      <c r="A53" s="339" t="s">
        <v>167</v>
      </c>
      <c r="B53" s="300">
        <v>2016</v>
      </c>
      <c r="C53" s="301" t="s">
        <v>293</v>
      </c>
      <c r="D53" s="194" t="s">
        <v>343</v>
      </c>
      <c r="E53" s="14"/>
      <c r="F53" s="14"/>
      <c r="G53" s="14"/>
    </row>
    <row r="54" spans="1:7">
      <c r="A54" s="281"/>
      <c r="D54" s="172"/>
      <c r="E54" s="14"/>
      <c r="F54" s="14"/>
      <c r="G54" s="14"/>
    </row>
    <row r="55" spans="1:7">
      <c r="A55" s="23" t="s">
        <v>27</v>
      </c>
      <c r="D55" s="172"/>
      <c r="E55" s="14"/>
      <c r="F55" s="14"/>
      <c r="G55" s="14"/>
    </row>
    <row r="56" spans="1:7" ht="16.5" thickBot="1">
      <c r="A56" s="32" t="s">
        <v>168</v>
      </c>
      <c r="B56" s="291">
        <f>+'ESF 2016'!C57</f>
        <v>38622000</v>
      </c>
      <c r="C56" s="291">
        <v>0</v>
      </c>
      <c r="D56" s="172">
        <f>+B56-C56</f>
        <v>38622000</v>
      </c>
      <c r="E56" s="14"/>
      <c r="F56" s="14"/>
      <c r="G56" s="14"/>
    </row>
    <row r="57" spans="1:7">
      <c r="A57" s="23" t="s">
        <v>169</v>
      </c>
      <c r="B57" s="292">
        <f>SUM(B56)</f>
        <v>38622000</v>
      </c>
      <c r="C57" s="292"/>
      <c r="E57" s="20"/>
      <c r="F57" s="14"/>
      <c r="G57" s="14"/>
    </row>
    <row r="58" spans="1:7">
      <c r="A58" s="281"/>
      <c r="D58" s="172"/>
      <c r="E58" s="14"/>
      <c r="F58" s="14"/>
      <c r="G58" s="14"/>
    </row>
    <row r="59" spans="1:7" ht="31.5">
      <c r="A59" s="23" t="s">
        <v>170</v>
      </c>
      <c r="D59" s="172"/>
      <c r="E59" s="14"/>
      <c r="F59" s="14"/>
      <c r="G59" s="14"/>
    </row>
    <row r="60" spans="1:7">
      <c r="A60" s="297" t="s">
        <v>171</v>
      </c>
      <c r="B60" s="156">
        <f>+'ESF 2016'!B60</f>
        <v>87000</v>
      </c>
      <c r="D60" s="172">
        <f>+B60-C60</f>
        <v>87000</v>
      </c>
      <c r="E60" s="14"/>
      <c r="F60" s="14"/>
      <c r="G60" s="14"/>
    </row>
    <row r="61" spans="1:7">
      <c r="A61" s="32" t="s">
        <v>172</v>
      </c>
      <c r="B61" s="156">
        <f>+'ESF 2016'!B61</f>
        <v>809000</v>
      </c>
      <c r="C61" s="156">
        <f>+'ESF 2015'!B34</f>
        <v>135000</v>
      </c>
      <c r="D61" s="172">
        <f t="shared" ref="D61:D64" si="1">+B61-C61</f>
        <v>674000</v>
      </c>
      <c r="E61" s="14"/>
      <c r="F61" s="14"/>
      <c r="G61" s="14"/>
    </row>
    <row r="62" spans="1:7">
      <c r="A62" s="32" t="s">
        <v>352</v>
      </c>
      <c r="C62" s="156">
        <f>+'ESF 2015'!B35</f>
        <v>23000</v>
      </c>
      <c r="D62" s="172">
        <f t="shared" si="1"/>
        <v>-23000</v>
      </c>
      <c r="E62" s="14"/>
      <c r="F62" s="14"/>
      <c r="G62" s="14"/>
    </row>
    <row r="63" spans="1:7">
      <c r="A63" s="297" t="s">
        <v>173</v>
      </c>
      <c r="B63" s="156">
        <f>+'ESF 2016'!B62</f>
        <v>1107000</v>
      </c>
      <c r="D63" s="172">
        <f t="shared" si="1"/>
        <v>1107000</v>
      </c>
      <c r="E63" s="14"/>
      <c r="F63" s="14"/>
      <c r="G63" s="14"/>
    </row>
    <row r="64" spans="1:7" ht="16.5" thickBot="1">
      <c r="A64" s="297" t="s">
        <v>174</v>
      </c>
      <c r="B64" s="291">
        <f>+'ESF 2016'!B63</f>
        <v>69361000</v>
      </c>
      <c r="C64" s="291">
        <f>+'ESF 2015'!B36</f>
        <v>103918000</v>
      </c>
      <c r="D64" s="172">
        <f t="shared" si="1"/>
        <v>-34557000</v>
      </c>
      <c r="E64" s="14"/>
      <c r="F64" s="14"/>
      <c r="G64" s="14"/>
    </row>
    <row r="65" spans="1:7" ht="30" customHeight="1">
      <c r="A65" s="285" t="s">
        <v>220</v>
      </c>
      <c r="B65" s="286">
        <f>+SUM(B60:B64)</f>
        <v>71364000</v>
      </c>
      <c r="C65" s="286">
        <f>+SUM(C60:C64)</f>
        <v>104076000</v>
      </c>
      <c r="D65" s="172"/>
      <c r="E65" s="14"/>
      <c r="F65" s="14"/>
      <c r="G65" s="14"/>
    </row>
    <row r="66" spans="1:7">
      <c r="A66" s="23"/>
      <c r="D66" s="172"/>
      <c r="E66" s="23"/>
      <c r="F66" s="14"/>
      <c r="G66" s="14"/>
    </row>
    <row r="67" spans="1:7">
      <c r="A67" s="23" t="s">
        <v>178</v>
      </c>
      <c r="D67" s="172"/>
      <c r="E67" s="14"/>
      <c r="F67" s="14"/>
      <c r="G67" s="14"/>
    </row>
    <row r="68" spans="1:7">
      <c r="A68" s="32" t="str">
        <f>+'ESF 2016'!A67</f>
        <v>Ingresos recibidos por anticipado</v>
      </c>
      <c r="B68" s="156">
        <f>+'ESF 2016'!B67</f>
        <v>2190000</v>
      </c>
      <c r="D68" s="172">
        <f t="shared" ref="D68" si="2">+B68-C68</f>
        <v>2190000</v>
      </c>
      <c r="E68" s="14"/>
      <c r="F68" s="14"/>
      <c r="G68" s="14"/>
    </row>
    <row r="69" spans="1:7">
      <c r="A69" s="32" t="s">
        <v>241</v>
      </c>
      <c r="B69" s="3"/>
      <c r="C69" s="3"/>
      <c r="D69" s="172"/>
      <c r="E69" s="14"/>
      <c r="F69" s="14"/>
      <c r="G69" s="14"/>
    </row>
    <row r="70" spans="1:7" ht="16.5" thickBot="1">
      <c r="A70" s="32" t="s">
        <v>179</v>
      </c>
      <c r="B70" s="291">
        <f>+'ESF 2016'!B71</f>
        <v>37668000</v>
      </c>
      <c r="C70" s="291"/>
      <c r="D70" s="172">
        <f t="shared" ref="D70" si="3">+B70-C70</f>
        <v>37668000</v>
      </c>
      <c r="E70" s="14"/>
      <c r="F70" s="14"/>
      <c r="G70" s="14"/>
    </row>
    <row r="71" spans="1:7">
      <c r="A71" s="23" t="s">
        <v>180</v>
      </c>
      <c r="B71" s="277">
        <f>SUM(B68:B70)</f>
        <v>39858000</v>
      </c>
      <c r="C71" s="277"/>
      <c r="D71" s="172"/>
      <c r="E71" s="14"/>
      <c r="F71" s="14"/>
      <c r="G71" s="14"/>
    </row>
    <row r="72" spans="1:7">
      <c r="A72" s="23"/>
      <c r="D72" s="172"/>
      <c r="E72" s="14"/>
      <c r="F72" s="14"/>
      <c r="G72" s="14"/>
    </row>
    <row r="73" spans="1:7">
      <c r="A73" s="23" t="s">
        <v>181</v>
      </c>
      <c r="D73" s="172"/>
      <c r="E73" s="14"/>
      <c r="F73" s="14"/>
      <c r="G73" s="14"/>
    </row>
    <row r="74" spans="1:7">
      <c r="A74" s="32" t="s">
        <v>182</v>
      </c>
      <c r="B74" s="156">
        <f>+'ESF 2016'!B75</f>
        <v>8997000</v>
      </c>
      <c r="C74" s="156">
        <f>+'ESF 2015'!B40</f>
        <v>17195000</v>
      </c>
      <c r="D74" s="172">
        <f>+B74-C74</f>
        <v>-8198000</v>
      </c>
    </row>
    <row r="75" spans="1:7" ht="16.5" thickBot="1">
      <c r="A75" s="32" t="str">
        <f>+'ESF 2016'!A76</f>
        <v>Impuesto sobre la renta para la equidad CREE</v>
      </c>
      <c r="B75" s="291">
        <f>+'ESF 2016'!B76</f>
        <v>3239000</v>
      </c>
      <c r="C75" s="291">
        <f>+'ESF 2015'!B41</f>
        <v>3768000</v>
      </c>
      <c r="D75" s="172">
        <f>+B75-C75</f>
        <v>-529000</v>
      </c>
    </row>
    <row r="76" spans="1:7">
      <c r="A76" s="23" t="s">
        <v>183</v>
      </c>
      <c r="B76" s="277">
        <f>+B74+B75</f>
        <v>12236000</v>
      </c>
      <c r="C76" s="277">
        <f>+C74+C75</f>
        <v>20963000</v>
      </c>
      <c r="D76" s="172"/>
    </row>
    <row r="77" spans="1:7">
      <c r="A77" s="23"/>
      <c r="D77" s="172"/>
    </row>
    <row r="78" spans="1:7" s="11" customFormat="1" ht="16.5" thickBot="1">
      <c r="A78" s="282" t="s">
        <v>184</v>
      </c>
      <c r="B78" s="283">
        <f>+B76+B71+B65+B57</f>
        <v>162080000</v>
      </c>
      <c r="C78" s="283">
        <f>+C76+C71+C65+C57</f>
        <v>125039000</v>
      </c>
      <c r="D78" s="172"/>
    </row>
    <row r="79" spans="1:7" s="11" customFormat="1">
      <c r="A79" s="23"/>
      <c r="B79" s="296"/>
      <c r="C79" s="296"/>
      <c r="D79" s="172"/>
    </row>
    <row r="80" spans="1:7">
      <c r="A80" s="725" t="s">
        <v>185</v>
      </c>
      <c r="B80" s="726"/>
      <c r="C80" s="278"/>
      <c r="D80" s="172"/>
    </row>
    <row r="81" spans="1:5">
      <c r="A81" s="23" t="s">
        <v>186</v>
      </c>
      <c r="D81" s="172"/>
    </row>
    <row r="82" spans="1:5" ht="16.5" thickBot="1">
      <c r="A82" s="32" t="s">
        <v>187</v>
      </c>
      <c r="B82" s="291">
        <f>+'ESF 2016'!C84</f>
        <v>620000000</v>
      </c>
      <c r="C82" s="291">
        <f>+'ESF 2015'!B54</f>
        <v>620000000</v>
      </c>
      <c r="D82" s="172"/>
    </row>
    <row r="83" spans="1:5">
      <c r="A83" s="23" t="s">
        <v>188</v>
      </c>
      <c r="B83" s="277">
        <f>SUM(B82)</f>
        <v>620000000</v>
      </c>
      <c r="C83" s="277">
        <f>SUM(C82)</f>
        <v>620000000</v>
      </c>
      <c r="D83" s="172"/>
    </row>
    <row r="84" spans="1:5">
      <c r="A84" s="23"/>
      <c r="D84" s="172"/>
    </row>
    <row r="85" spans="1:5">
      <c r="A85" s="23" t="s">
        <v>189</v>
      </c>
      <c r="D85" s="172"/>
    </row>
    <row r="86" spans="1:5" ht="16.5" thickBot="1">
      <c r="A86" s="32" t="s">
        <v>190</v>
      </c>
      <c r="B86" s="291">
        <f>+'ESF 2016'!C88</f>
        <v>5321000</v>
      </c>
      <c r="C86" s="291">
        <f>+'ESF 2015'!B62</f>
        <v>539000</v>
      </c>
      <c r="D86" s="172">
        <f>+B86-C86</f>
        <v>4782000</v>
      </c>
    </row>
    <row r="87" spans="1:5">
      <c r="A87" s="23" t="s">
        <v>191</v>
      </c>
      <c r="B87" s="277">
        <f>SUM(B86)</f>
        <v>5321000</v>
      </c>
      <c r="C87" s="277">
        <f>SUM(C86)</f>
        <v>539000</v>
      </c>
      <c r="D87" s="172"/>
    </row>
    <row r="88" spans="1:5">
      <c r="A88" s="23"/>
      <c r="D88" s="172"/>
      <c r="E88" s="151"/>
    </row>
    <row r="89" spans="1:5">
      <c r="A89" s="23" t="s">
        <v>36</v>
      </c>
      <c r="D89" s="172"/>
    </row>
    <row r="90" spans="1:5" ht="16.5" thickBot="1">
      <c r="A90" s="32" t="s">
        <v>192</v>
      </c>
      <c r="B90" s="291">
        <f>+'ESF 2016'!C92</f>
        <v>23753000</v>
      </c>
      <c r="C90" s="291">
        <f>+'ESF 2015'!B58</f>
        <v>47818000</v>
      </c>
      <c r="D90" s="172">
        <f>+B90-C90</f>
        <v>-24065000</v>
      </c>
    </row>
    <row r="91" spans="1:5">
      <c r="A91" s="23" t="s">
        <v>193</v>
      </c>
      <c r="B91" s="277">
        <f>SUM(B90)</f>
        <v>23753000</v>
      </c>
      <c r="C91" s="277">
        <f>SUM(C90)</f>
        <v>47818000</v>
      </c>
      <c r="D91" s="172"/>
    </row>
    <row r="92" spans="1:5">
      <c r="A92" s="23"/>
      <c r="D92" s="172"/>
    </row>
    <row r="93" spans="1:5">
      <c r="A93" s="23" t="s">
        <v>194</v>
      </c>
      <c r="D93" s="172"/>
    </row>
    <row r="94" spans="1:5" ht="16.5" thickBot="1">
      <c r="A94" s="32" t="s">
        <v>195</v>
      </c>
      <c r="B94" s="291">
        <f>+'ESF 2016'!C96</f>
        <v>47891000</v>
      </c>
      <c r="C94" s="291">
        <f>+'ESF 2015'!B66</f>
        <v>4855000</v>
      </c>
      <c r="D94" s="172">
        <f>+B94-C94</f>
        <v>43036000</v>
      </c>
    </row>
    <row r="95" spans="1:5" ht="31.5">
      <c r="A95" s="23" t="s">
        <v>196</v>
      </c>
      <c r="B95" s="277">
        <f>SUM(B94)</f>
        <v>47891000</v>
      </c>
      <c r="C95" s="277">
        <f>SUM(C94)</f>
        <v>4855000</v>
      </c>
      <c r="D95" s="172"/>
    </row>
    <row r="96" spans="1:5">
      <c r="A96" s="23"/>
      <c r="D96" s="172"/>
    </row>
    <row r="97" spans="1:5" s="11" customFormat="1" ht="16.5" thickBot="1">
      <c r="A97" s="326" t="s">
        <v>197</v>
      </c>
      <c r="B97" s="327">
        <f>+B91+B87+B83+B95</f>
        <v>696965000</v>
      </c>
      <c r="C97" s="327">
        <f>+C91+C87+C83+C95</f>
        <v>673212000</v>
      </c>
      <c r="D97" s="172"/>
    </row>
    <row r="98" spans="1:5">
      <c r="A98" s="32"/>
      <c r="D98" s="172"/>
    </row>
    <row r="99" spans="1:5" s="11" customFormat="1" ht="16.5" thickBot="1">
      <c r="A99" s="282" t="s">
        <v>198</v>
      </c>
      <c r="B99" s="283">
        <f>+B97+B78</f>
        <v>859045000</v>
      </c>
      <c r="C99" s="283">
        <f>+C97+C78</f>
        <v>798251000</v>
      </c>
      <c r="D99" s="172"/>
      <c r="E99" s="175"/>
    </row>
    <row r="100" spans="1:5" s="11" customFormat="1">
      <c r="A100" s="20"/>
      <c r="B100" s="298">
        <f>+B99-B46</f>
        <v>0</v>
      </c>
      <c r="C100" s="298">
        <f>+C99-C46</f>
        <v>0</v>
      </c>
    </row>
    <row r="101" spans="1:5" s="11" customFormat="1">
      <c r="A101" s="20"/>
      <c r="B101" s="296"/>
      <c r="C101" s="296"/>
    </row>
    <row r="102" spans="1:5" s="11" customFormat="1">
      <c r="A102" s="20"/>
      <c r="B102" s="296"/>
      <c r="C102" s="296"/>
    </row>
    <row r="103" spans="1:5" s="11" customFormat="1">
      <c r="A103" s="267" t="s">
        <v>130</v>
      </c>
      <c r="B103" s="732" t="s">
        <v>131</v>
      </c>
      <c r="C103" s="732"/>
    </row>
    <row r="104" spans="1:5">
      <c r="A104" s="268" t="s">
        <v>132</v>
      </c>
      <c r="B104" s="731" t="s">
        <v>133</v>
      </c>
      <c r="C104" s="731"/>
    </row>
    <row r="105" spans="1:5">
      <c r="A105" s="269" t="s">
        <v>251</v>
      </c>
      <c r="B105" s="732" t="s">
        <v>134</v>
      </c>
      <c r="C105" s="732"/>
    </row>
  </sheetData>
  <mergeCells count="10">
    <mergeCell ref="B104:C104"/>
    <mergeCell ref="B105:C105"/>
    <mergeCell ref="A80:B80"/>
    <mergeCell ref="B103:C103"/>
    <mergeCell ref="A1:D1"/>
    <mergeCell ref="A2:D2"/>
    <mergeCell ref="A4:D4"/>
    <mergeCell ref="A48:D48"/>
    <mergeCell ref="A49:D49"/>
    <mergeCell ref="A51:D51"/>
  </mergeCells>
  <pageMargins left="0.70866141732283472" right="0.70866141732283472" top="0.74803149606299213" bottom="0.74803149606299213" header="0.31496062992125984" footer="0.31496062992125984"/>
  <pageSetup scale="72" orientation="portrait" horizontalDpi="0" verticalDpi="0" r:id="rId1"/>
  <rowBreaks count="1" manualBreakCount="1">
    <brk id="46"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5"/>
  <sheetViews>
    <sheetView zoomScaleNormal="100" workbookViewId="0">
      <selection activeCell="E62" sqref="E62"/>
    </sheetView>
  </sheetViews>
  <sheetFormatPr baseColWidth="10" defaultColWidth="10.7109375" defaultRowHeight="15.75"/>
  <cols>
    <col min="1" max="1" width="55.85546875" style="14" customWidth="1"/>
    <col min="2" max="3" width="23.28515625" style="156" customWidth="1"/>
    <col min="4" max="4" width="20.85546875" style="3" customWidth="1"/>
    <col min="5" max="5" width="11.28515625" style="3" bestFit="1" customWidth="1"/>
    <col min="6" max="6" width="15.140625" style="3" customWidth="1"/>
    <col min="7" max="7" width="13" style="3" customWidth="1"/>
    <col min="8" max="255" width="10.7109375" style="3"/>
    <col min="256" max="256" width="49" style="3" customWidth="1"/>
    <col min="257" max="257" width="19.7109375" style="3" customWidth="1"/>
    <col min="258" max="258" width="17.5703125" style="3" customWidth="1"/>
    <col min="259" max="511" width="10.7109375" style="3"/>
    <col min="512" max="512" width="49" style="3" customWidth="1"/>
    <col min="513" max="513" width="19.7109375" style="3" customWidth="1"/>
    <col min="514" max="514" width="17.5703125" style="3" customWidth="1"/>
    <col min="515" max="767" width="10.7109375" style="3"/>
    <col min="768" max="768" width="49" style="3" customWidth="1"/>
    <col min="769" max="769" width="19.7109375" style="3" customWidth="1"/>
    <col min="770" max="770" width="17.5703125" style="3" customWidth="1"/>
    <col min="771" max="1023" width="10.7109375" style="3"/>
    <col min="1024" max="1024" width="49" style="3" customWidth="1"/>
    <col min="1025" max="1025" width="19.7109375" style="3" customWidth="1"/>
    <col min="1026" max="1026" width="17.5703125" style="3" customWidth="1"/>
    <col min="1027" max="1279" width="10.7109375" style="3"/>
    <col min="1280" max="1280" width="49" style="3" customWidth="1"/>
    <col min="1281" max="1281" width="19.7109375" style="3" customWidth="1"/>
    <col min="1282" max="1282" width="17.5703125" style="3" customWidth="1"/>
    <col min="1283" max="1535" width="10.7109375" style="3"/>
    <col min="1536" max="1536" width="49" style="3" customWidth="1"/>
    <col min="1537" max="1537" width="19.7109375" style="3" customWidth="1"/>
    <col min="1538" max="1538" width="17.5703125" style="3" customWidth="1"/>
    <col min="1539" max="1791" width="10.7109375" style="3"/>
    <col min="1792" max="1792" width="49" style="3" customWidth="1"/>
    <col min="1793" max="1793" width="19.7109375" style="3" customWidth="1"/>
    <col min="1794" max="1794" width="17.5703125" style="3" customWidth="1"/>
    <col min="1795" max="2047" width="10.7109375" style="3"/>
    <col min="2048" max="2048" width="49" style="3" customWidth="1"/>
    <col min="2049" max="2049" width="19.7109375" style="3" customWidth="1"/>
    <col min="2050" max="2050" width="17.5703125" style="3" customWidth="1"/>
    <col min="2051" max="2303" width="10.7109375" style="3"/>
    <col min="2304" max="2304" width="49" style="3" customWidth="1"/>
    <col min="2305" max="2305" width="19.7109375" style="3" customWidth="1"/>
    <col min="2306" max="2306" width="17.5703125" style="3" customWidth="1"/>
    <col min="2307" max="2559" width="10.7109375" style="3"/>
    <col min="2560" max="2560" width="49" style="3" customWidth="1"/>
    <col min="2561" max="2561" width="19.7109375" style="3" customWidth="1"/>
    <col min="2562" max="2562" width="17.5703125" style="3" customWidth="1"/>
    <col min="2563" max="2815" width="10.7109375" style="3"/>
    <col min="2816" max="2816" width="49" style="3" customWidth="1"/>
    <col min="2817" max="2817" width="19.7109375" style="3" customWidth="1"/>
    <col min="2818" max="2818" width="17.5703125" style="3" customWidth="1"/>
    <col min="2819" max="3071" width="10.7109375" style="3"/>
    <col min="3072" max="3072" width="49" style="3" customWidth="1"/>
    <col min="3073" max="3073" width="19.7109375" style="3" customWidth="1"/>
    <col min="3074" max="3074" width="17.5703125" style="3" customWidth="1"/>
    <col min="3075" max="3327" width="10.7109375" style="3"/>
    <col min="3328" max="3328" width="49" style="3" customWidth="1"/>
    <col min="3329" max="3329" width="19.7109375" style="3" customWidth="1"/>
    <col min="3330" max="3330" width="17.5703125" style="3" customWidth="1"/>
    <col min="3331" max="3583" width="10.7109375" style="3"/>
    <col min="3584" max="3584" width="49" style="3" customWidth="1"/>
    <col min="3585" max="3585" width="19.7109375" style="3" customWidth="1"/>
    <col min="3586" max="3586" width="17.5703125" style="3" customWidth="1"/>
    <col min="3587" max="3839" width="10.7109375" style="3"/>
    <col min="3840" max="3840" width="49" style="3" customWidth="1"/>
    <col min="3841" max="3841" width="19.7109375" style="3" customWidth="1"/>
    <col min="3842" max="3842" width="17.5703125" style="3" customWidth="1"/>
    <col min="3843" max="4095" width="10.7109375" style="3"/>
    <col min="4096" max="4096" width="49" style="3" customWidth="1"/>
    <col min="4097" max="4097" width="19.7109375" style="3" customWidth="1"/>
    <col min="4098" max="4098" width="17.5703125" style="3" customWidth="1"/>
    <col min="4099" max="4351" width="10.7109375" style="3"/>
    <col min="4352" max="4352" width="49" style="3" customWidth="1"/>
    <col min="4353" max="4353" width="19.7109375" style="3" customWidth="1"/>
    <col min="4354" max="4354" width="17.5703125" style="3" customWidth="1"/>
    <col min="4355" max="4607" width="10.7109375" style="3"/>
    <col min="4608" max="4608" width="49" style="3" customWidth="1"/>
    <col min="4609" max="4609" width="19.7109375" style="3" customWidth="1"/>
    <col min="4610" max="4610" width="17.5703125" style="3" customWidth="1"/>
    <col min="4611" max="4863" width="10.7109375" style="3"/>
    <col min="4864" max="4864" width="49" style="3" customWidth="1"/>
    <col min="4865" max="4865" width="19.7109375" style="3" customWidth="1"/>
    <col min="4866" max="4866" width="17.5703125" style="3" customWidth="1"/>
    <col min="4867" max="5119" width="10.7109375" style="3"/>
    <col min="5120" max="5120" width="49" style="3" customWidth="1"/>
    <col min="5121" max="5121" width="19.7109375" style="3" customWidth="1"/>
    <col min="5122" max="5122" width="17.5703125" style="3" customWidth="1"/>
    <col min="5123" max="5375" width="10.7109375" style="3"/>
    <col min="5376" max="5376" width="49" style="3" customWidth="1"/>
    <col min="5377" max="5377" width="19.7109375" style="3" customWidth="1"/>
    <col min="5378" max="5378" width="17.5703125" style="3" customWidth="1"/>
    <col min="5379" max="5631" width="10.7109375" style="3"/>
    <col min="5632" max="5632" width="49" style="3" customWidth="1"/>
    <col min="5633" max="5633" width="19.7109375" style="3" customWidth="1"/>
    <col min="5634" max="5634" width="17.5703125" style="3" customWidth="1"/>
    <col min="5635" max="5887" width="10.7109375" style="3"/>
    <col min="5888" max="5888" width="49" style="3" customWidth="1"/>
    <col min="5889" max="5889" width="19.7109375" style="3" customWidth="1"/>
    <col min="5890" max="5890" width="17.5703125" style="3" customWidth="1"/>
    <col min="5891" max="6143" width="10.7109375" style="3"/>
    <col min="6144" max="6144" width="49" style="3" customWidth="1"/>
    <col min="6145" max="6145" width="19.7109375" style="3" customWidth="1"/>
    <col min="6146" max="6146" width="17.5703125" style="3" customWidth="1"/>
    <col min="6147" max="6399" width="10.7109375" style="3"/>
    <col min="6400" max="6400" width="49" style="3" customWidth="1"/>
    <col min="6401" max="6401" width="19.7109375" style="3" customWidth="1"/>
    <col min="6402" max="6402" width="17.5703125" style="3" customWidth="1"/>
    <col min="6403" max="6655" width="10.7109375" style="3"/>
    <col min="6656" max="6656" width="49" style="3" customWidth="1"/>
    <col min="6657" max="6657" width="19.7109375" style="3" customWidth="1"/>
    <col min="6658" max="6658" width="17.5703125" style="3" customWidth="1"/>
    <col min="6659" max="6911" width="10.7109375" style="3"/>
    <col min="6912" max="6912" width="49" style="3" customWidth="1"/>
    <col min="6913" max="6913" width="19.7109375" style="3" customWidth="1"/>
    <col min="6914" max="6914" width="17.5703125" style="3" customWidth="1"/>
    <col min="6915" max="7167" width="10.7109375" style="3"/>
    <col min="7168" max="7168" width="49" style="3" customWidth="1"/>
    <col min="7169" max="7169" width="19.7109375" style="3" customWidth="1"/>
    <col min="7170" max="7170" width="17.5703125" style="3" customWidth="1"/>
    <col min="7171" max="7423" width="10.7109375" style="3"/>
    <col min="7424" max="7424" width="49" style="3" customWidth="1"/>
    <col min="7425" max="7425" width="19.7109375" style="3" customWidth="1"/>
    <col min="7426" max="7426" width="17.5703125" style="3" customWidth="1"/>
    <col min="7427" max="7679" width="10.7109375" style="3"/>
    <col min="7680" max="7680" width="49" style="3" customWidth="1"/>
    <col min="7681" max="7681" width="19.7109375" style="3" customWidth="1"/>
    <col min="7682" max="7682" width="17.5703125" style="3" customWidth="1"/>
    <col min="7683" max="7935" width="10.7109375" style="3"/>
    <col min="7936" max="7936" width="49" style="3" customWidth="1"/>
    <col min="7937" max="7937" width="19.7109375" style="3" customWidth="1"/>
    <col min="7938" max="7938" width="17.5703125" style="3" customWidth="1"/>
    <col min="7939" max="8191" width="10.7109375" style="3"/>
    <col min="8192" max="8192" width="49" style="3" customWidth="1"/>
    <col min="8193" max="8193" width="19.7109375" style="3" customWidth="1"/>
    <col min="8194" max="8194" width="17.5703125" style="3" customWidth="1"/>
    <col min="8195" max="8447" width="10.7109375" style="3"/>
    <col min="8448" max="8448" width="49" style="3" customWidth="1"/>
    <col min="8449" max="8449" width="19.7109375" style="3" customWidth="1"/>
    <col min="8450" max="8450" width="17.5703125" style="3" customWidth="1"/>
    <col min="8451" max="8703" width="10.7109375" style="3"/>
    <col min="8704" max="8704" width="49" style="3" customWidth="1"/>
    <col min="8705" max="8705" width="19.7109375" style="3" customWidth="1"/>
    <col min="8706" max="8706" width="17.5703125" style="3" customWidth="1"/>
    <col min="8707" max="8959" width="10.7109375" style="3"/>
    <col min="8960" max="8960" width="49" style="3" customWidth="1"/>
    <col min="8961" max="8961" width="19.7109375" style="3" customWidth="1"/>
    <col min="8962" max="8962" width="17.5703125" style="3" customWidth="1"/>
    <col min="8963" max="9215" width="10.7109375" style="3"/>
    <col min="9216" max="9216" width="49" style="3" customWidth="1"/>
    <col min="9217" max="9217" width="19.7109375" style="3" customWidth="1"/>
    <col min="9218" max="9218" width="17.5703125" style="3" customWidth="1"/>
    <col min="9219" max="9471" width="10.7109375" style="3"/>
    <col min="9472" max="9472" width="49" style="3" customWidth="1"/>
    <col min="9473" max="9473" width="19.7109375" style="3" customWidth="1"/>
    <col min="9474" max="9474" width="17.5703125" style="3" customWidth="1"/>
    <col min="9475" max="9727" width="10.7109375" style="3"/>
    <col min="9728" max="9728" width="49" style="3" customWidth="1"/>
    <col min="9729" max="9729" width="19.7109375" style="3" customWidth="1"/>
    <col min="9730" max="9730" width="17.5703125" style="3" customWidth="1"/>
    <col min="9731" max="9983" width="10.7109375" style="3"/>
    <col min="9984" max="9984" width="49" style="3" customWidth="1"/>
    <col min="9985" max="9985" width="19.7109375" style="3" customWidth="1"/>
    <col min="9986" max="9986" width="17.5703125" style="3" customWidth="1"/>
    <col min="9987" max="10239" width="10.7109375" style="3"/>
    <col min="10240" max="10240" width="49" style="3" customWidth="1"/>
    <col min="10241" max="10241" width="19.7109375" style="3" customWidth="1"/>
    <col min="10242" max="10242" width="17.5703125" style="3" customWidth="1"/>
    <col min="10243" max="10495" width="10.7109375" style="3"/>
    <col min="10496" max="10496" width="49" style="3" customWidth="1"/>
    <col min="10497" max="10497" width="19.7109375" style="3" customWidth="1"/>
    <col min="10498" max="10498" width="17.5703125" style="3" customWidth="1"/>
    <col min="10499" max="10751" width="10.7109375" style="3"/>
    <col min="10752" max="10752" width="49" style="3" customWidth="1"/>
    <col min="10753" max="10753" width="19.7109375" style="3" customWidth="1"/>
    <col min="10754" max="10754" width="17.5703125" style="3" customWidth="1"/>
    <col min="10755" max="11007" width="10.7109375" style="3"/>
    <col min="11008" max="11008" width="49" style="3" customWidth="1"/>
    <col min="11009" max="11009" width="19.7109375" style="3" customWidth="1"/>
    <col min="11010" max="11010" width="17.5703125" style="3" customWidth="1"/>
    <col min="11011" max="11263" width="10.7109375" style="3"/>
    <col min="11264" max="11264" width="49" style="3" customWidth="1"/>
    <col min="11265" max="11265" width="19.7109375" style="3" customWidth="1"/>
    <col min="11266" max="11266" width="17.5703125" style="3" customWidth="1"/>
    <col min="11267" max="11519" width="10.7109375" style="3"/>
    <col min="11520" max="11520" width="49" style="3" customWidth="1"/>
    <col min="11521" max="11521" width="19.7109375" style="3" customWidth="1"/>
    <col min="11522" max="11522" width="17.5703125" style="3" customWidth="1"/>
    <col min="11523" max="11775" width="10.7109375" style="3"/>
    <col min="11776" max="11776" width="49" style="3" customWidth="1"/>
    <col min="11777" max="11777" width="19.7109375" style="3" customWidth="1"/>
    <col min="11778" max="11778" width="17.5703125" style="3" customWidth="1"/>
    <col min="11779" max="12031" width="10.7109375" style="3"/>
    <col min="12032" max="12032" width="49" style="3" customWidth="1"/>
    <col min="12033" max="12033" width="19.7109375" style="3" customWidth="1"/>
    <col min="12034" max="12034" width="17.5703125" style="3" customWidth="1"/>
    <col min="12035" max="12287" width="10.7109375" style="3"/>
    <col min="12288" max="12288" width="49" style="3" customWidth="1"/>
    <col min="12289" max="12289" width="19.7109375" style="3" customWidth="1"/>
    <col min="12290" max="12290" width="17.5703125" style="3" customWidth="1"/>
    <col min="12291" max="12543" width="10.7109375" style="3"/>
    <col min="12544" max="12544" width="49" style="3" customWidth="1"/>
    <col min="12545" max="12545" width="19.7109375" style="3" customWidth="1"/>
    <col min="12546" max="12546" width="17.5703125" style="3" customWidth="1"/>
    <col min="12547" max="12799" width="10.7109375" style="3"/>
    <col min="12800" max="12800" width="49" style="3" customWidth="1"/>
    <col min="12801" max="12801" width="19.7109375" style="3" customWidth="1"/>
    <col min="12802" max="12802" width="17.5703125" style="3" customWidth="1"/>
    <col min="12803" max="13055" width="10.7109375" style="3"/>
    <col min="13056" max="13056" width="49" style="3" customWidth="1"/>
    <col min="13057" max="13057" width="19.7109375" style="3" customWidth="1"/>
    <col min="13058" max="13058" width="17.5703125" style="3" customWidth="1"/>
    <col min="13059" max="13311" width="10.7109375" style="3"/>
    <col min="13312" max="13312" width="49" style="3" customWidth="1"/>
    <col min="13313" max="13313" width="19.7109375" style="3" customWidth="1"/>
    <col min="13314" max="13314" width="17.5703125" style="3" customWidth="1"/>
    <col min="13315" max="13567" width="10.7109375" style="3"/>
    <col min="13568" max="13568" width="49" style="3" customWidth="1"/>
    <col min="13569" max="13569" width="19.7109375" style="3" customWidth="1"/>
    <col min="13570" max="13570" width="17.5703125" style="3" customWidth="1"/>
    <col min="13571" max="13823" width="10.7109375" style="3"/>
    <col min="13824" max="13824" width="49" style="3" customWidth="1"/>
    <col min="13825" max="13825" width="19.7109375" style="3" customWidth="1"/>
    <col min="13826" max="13826" width="17.5703125" style="3" customWidth="1"/>
    <col min="13827" max="14079" width="10.7109375" style="3"/>
    <col min="14080" max="14080" width="49" style="3" customWidth="1"/>
    <col min="14081" max="14081" width="19.7109375" style="3" customWidth="1"/>
    <col min="14082" max="14082" width="17.5703125" style="3" customWidth="1"/>
    <col min="14083" max="14335" width="10.7109375" style="3"/>
    <col min="14336" max="14336" width="49" style="3" customWidth="1"/>
    <col min="14337" max="14337" width="19.7109375" style="3" customWidth="1"/>
    <col min="14338" max="14338" width="17.5703125" style="3" customWidth="1"/>
    <col min="14339" max="14591" width="10.7109375" style="3"/>
    <col min="14592" max="14592" width="49" style="3" customWidth="1"/>
    <col min="14593" max="14593" width="19.7109375" style="3" customWidth="1"/>
    <col min="14594" max="14594" width="17.5703125" style="3" customWidth="1"/>
    <col min="14595" max="14847" width="10.7109375" style="3"/>
    <col min="14848" max="14848" width="49" style="3" customWidth="1"/>
    <col min="14849" max="14849" width="19.7109375" style="3" customWidth="1"/>
    <col min="14850" max="14850" width="17.5703125" style="3" customWidth="1"/>
    <col min="14851" max="15103" width="10.7109375" style="3"/>
    <col min="15104" max="15104" width="49" style="3" customWidth="1"/>
    <col min="15105" max="15105" width="19.7109375" style="3" customWidth="1"/>
    <col min="15106" max="15106" width="17.5703125" style="3" customWidth="1"/>
    <col min="15107" max="15359" width="10.7109375" style="3"/>
    <col min="15360" max="15360" width="49" style="3" customWidth="1"/>
    <col min="15361" max="15361" width="19.7109375" style="3" customWidth="1"/>
    <col min="15362" max="15362" width="17.5703125" style="3" customWidth="1"/>
    <col min="15363" max="15615" width="10.7109375" style="3"/>
    <col min="15616" max="15616" width="49" style="3" customWidth="1"/>
    <col min="15617" max="15617" width="19.7109375" style="3" customWidth="1"/>
    <col min="15618" max="15618" width="17.5703125" style="3" customWidth="1"/>
    <col min="15619" max="15871" width="10.7109375" style="3"/>
    <col min="15872" max="15872" width="49" style="3" customWidth="1"/>
    <col min="15873" max="15873" width="19.7109375" style="3" customWidth="1"/>
    <col min="15874" max="15874" width="17.5703125" style="3" customWidth="1"/>
    <col min="15875" max="16127" width="10.7109375" style="3"/>
    <col min="16128" max="16128" width="49" style="3" customWidth="1"/>
    <col min="16129" max="16129" width="19.7109375" style="3" customWidth="1"/>
    <col min="16130" max="16130" width="17.5703125" style="3" customWidth="1"/>
    <col min="16131" max="16384" width="10.7109375" style="3"/>
  </cols>
  <sheetData>
    <row r="1" spans="1:4" s="172" customFormat="1">
      <c r="A1" s="721" t="s">
        <v>85</v>
      </c>
      <c r="B1" s="721"/>
      <c r="C1" s="721"/>
      <c r="D1" s="721"/>
    </row>
    <row r="2" spans="1:4" s="172" customFormat="1">
      <c r="A2" s="722" t="s">
        <v>86</v>
      </c>
      <c r="B2" s="722"/>
      <c r="C2" s="722"/>
      <c r="D2" s="722"/>
    </row>
    <row r="3" spans="1:4" s="172" customFormat="1">
      <c r="A3" s="156"/>
      <c r="B3" s="156"/>
      <c r="C3" s="156"/>
    </row>
    <row r="4" spans="1:4" s="172" customFormat="1">
      <c r="A4" s="723" t="s">
        <v>342</v>
      </c>
      <c r="B4" s="724"/>
      <c r="C4" s="724"/>
      <c r="D4" s="724"/>
    </row>
    <row r="5" spans="1:4" s="172" customFormat="1">
      <c r="A5" s="263"/>
      <c r="B5" s="156"/>
      <c r="C5" s="156"/>
    </row>
    <row r="6" spans="1:4" s="172" customFormat="1">
      <c r="A6" s="329" t="s">
        <v>137</v>
      </c>
      <c r="B6" s="301" t="s">
        <v>293</v>
      </c>
      <c r="C6" s="301" t="s">
        <v>294</v>
      </c>
      <c r="D6" s="194" t="s">
        <v>343</v>
      </c>
    </row>
    <row r="7" spans="1:4" s="172" customFormat="1">
      <c r="A7" s="338" t="s">
        <v>138</v>
      </c>
      <c r="B7" s="156"/>
      <c r="C7" s="156"/>
    </row>
    <row r="8" spans="1:4" s="172" customFormat="1">
      <c r="A8" s="334" t="s">
        <v>139</v>
      </c>
      <c r="B8" s="156"/>
      <c r="C8" s="156"/>
    </row>
    <row r="9" spans="1:4" s="172" customFormat="1">
      <c r="A9" s="32" t="s">
        <v>140</v>
      </c>
      <c r="B9" s="156">
        <f>+'ESF 2015'!B11</f>
        <v>3065000</v>
      </c>
      <c r="C9" s="156">
        <f>+'BALANCE 2014'!B10</f>
        <v>13891000</v>
      </c>
      <c r="D9" s="172">
        <f>+B9-C9</f>
        <v>-10826000</v>
      </c>
    </row>
    <row r="10" spans="1:4" s="172" customFormat="1" ht="16.5" thickBot="1">
      <c r="A10" s="32" t="s">
        <v>141</v>
      </c>
      <c r="B10" s="291">
        <f>+'ESF 2016'!C11</f>
        <v>0</v>
      </c>
      <c r="C10" s="291">
        <f>+'BALANCE 2014'!B11</f>
        <v>32898000</v>
      </c>
      <c r="D10" s="172">
        <f t="shared" ref="D10:D51" si="0">+B10-C10</f>
        <v>-32898000</v>
      </c>
    </row>
    <row r="11" spans="1:4" s="172" customFormat="1" ht="20.25" customHeight="1">
      <c r="A11" s="23" t="s">
        <v>142</v>
      </c>
      <c r="B11" s="292">
        <f>SUM(B9:B10)</f>
        <v>3065000</v>
      </c>
      <c r="C11" s="292">
        <f>SUM(C9:C10)</f>
        <v>46789000</v>
      </c>
      <c r="D11" s="172">
        <f t="shared" si="0"/>
        <v>-43724000</v>
      </c>
    </row>
    <row r="12" spans="1:4" s="172" customFormat="1">
      <c r="A12" s="23"/>
      <c r="B12" s="156"/>
      <c r="C12" s="156"/>
    </row>
    <row r="13" spans="1:4" s="172" customFormat="1" ht="31.5">
      <c r="A13" s="23" t="s">
        <v>144</v>
      </c>
      <c r="B13" s="156"/>
      <c r="C13" s="156"/>
    </row>
    <row r="14" spans="1:4" s="172" customFormat="1">
      <c r="A14" s="32" t="s">
        <v>145</v>
      </c>
      <c r="B14" s="156">
        <f>+'ESF 2015'!B15</f>
        <v>37845000</v>
      </c>
      <c r="C14" s="156">
        <f>+'BALANCE 2014'!B15</f>
        <v>10494000</v>
      </c>
      <c r="D14" s="172">
        <f t="shared" si="0"/>
        <v>27351000</v>
      </c>
    </row>
    <row r="15" spans="1:4" s="172" customFormat="1">
      <c r="A15" s="32" t="s">
        <v>146</v>
      </c>
      <c r="B15" s="156"/>
      <c r="C15" s="156"/>
      <c r="D15" s="172">
        <f t="shared" si="0"/>
        <v>0</v>
      </c>
    </row>
    <row r="16" spans="1:4" s="172" customFormat="1">
      <c r="A16" s="32" t="s">
        <v>236</v>
      </c>
      <c r="B16" s="156"/>
      <c r="C16" s="156"/>
      <c r="D16" s="172">
        <f t="shared" si="0"/>
        <v>0</v>
      </c>
    </row>
    <row r="17" spans="1:4" s="172" customFormat="1" ht="16.5" thickBot="1">
      <c r="A17" s="32" t="s">
        <v>147</v>
      </c>
      <c r="B17" s="293">
        <f>+'ESF 2015'!B16</f>
        <v>6241000</v>
      </c>
      <c r="C17" s="293">
        <f>+'BALANCE 2014'!B16</f>
        <v>620000</v>
      </c>
      <c r="D17" s="172">
        <f t="shared" si="0"/>
        <v>5621000</v>
      </c>
    </row>
    <row r="18" spans="1:4" s="172" customFormat="1" ht="31.5">
      <c r="A18" s="23" t="s">
        <v>148</v>
      </c>
      <c r="B18" s="292">
        <f>SUM(B14:B17)</f>
        <v>44086000</v>
      </c>
      <c r="C18" s="292">
        <f>SUM(C14:C17)</f>
        <v>11114000</v>
      </c>
    </row>
    <row r="19" spans="1:4" s="172" customFormat="1">
      <c r="A19" s="23"/>
      <c r="B19" s="156"/>
      <c r="C19" s="156"/>
    </row>
    <row r="20" spans="1:4" s="172" customFormat="1" ht="16.5" thickBot="1">
      <c r="A20" s="282" t="s">
        <v>149</v>
      </c>
      <c r="B20" s="294">
        <f>+B11+B18</f>
        <v>47151000</v>
      </c>
      <c r="C20" s="294">
        <f>+C11+C18</f>
        <v>57903000</v>
      </c>
    </row>
    <row r="21" spans="1:4">
      <c r="A21" s="32"/>
      <c r="D21" s="172"/>
    </row>
    <row r="22" spans="1:4" s="172" customFormat="1">
      <c r="A22" s="335" t="s">
        <v>150</v>
      </c>
      <c r="B22" s="156"/>
      <c r="C22" s="156"/>
    </row>
    <row r="23" spans="1:4">
      <c r="A23" s="336" t="s">
        <v>151</v>
      </c>
      <c r="D23" s="172"/>
    </row>
    <row r="24" spans="1:4">
      <c r="A24" s="22"/>
      <c r="D24" s="172"/>
    </row>
    <row r="25" spans="1:4">
      <c r="A25" s="23" t="s">
        <v>158</v>
      </c>
      <c r="D25" s="172"/>
    </row>
    <row r="26" spans="1:4">
      <c r="A26" s="32" t="s">
        <v>159</v>
      </c>
      <c r="B26" s="156">
        <f>+'ESF 2015'!B24</f>
        <v>751100000</v>
      </c>
      <c r="C26" s="156">
        <f>+'BALANCE 2014'!B25</f>
        <v>600000000</v>
      </c>
      <c r="D26" s="172">
        <f t="shared" si="0"/>
        <v>151100000</v>
      </c>
    </row>
    <row r="27" spans="1:4" ht="16.5" thickBot="1">
      <c r="A27" s="32" t="s">
        <v>160</v>
      </c>
      <c r="B27" s="291">
        <v>0</v>
      </c>
      <c r="C27" s="291">
        <v>0</v>
      </c>
      <c r="D27" s="172"/>
    </row>
    <row r="28" spans="1:4">
      <c r="A28" s="23" t="s">
        <v>161</v>
      </c>
      <c r="B28" s="292">
        <f>SUM(B26:B27)</f>
        <v>751100000</v>
      </c>
      <c r="C28" s="292">
        <f>SUM(C26:C27)</f>
        <v>600000000</v>
      </c>
      <c r="D28" s="172"/>
    </row>
    <row r="29" spans="1:4">
      <c r="A29" s="23"/>
      <c r="D29" s="172"/>
    </row>
    <row r="30" spans="1:4" ht="16.5" thickBot="1">
      <c r="A30" s="282" t="s">
        <v>165</v>
      </c>
      <c r="B30" s="295">
        <f>+B28</f>
        <v>751100000</v>
      </c>
      <c r="C30" s="295">
        <f>+C28</f>
        <v>600000000</v>
      </c>
      <c r="D30" s="172"/>
    </row>
    <row r="31" spans="1:4">
      <c r="A31" s="32"/>
      <c r="D31" s="172"/>
    </row>
    <row r="32" spans="1:4" s="11" customFormat="1" ht="16.5" thickBot="1">
      <c r="A32" s="282" t="s">
        <v>166</v>
      </c>
      <c r="B32" s="295">
        <f>+B30+B20</f>
        <v>798251000</v>
      </c>
      <c r="C32" s="295">
        <f>+C30+C20</f>
        <v>657903000</v>
      </c>
      <c r="D32" s="172"/>
    </row>
    <row r="33" spans="1:7" s="11" customFormat="1">
      <c r="A33" s="340"/>
      <c r="B33" s="341"/>
      <c r="C33" s="341"/>
      <c r="D33" s="172"/>
    </row>
    <row r="34" spans="1:7">
      <c r="A34" s="721" t="s">
        <v>85</v>
      </c>
      <c r="B34" s="721"/>
      <c r="C34" s="721"/>
      <c r="D34" s="721"/>
    </row>
    <row r="35" spans="1:7">
      <c r="A35" s="722" t="s">
        <v>86</v>
      </c>
      <c r="B35" s="722"/>
      <c r="C35" s="722"/>
      <c r="D35" s="722"/>
      <c r="E35" s="14"/>
      <c r="F35" s="14"/>
      <c r="G35" s="14"/>
    </row>
    <row r="36" spans="1:7">
      <c r="A36" s="156"/>
      <c r="D36" s="172"/>
      <c r="E36" s="14"/>
      <c r="F36" s="14"/>
      <c r="G36" s="14"/>
    </row>
    <row r="37" spans="1:7" ht="15.75" customHeight="1">
      <c r="A37" s="723" t="s">
        <v>342</v>
      </c>
      <c r="B37" s="724"/>
      <c r="C37" s="724"/>
      <c r="D37" s="724"/>
      <c r="E37" s="14"/>
      <c r="F37" s="14"/>
      <c r="G37" s="14"/>
    </row>
    <row r="38" spans="1:7">
      <c r="A38" s="32"/>
      <c r="D38" s="172"/>
      <c r="E38" s="14"/>
      <c r="F38" s="14"/>
      <c r="G38" s="14"/>
    </row>
    <row r="39" spans="1:7">
      <c r="A39" s="339" t="s">
        <v>167</v>
      </c>
      <c r="B39" s="301" t="s">
        <v>293</v>
      </c>
      <c r="C39" s="301" t="s">
        <v>294</v>
      </c>
      <c r="D39" s="194" t="s">
        <v>343</v>
      </c>
      <c r="E39" s="14"/>
      <c r="F39" s="14"/>
      <c r="G39" s="14"/>
    </row>
    <row r="40" spans="1:7">
      <c r="A40" s="333"/>
      <c r="D40" s="172"/>
      <c r="E40" s="14"/>
      <c r="F40" s="14"/>
      <c r="G40" s="14"/>
    </row>
    <row r="41" spans="1:7">
      <c r="A41" s="23" t="s">
        <v>27</v>
      </c>
      <c r="D41" s="172"/>
      <c r="E41" s="14"/>
      <c r="F41" s="14"/>
      <c r="G41" s="14"/>
    </row>
    <row r="42" spans="1:7" ht="16.5" thickBot="1">
      <c r="A42" s="32" t="s">
        <v>168</v>
      </c>
      <c r="B42" s="291">
        <v>0</v>
      </c>
      <c r="C42" s="291">
        <f>+'BALANCE 2014'!B35</f>
        <v>29729000</v>
      </c>
      <c r="D42" s="172">
        <f t="shared" si="0"/>
        <v>-29729000</v>
      </c>
      <c r="E42" s="14"/>
      <c r="F42" s="14"/>
      <c r="G42" s="14"/>
    </row>
    <row r="43" spans="1:7">
      <c r="A43" s="23" t="s">
        <v>169</v>
      </c>
      <c r="B43" s="292">
        <f>+B42</f>
        <v>0</v>
      </c>
      <c r="C43" s="292">
        <f>+C42</f>
        <v>29729000</v>
      </c>
      <c r="D43" s="172"/>
      <c r="E43" s="20"/>
      <c r="F43" s="14"/>
      <c r="G43" s="14"/>
    </row>
    <row r="44" spans="1:7">
      <c r="A44" s="333"/>
      <c r="D44" s="172"/>
      <c r="E44" s="14"/>
      <c r="F44" s="14"/>
      <c r="G44" s="14"/>
    </row>
    <row r="45" spans="1:7" ht="31.5">
      <c r="A45" s="23" t="s">
        <v>170</v>
      </c>
      <c r="D45" s="172"/>
      <c r="E45" s="14"/>
      <c r="F45" s="14"/>
      <c r="G45" s="14"/>
    </row>
    <row r="46" spans="1:7">
      <c r="A46" s="297" t="s">
        <v>171</v>
      </c>
      <c r="D46" s="172"/>
      <c r="E46" s="14"/>
      <c r="F46" s="14"/>
      <c r="G46" s="14"/>
    </row>
    <row r="47" spans="1:7">
      <c r="A47" s="32" t="s">
        <v>172</v>
      </c>
      <c r="B47" s="156">
        <f>+'ESF 2015'!B34</f>
        <v>135000</v>
      </c>
      <c r="C47" s="156">
        <v>0</v>
      </c>
      <c r="D47" s="172">
        <f t="shared" si="0"/>
        <v>135000</v>
      </c>
      <c r="E47" s="14"/>
      <c r="F47" s="14"/>
      <c r="G47" s="14"/>
    </row>
    <row r="48" spans="1:7">
      <c r="A48" s="32" t="s">
        <v>352</v>
      </c>
      <c r="B48" s="156">
        <f>+'ESF 2015'!B35</f>
        <v>23000</v>
      </c>
      <c r="C48" s="156">
        <v>0</v>
      </c>
      <c r="D48" s="172">
        <f t="shared" si="0"/>
        <v>23000</v>
      </c>
      <c r="E48" s="14"/>
      <c r="F48" s="14"/>
      <c r="G48" s="14"/>
    </row>
    <row r="49" spans="1:7">
      <c r="A49" s="297" t="s">
        <v>173</v>
      </c>
      <c r="C49" s="156">
        <v>0</v>
      </c>
      <c r="D49" s="172">
        <f t="shared" si="0"/>
        <v>0</v>
      </c>
      <c r="E49" s="14"/>
      <c r="F49" s="14"/>
      <c r="G49" s="14"/>
    </row>
    <row r="50" spans="1:7" ht="16.5" thickBot="1">
      <c r="A50" s="297" t="s">
        <v>174</v>
      </c>
      <c r="B50" s="291">
        <f>+'ESF 2015'!B36</f>
        <v>103918000</v>
      </c>
      <c r="C50" s="291"/>
      <c r="D50" s="172">
        <f t="shared" si="0"/>
        <v>103918000</v>
      </c>
      <c r="E50" s="14"/>
      <c r="F50" s="14"/>
      <c r="G50" s="14"/>
    </row>
    <row r="51" spans="1:7" ht="30" customHeight="1">
      <c r="A51" s="285" t="s">
        <v>220</v>
      </c>
      <c r="B51" s="286">
        <f>+SUM(B46:B50)</f>
        <v>104076000</v>
      </c>
      <c r="C51" s="441"/>
      <c r="D51" s="172">
        <f t="shared" si="0"/>
        <v>104076000</v>
      </c>
      <c r="E51" s="14"/>
      <c r="F51" s="14"/>
      <c r="G51" s="14"/>
    </row>
    <row r="52" spans="1:7">
      <c r="A52" s="23"/>
      <c r="D52" s="172"/>
      <c r="E52" s="23"/>
      <c r="F52" s="14"/>
      <c r="G52" s="14"/>
    </row>
    <row r="53" spans="1:7">
      <c r="A53" s="23" t="s">
        <v>181</v>
      </c>
      <c r="D53" s="172"/>
      <c r="E53" s="14"/>
      <c r="F53" s="14"/>
      <c r="G53" s="14"/>
    </row>
    <row r="54" spans="1:7">
      <c r="A54" s="32" t="s">
        <v>182</v>
      </c>
      <c r="B54" s="156">
        <f>+'ESF 2015'!B40</f>
        <v>17195000</v>
      </c>
      <c r="C54" s="156">
        <f>+'BALANCE 2014'!B39</f>
        <v>2044000</v>
      </c>
      <c r="D54" s="172">
        <f t="shared" ref="D54:D76" si="1">+B54-C54</f>
        <v>15151000</v>
      </c>
    </row>
    <row r="55" spans="1:7" ht="16.5" thickBot="1">
      <c r="A55" s="32" t="str">
        <f>+'ESF 2016'!A76</f>
        <v>Impuesto sobre la renta para la equidad CREE</v>
      </c>
      <c r="B55" s="291">
        <f>+'ESF 2015'!B41</f>
        <v>3768000</v>
      </c>
      <c r="C55" s="291">
        <f>+'BALANCE 2014'!B40</f>
        <v>736000</v>
      </c>
      <c r="D55" s="172">
        <f t="shared" si="1"/>
        <v>3032000</v>
      </c>
    </row>
    <row r="56" spans="1:7">
      <c r="A56" s="23" t="s">
        <v>183</v>
      </c>
      <c r="B56" s="277">
        <f>+B54+B55</f>
        <v>20963000</v>
      </c>
      <c r="C56" s="277">
        <f>+C54+C55</f>
        <v>2780000</v>
      </c>
      <c r="D56" s="172"/>
    </row>
    <row r="57" spans="1:7">
      <c r="A57" s="23"/>
      <c r="D57" s="172"/>
    </row>
    <row r="58" spans="1:7" s="11" customFormat="1" ht="16.5" thickBot="1">
      <c r="A58" s="282" t="s">
        <v>184</v>
      </c>
      <c r="B58" s="283">
        <f>+B56+B51+B43</f>
        <v>125039000</v>
      </c>
      <c r="C58" s="283">
        <f>+C56+C51+C43</f>
        <v>32509000</v>
      </c>
      <c r="D58" s="172"/>
    </row>
    <row r="59" spans="1:7" s="11" customFormat="1">
      <c r="A59" s="23"/>
      <c r="B59" s="296"/>
      <c r="C59" s="296"/>
      <c r="D59" s="172"/>
    </row>
    <row r="60" spans="1:7">
      <c r="A60" s="330" t="s">
        <v>185</v>
      </c>
      <c r="B60" s="331"/>
      <c r="C60" s="331"/>
      <c r="D60" s="172"/>
    </row>
    <row r="61" spans="1:7">
      <c r="A61" s="23" t="s">
        <v>186</v>
      </c>
      <c r="D61" s="172"/>
    </row>
    <row r="62" spans="1:7" ht="16.5" thickBot="1">
      <c r="A62" s="32" t="s">
        <v>187</v>
      </c>
      <c r="B62" s="291">
        <f>+'ESF 2015'!B54</f>
        <v>620000000</v>
      </c>
      <c r="C62" s="291">
        <f>+'BALANCE 2014'!B54</f>
        <v>620000000</v>
      </c>
      <c r="D62" s="172"/>
    </row>
    <row r="63" spans="1:7">
      <c r="A63" s="23" t="s">
        <v>188</v>
      </c>
      <c r="B63" s="277">
        <f>SUM(B62)</f>
        <v>620000000</v>
      </c>
      <c r="C63" s="277">
        <f>SUM(C62)</f>
        <v>620000000</v>
      </c>
      <c r="D63" s="172"/>
    </row>
    <row r="64" spans="1:7">
      <c r="A64" s="23"/>
      <c r="D64" s="172"/>
    </row>
    <row r="65" spans="1:5">
      <c r="A65" s="23" t="s">
        <v>189</v>
      </c>
      <c r="D65" s="172"/>
    </row>
    <row r="66" spans="1:5" ht="16.5" thickBot="1">
      <c r="A66" s="32" t="s">
        <v>190</v>
      </c>
      <c r="B66" s="291">
        <f>+'ESF 2015'!B62</f>
        <v>539000</v>
      </c>
      <c r="C66" s="291">
        <v>0</v>
      </c>
      <c r="D66" s="172">
        <f t="shared" si="1"/>
        <v>539000</v>
      </c>
    </row>
    <row r="67" spans="1:5">
      <c r="A67" s="23" t="s">
        <v>191</v>
      </c>
      <c r="B67" s="277">
        <f>SUM(B66)</f>
        <v>539000</v>
      </c>
      <c r="C67" s="277"/>
      <c r="D67" s="172"/>
    </row>
    <row r="68" spans="1:5">
      <c r="A68" s="23"/>
      <c r="D68" s="172"/>
      <c r="E68" s="151"/>
    </row>
    <row r="69" spans="1:5">
      <c r="A69" s="23" t="s">
        <v>36</v>
      </c>
      <c r="D69" s="172"/>
    </row>
    <row r="70" spans="1:5" ht="16.5" thickBot="1">
      <c r="A70" s="32" t="s">
        <v>192</v>
      </c>
      <c r="B70" s="291">
        <f>+'ESF 2015'!B58</f>
        <v>47818000</v>
      </c>
      <c r="C70" s="291">
        <f>+'BALANCE 2014'!C59</f>
        <v>5394000</v>
      </c>
      <c r="D70" s="172">
        <f t="shared" si="1"/>
        <v>42424000</v>
      </c>
    </row>
    <row r="71" spans="1:5">
      <c r="A71" s="23" t="s">
        <v>193</v>
      </c>
      <c r="B71" s="277">
        <f>SUM(B70)</f>
        <v>47818000</v>
      </c>
      <c r="C71" s="277">
        <f>SUM(C70)</f>
        <v>5394000</v>
      </c>
      <c r="D71" s="172"/>
    </row>
    <row r="72" spans="1:5">
      <c r="A72" s="23"/>
      <c r="D72" s="172">
        <f t="shared" si="1"/>
        <v>0</v>
      </c>
    </row>
    <row r="73" spans="1:5">
      <c r="A73" s="23" t="s">
        <v>194</v>
      </c>
      <c r="D73" s="172">
        <f t="shared" si="1"/>
        <v>0</v>
      </c>
    </row>
    <row r="74" spans="1:5" ht="16.5" thickBot="1">
      <c r="A74" s="32" t="s">
        <v>195</v>
      </c>
      <c r="B74" s="291">
        <f>+'ESF 2015'!B66</f>
        <v>4855000</v>
      </c>
      <c r="C74" s="291">
        <v>0</v>
      </c>
      <c r="D74" s="172">
        <f t="shared" si="1"/>
        <v>4855000</v>
      </c>
    </row>
    <row r="75" spans="1:5" ht="31.5">
      <c r="A75" s="23" t="s">
        <v>196</v>
      </c>
      <c r="B75" s="277">
        <f>SUM(B74)</f>
        <v>4855000</v>
      </c>
      <c r="C75" s="277"/>
      <c r="D75" s="172"/>
    </row>
    <row r="76" spans="1:5">
      <c r="A76" s="23"/>
      <c r="D76" s="172">
        <f t="shared" si="1"/>
        <v>0</v>
      </c>
    </row>
    <row r="77" spans="1:5" s="11" customFormat="1" ht="16.5" thickBot="1">
      <c r="A77" s="326" t="s">
        <v>197</v>
      </c>
      <c r="B77" s="327">
        <f>+B71+B67+B63+B75</f>
        <v>673212000</v>
      </c>
      <c r="C77" s="327">
        <f>+C71+C67+C63+C75</f>
        <v>625394000</v>
      </c>
      <c r="D77" s="172"/>
    </row>
    <row r="78" spans="1:5">
      <c r="A78" s="32"/>
      <c r="D78" s="172"/>
    </row>
    <row r="79" spans="1:5" s="11" customFormat="1" ht="16.5" thickBot="1">
      <c r="A79" s="282" t="s">
        <v>198</v>
      </c>
      <c r="B79" s="283">
        <f>+B77+B58</f>
        <v>798251000</v>
      </c>
      <c r="C79" s="283">
        <f>+C77+C58</f>
        <v>657903000</v>
      </c>
      <c r="D79" s="172"/>
      <c r="E79" s="175"/>
    </row>
    <row r="80" spans="1:5" s="11" customFormat="1">
      <c r="A80" s="20"/>
      <c r="B80" s="270">
        <f>+B79-B32</f>
        <v>0</v>
      </c>
      <c r="C80" s="270">
        <f>+C79-C32</f>
        <v>0</v>
      </c>
    </row>
    <row r="81" spans="1:3" s="11" customFormat="1">
      <c r="A81" s="20"/>
      <c r="B81" s="296"/>
      <c r="C81" s="296"/>
    </row>
    <row r="82" spans="1:3" s="11" customFormat="1">
      <c r="A82" s="20"/>
      <c r="B82" s="296"/>
      <c r="C82" s="296"/>
    </row>
    <row r="83" spans="1:3" s="11" customFormat="1">
      <c r="A83" s="267" t="s">
        <v>130</v>
      </c>
      <c r="B83" s="732" t="s">
        <v>131</v>
      </c>
      <c r="C83" s="732"/>
    </row>
    <row r="84" spans="1:3">
      <c r="A84" s="268" t="s">
        <v>132</v>
      </c>
      <c r="B84" s="731" t="s">
        <v>133</v>
      </c>
      <c r="C84" s="731"/>
    </row>
    <row r="85" spans="1:3">
      <c r="A85" s="269" t="s">
        <v>251</v>
      </c>
      <c r="B85" s="732" t="s">
        <v>134</v>
      </c>
      <c r="C85" s="732"/>
    </row>
  </sheetData>
  <mergeCells count="9">
    <mergeCell ref="A37:D37"/>
    <mergeCell ref="B83:C83"/>
    <mergeCell ref="B84:C84"/>
    <mergeCell ref="B85:C85"/>
    <mergeCell ref="A1:D1"/>
    <mergeCell ref="A2:D2"/>
    <mergeCell ref="A4:D4"/>
    <mergeCell ref="A34:D34"/>
    <mergeCell ref="A35:D35"/>
  </mergeCells>
  <pageMargins left="0.70866141732283472" right="0.70866141732283472" top="0.74803149606299213" bottom="0.74803149606299213" header="0.31496062992125984" footer="0.31496062992125984"/>
  <pageSetup scale="72" orientation="portrait" horizontalDpi="0" verticalDpi="0" r:id="rId1"/>
  <rowBreaks count="1" manualBreakCount="1">
    <brk id="32" max="16383"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1"/>
  <sheetViews>
    <sheetView topLeftCell="A46" zoomScaleNormal="100" zoomScaleSheetLayoutView="100" workbookViewId="0">
      <selection activeCell="B71" sqref="B71"/>
    </sheetView>
  </sheetViews>
  <sheetFormatPr baseColWidth="10" defaultColWidth="10.7109375" defaultRowHeight="15.75"/>
  <cols>
    <col min="1" max="1" width="57.42578125" style="3" customWidth="1"/>
    <col min="2" max="3" width="20.5703125" style="171" customWidth="1"/>
    <col min="4" max="4" width="14.85546875" style="3" bestFit="1" customWidth="1"/>
    <col min="5" max="5" width="15.42578125" style="3" customWidth="1"/>
    <col min="6" max="256" width="11" style="3"/>
    <col min="257" max="257" width="51.42578125" style="3" customWidth="1"/>
    <col min="258" max="258" width="13.7109375" style="3" customWidth="1"/>
    <col min="259" max="259" width="14.42578125" style="3" customWidth="1"/>
    <col min="260" max="260" width="11.28515625" style="3" bestFit="1" customWidth="1"/>
    <col min="261" max="512" width="11" style="3"/>
    <col min="513" max="513" width="51.42578125" style="3" customWidth="1"/>
    <col min="514" max="514" width="13.7109375" style="3" customWidth="1"/>
    <col min="515" max="515" width="14.42578125" style="3" customWidth="1"/>
    <col min="516" max="516" width="11.28515625" style="3" bestFit="1" customWidth="1"/>
    <col min="517" max="768" width="11" style="3"/>
    <col min="769" max="769" width="51.42578125" style="3" customWidth="1"/>
    <col min="770" max="770" width="13.7109375" style="3" customWidth="1"/>
    <col min="771" max="771" width="14.42578125" style="3" customWidth="1"/>
    <col min="772" max="772" width="11.28515625" style="3" bestFit="1" customWidth="1"/>
    <col min="773" max="1024" width="11" style="3"/>
    <col min="1025" max="1025" width="51.42578125" style="3" customWidth="1"/>
    <col min="1026" max="1026" width="13.7109375" style="3" customWidth="1"/>
    <col min="1027" max="1027" width="14.42578125" style="3" customWidth="1"/>
    <col min="1028" max="1028" width="11.28515625" style="3" bestFit="1" customWidth="1"/>
    <col min="1029" max="1280" width="11" style="3"/>
    <col min="1281" max="1281" width="51.42578125" style="3" customWidth="1"/>
    <col min="1282" max="1282" width="13.7109375" style="3" customWidth="1"/>
    <col min="1283" max="1283" width="14.42578125" style="3" customWidth="1"/>
    <col min="1284" max="1284" width="11.28515625" style="3" bestFit="1" customWidth="1"/>
    <col min="1285" max="1536" width="11" style="3"/>
    <col min="1537" max="1537" width="51.42578125" style="3" customWidth="1"/>
    <col min="1538" max="1538" width="13.7109375" style="3" customWidth="1"/>
    <col min="1539" max="1539" width="14.42578125" style="3" customWidth="1"/>
    <col min="1540" max="1540" width="11.28515625" style="3" bestFit="1" customWidth="1"/>
    <col min="1541" max="1792" width="11" style="3"/>
    <col min="1793" max="1793" width="51.42578125" style="3" customWidth="1"/>
    <col min="1794" max="1794" width="13.7109375" style="3" customWidth="1"/>
    <col min="1795" max="1795" width="14.42578125" style="3" customWidth="1"/>
    <col min="1796" max="1796" width="11.28515625" style="3" bestFit="1" customWidth="1"/>
    <col min="1797" max="2048" width="11" style="3"/>
    <col min="2049" max="2049" width="51.42578125" style="3" customWidth="1"/>
    <col min="2050" max="2050" width="13.7109375" style="3" customWidth="1"/>
    <col min="2051" max="2051" width="14.42578125" style="3" customWidth="1"/>
    <col min="2052" max="2052" width="11.28515625" style="3" bestFit="1" customWidth="1"/>
    <col min="2053" max="2304" width="11" style="3"/>
    <col min="2305" max="2305" width="51.42578125" style="3" customWidth="1"/>
    <col min="2306" max="2306" width="13.7109375" style="3" customWidth="1"/>
    <col min="2307" max="2307" width="14.42578125" style="3" customWidth="1"/>
    <col min="2308" max="2308" width="11.28515625" style="3" bestFit="1" customWidth="1"/>
    <col min="2309" max="2560" width="11" style="3"/>
    <col min="2561" max="2561" width="51.42578125" style="3" customWidth="1"/>
    <col min="2562" max="2562" width="13.7109375" style="3" customWidth="1"/>
    <col min="2563" max="2563" width="14.42578125" style="3" customWidth="1"/>
    <col min="2564" max="2564" width="11.28515625" style="3" bestFit="1" customWidth="1"/>
    <col min="2565" max="2816" width="11" style="3"/>
    <col min="2817" max="2817" width="51.42578125" style="3" customWidth="1"/>
    <col min="2818" max="2818" width="13.7109375" style="3" customWidth="1"/>
    <col min="2819" max="2819" width="14.42578125" style="3" customWidth="1"/>
    <col min="2820" max="2820" width="11.28515625" style="3" bestFit="1" customWidth="1"/>
    <col min="2821" max="3072" width="11" style="3"/>
    <col min="3073" max="3073" width="51.42578125" style="3" customWidth="1"/>
    <col min="3074" max="3074" width="13.7109375" style="3" customWidth="1"/>
    <col min="3075" max="3075" width="14.42578125" style="3" customWidth="1"/>
    <col min="3076" max="3076" width="11.28515625" style="3" bestFit="1" customWidth="1"/>
    <col min="3077" max="3328" width="11" style="3"/>
    <col min="3329" max="3329" width="51.42578125" style="3" customWidth="1"/>
    <col min="3330" max="3330" width="13.7109375" style="3" customWidth="1"/>
    <col min="3331" max="3331" width="14.42578125" style="3" customWidth="1"/>
    <col min="3332" max="3332" width="11.28515625" style="3" bestFit="1" customWidth="1"/>
    <col min="3333" max="3584" width="11" style="3"/>
    <col min="3585" max="3585" width="51.42578125" style="3" customWidth="1"/>
    <col min="3586" max="3586" width="13.7109375" style="3" customWidth="1"/>
    <col min="3587" max="3587" width="14.42578125" style="3" customWidth="1"/>
    <col min="3588" max="3588" width="11.28515625" style="3" bestFit="1" customWidth="1"/>
    <col min="3589" max="3840" width="11" style="3"/>
    <col min="3841" max="3841" width="51.42578125" style="3" customWidth="1"/>
    <col min="3842" max="3842" width="13.7109375" style="3" customWidth="1"/>
    <col min="3843" max="3843" width="14.42578125" style="3" customWidth="1"/>
    <col min="3844" max="3844" width="11.28515625" style="3" bestFit="1" customWidth="1"/>
    <col min="3845" max="4096" width="11" style="3"/>
    <col min="4097" max="4097" width="51.42578125" style="3" customWidth="1"/>
    <col min="4098" max="4098" width="13.7109375" style="3" customWidth="1"/>
    <col min="4099" max="4099" width="14.42578125" style="3" customWidth="1"/>
    <col min="4100" max="4100" width="11.28515625" style="3" bestFit="1" customWidth="1"/>
    <col min="4101" max="4352" width="11" style="3"/>
    <col min="4353" max="4353" width="51.42578125" style="3" customWidth="1"/>
    <col min="4354" max="4354" width="13.7109375" style="3" customWidth="1"/>
    <col min="4355" max="4355" width="14.42578125" style="3" customWidth="1"/>
    <col min="4356" max="4356" width="11.28515625" style="3" bestFit="1" customWidth="1"/>
    <col min="4357" max="4608" width="11" style="3"/>
    <col min="4609" max="4609" width="51.42578125" style="3" customWidth="1"/>
    <col min="4610" max="4610" width="13.7109375" style="3" customWidth="1"/>
    <col min="4611" max="4611" width="14.42578125" style="3" customWidth="1"/>
    <col min="4612" max="4612" width="11.28515625" style="3" bestFit="1" customWidth="1"/>
    <col min="4613" max="4864" width="11" style="3"/>
    <col min="4865" max="4865" width="51.42578125" style="3" customWidth="1"/>
    <col min="4866" max="4866" width="13.7109375" style="3" customWidth="1"/>
    <col min="4867" max="4867" width="14.42578125" style="3" customWidth="1"/>
    <col min="4868" max="4868" width="11.28515625" style="3" bestFit="1" customWidth="1"/>
    <col min="4869" max="5120" width="11" style="3"/>
    <col min="5121" max="5121" width="51.42578125" style="3" customWidth="1"/>
    <col min="5122" max="5122" width="13.7109375" style="3" customWidth="1"/>
    <col min="5123" max="5123" width="14.42578125" style="3" customWidth="1"/>
    <col min="5124" max="5124" width="11.28515625" style="3" bestFit="1" customWidth="1"/>
    <col min="5125" max="5376" width="11" style="3"/>
    <col min="5377" max="5377" width="51.42578125" style="3" customWidth="1"/>
    <col min="5378" max="5378" width="13.7109375" style="3" customWidth="1"/>
    <col min="5379" max="5379" width="14.42578125" style="3" customWidth="1"/>
    <col min="5380" max="5380" width="11.28515625" style="3" bestFit="1" customWidth="1"/>
    <col min="5381" max="5632" width="11" style="3"/>
    <col min="5633" max="5633" width="51.42578125" style="3" customWidth="1"/>
    <col min="5634" max="5634" width="13.7109375" style="3" customWidth="1"/>
    <col min="5635" max="5635" width="14.42578125" style="3" customWidth="1"/>
    <col min="5636" max="5636" width="11.28515625" style="3" bestFit="1" customWidth="1"/>
    <col min="5637" max="5888" width="11" style="3"/>
    <col min="5889" max="5889" width="51.42578125" style="3" customWidth="1"/>
    <col min="5890" max="5890" width="13.7109375" style="3" customWidth="1"/>
    <col min="5891" max="5891" width="14.42578125" style="3" customWidth="1"/>
    <col min="5892" max="5892" width="11.28515625" style="3" bestFit="1" customWidth="1"/>
    <col min="5893" max="6144" width="11" style="3"/>
    <col min="6145" max="6145" width="51.42578125" style="3" customWidth="1"/>
    <col min="6146" max="6146" width="13.7109375" style="3" customWidth="1"/>
    <col min="6147" max="6147" width="14.42578125" style="3" customWidth="1"/>
    <col min="6148" max="6148" width="11.28515625" style="3" bestFit="1" customWidth="1"/>
    <col min="6149" max="6400" width="11" style="3"/>
    <col min="6401" max="6401" width="51.42578125" style="3" customWidth="1"/>
    <col min="6402" max="6402" width="13.7109375" style="3" customWidth="1"/>
    <col min="6403" max="6403" width="14.42578125" style="3" customWidth="1"/>
    <col min="6404" max="6404" width="11.28515625" style="3" bestFit="1" customWidth="1"/>
    <col min="6405" max="6656" width="11" style="3"/>
    <col min="6657" max="6657" width="51.42578125" style="3" customWidth="1"/>
    <col min="6658" max="6658" width="13.7109375" style="3" customWidth="1"/>
    <col min="6659" max="6659" width="14.42578125" style="3" customWidth="1"/>
    <col min="6660" max="6660" width="11.28515625" style="3" bestFit="1" customWidth="1"/>
    <col min="6661" max="6912" width="11" style="3"/>
    <col min="6913" max="6913" width="51.42578125" style="3" customWidth="1"/>
    <col min="6914" max="6914" width="13.7109375" style="3" customWidth="1"/>
    <col min="6915" max="6915" width="14.42578125" style="3" customWidth="1"/>
    <col min="6916" max="6916" width="11.28515625" style="3" bestFit="1" customWidth="1"/>
    <col min="6917" max="7168" width="11" style="3"/>
    <col min="7169" max="7169" width="51.42578125" style="3" customWidth="1"/>
    <col min="7170" max="7170" width="13.7109375" style="3" customWidth="1"/>
    <col min="7171" max="7171" width="14.42578125" style="3" customWidth="1"/>
    <col min="7172" max="7172" width="11.28515625" style="3" bestFit="1" customWidth="1"/>
    <col min="7173" max="7424" width="11" style="3"/>
    <col min="7425" max="7425" width="51.42578125" style="3" customWidth="1"/>
    <col min="7426" max="7426" width="13.7109375" style="3" customWidth="1"/>
    <col min="7427" max="7427" width="14.42578125" style="3" customWidth="1"/>
    <col min="7428" max="7428" width="11.28515625" style="3" bestFit="1" customWidth="1"/>
    <col min="7429" max="7680" width="11" style="3"/>
    <col min="7681" max="7681" width="51.42578125" style="3" customWidth="1"/>
    <col min="7682" max="7682" width="13.7109375" style="3" customWidth="1"/>
    <col min="7683" max="7683" width="14.42578125" style="3" customWidth="1"/>
    <col min="7684" max="7684" width="11.28515625" style="3" bestFit="1" customWidth="1"/>
    <col min="7685" max="7936" width="11" style="3"/>
    <col min="7937" max="7937" width="51.42578125" style="3" customWidth="1"/>
    <col min="7938" max="7938" width="13.7109375" style="3" customWidth="1"/>
    <col min="7939" max="7939" width="14.42578125" style="3" customWidth="1"/>
    <col min="7940" max="7940" width="11.28515625" style="3" bestFit="1" customWidth="1"/>
    <col min="7941" max="8192" width="11" style="3"/>
    <col min="8193" max="8193" width="51.42578125" style="3" customWidth="1"/>
    <col min="8194" max="8194" width="13.7109375" style="3" customWidth="1"/>
    <col min="8195" max="8195" width="14.42578125" style="3" customWidth="1"/>
    <col min="8196" max="8196" width="11.28515625" style="3" bestFit="1" customWidth="1"/>
    <col min="8197" max="8448" width="11" style="3"/>
    <col min="8449" max="8449" width="51.42578125" style="3" customWidth="1"/>
    <col min="8450" max="8450" width="13.7109375" style="3" customWidth="1"/>
    <col min="8451" max="8451" width="14.42578125" style="3" customWidth="1"/>
    <col min="8452" max="8452" width="11.28515625" style="3" bestFit="1" customWidth="1"/>
    <col min="8453" max="8704" width="11" style="3"/>
    <col min="8705" max="8705" width="51.42578125" style="3" customWidth="1"/>
    <col min="8706" max="8706" width="13.7109375" style="3" customWidth="1"/>
    <col min="8707" max="8707" width="14.42578125" style="3" customWidth="1"/>
    <col min="8708" max="8708" width="11.28515625" style="3" bestFit="1" customWidth="1"/>
    <col min="8709" max="8960" width="11" style="3"/>
    <col min="8961" max="8961" width="51.42578125" style="3" customWidth="1"/>
    <col min="8962" max="8962" width="13.7109375" style="3" customWidth="1"/>
    <col min="8963" max="8963" width="14.42578125" style="3" customWidth="1"/>
    <col min="8964" max="8964" width="11.28515625" style="3" bestFit="1" customWidth="1"/>
    <col min="8965" max="9216" width="11" style="3"/>
    <col min="9217" max="9217" width="51.42578125" style="3" customWidth="1"/>
    <col min="9218" max="9218" width="13.7109375" style="3" customWidth="1"/>
    <col min="9219" max="9219" width="14.42578125" style="3" customWidth="1"/>
    <col min="9220" max="9220" width="11.28515625" style="3" bestFit="1" customWidth="1"/>
    <col min="9221" max="9472" width="11" style="3"/>
    <col min="9473" max="9473" width="51.42578125" style="3" customWidth="1"/>
    <col min="9474" max="9474" width="13.7109375" style="3" customWidth="1"/>
    <col min="9475" max="9475" width="14.42578125" style="3" customWidth="1"/>
    <col min="9476" max="9476" width="11.28515625" style="3" bestFit="1" customWidth="1"/>
    <col min="9477" max="9728" width="11" style="3"/>
    <col min="9729" max="9729" width="51.42578125" style="3" customWidth="1"/>
    <col min="9730" max="9730" width="13.7109375" style="3" customWidth="1"/>
    <col min="9731" max="9731" width="14.42578125" style="3" customWidth="1"/>
    <col min="9732" max="9732" width="11.28515625" style="3" bestFit="1" customWidth="1"/>
    <col min="9733" max="9984" width="11" style="3"/>
    <col min="9985" max="9985" width="51.42578125" style="3" customWidth="1"/>
    <col min="9986" max="9986" width="13.7109375" style="3" customWidth="1"/>
    <col min="9987" max="9987" width="14.42578125" style="3" customWidth="1"/>
    <col min="9988" max="9988" width="11.28515625" style="3" bestFit="1" customWidth="1"/>
    <col min="9989" max="10240" width="11" style="3"/>
    <col min="10241" max="10241" width="51.42578125" style="3" customWidth="1"/>
    <col min="10242" max="10242" width="13.7109375" style="3" customWidth="1"/>
    <col min="10243" max="10243" width="14.42578125" style="3" customWidth="1"/>
    <col min="10244" max="10244" width="11.28515625" style="3" bestFit="1" customWidth="1"/>
    <col min="10245" max="10496" width="11" style="3"/>
    <col min="10497" max="10497" width="51.42578125" style="3" customWidth="1"/>
    <col min="10498" max="10498" width="13.7109375" style="3" customWidth="1"/>
    <col min="10499" max="10499" width="14.42578125" style="3" customWidth="1"/>
    <col min="10500" max="10500" width="11.28515625" style="3" bestFit="1" customWidth="1"/>
    <col min="10501" max="10752" width="11" style="3"/>
    <col min="10753" max="10753" width="51.42578125" style="3" customWidth="1"/>
    <col min="10754" max="10754" width="13.7109375" style="3" customWidth="1"/>
    <col min="10755" max="10755" width="14.42578125" style="3" customWidth="1"/>
    <col min="10756" max="10756" width="11.28515625" style="3" bestFit="1" customWidth="1"/>
    <col min="10757" max="11008" width="11" style="3"/>
    <col min="11009" max="11009" width="51.42578125" style="3" customWidth="1"/>
    <col min="11010" max="11010" width="13.7109375" style="3" customWidth="1"/>
    <col min="11011" max="11011" width="14.42578125" style="3" customWidth="1"/>
    <col min="11012" max="11012" width="11.28515625" style="3" bestFit="1" customWidth="1"/>
    <col min="11013" max="11264" width="11" style="3"/>
    <col min="11265" max="11265" width="51.42578125" style="3" customWidth="1"/>
    <col min="11266" max="11266" width="13.7109375" style="3" customWidth="1"/>
    <col min="11267" max="11267" width="14.42578125" style="3" customWidth="1"/>
    <col min="11268" max="11268" width="11.28515625" style="3" bestFit="1" customWidth="1"/>
    <col min="11269" max="11520" width="11" style="3"/>
    <col min="11521" max="11521" width="51.42578125" style="3" customWidth="1"/>
    <col min="11522" max="11522" width="13.7109375" style="3" customWidth="1"/>
    <col min="11523" max="11523" width="14.42578125" style="3" customWidth="1"/>
    <col min="11524" max="11524" width="11.28515625" style="3" bestFit="1" customWidth="1"/>
    <col min="11525" max="11776" width="11" style="3"/>
    <col min="11777" max="11777" width="51.42578125" style="3" customWidth="1"/>
    <col min="11778" max="11778" width="13.7109375" style="3" customWidth="1"/>
    <col min="11779" max="11779" width="14.42578125" style="3" customWidth="1"/>
    <col min="11780" max="11780" width="11.28515625" style="3" bestFit="1" customWidth="1"/>
    <col min="11781" max="12032" width="11" style="3"/>
    <col min="12033" max="12033" width="51.42578125" style="3" customWidth="1"/>
    <col min="12034" max="12034" width="13.7109375" style="3" customWidth="1"/>
    <col min="12035" max="12035" width="14.42578125" style="3" customWidth="1"/>
    <col min="12036" max="12036" width="11.28515625" style="3" bestFit="1" customWidth="1"/>
    <col min="12037" max="12288" width="11" style="3"/>
    <col min="12289" max="12289" width="51.42578125" style="3" customWidth="1"/>
    <col min="12290" max="12290" width="13.7109375" style="3" customWidth="1"/>
    <col min="12291" max="12291" width="14.42578125" style="3" customWidth="1"/>
    <col min="12292" max="12292" width="11.28515625" style="3" bestFit="1" customWidth="1"/>
    <col min="12293" max="12544" width="11" style="3"/>
    <col min="12545" max="12545" width="51.42578125" style="3" customWidth="1"/>
    <col min="12546" max="12546" width="13.7109375" style="3" customWidth="1"/>
    <col min="12547" max="12547" width="14.42578125" style="3" customWidth="1"/>
    <col min="12548" max="12548" width="11.28515625" style="3" bestFit="1" customWidth="1"/>
    <col min="12549" max="12800" width="11" style="3"/>
    <col min="12801" max="12801" width="51.42578125" style="3" customWidth="1"/>
    <col min="12802" max="12802" width="13.7109375" style="3" customWidth="1"/>
    <col min="12803" max="12803" width="14.42578125" style="3" customWidth="1"/>
    <col min="12804" max="12804" width="11.28515625" style="3" bestFit="1" customWidth="1"/>
    <col min="12805" max="13056" width="11" style="3"/>
    <col min="13057" max="13057" width="51.42578125" style="3" customWidth="1"/>
    <col min="13058" max="13058" width="13.7109375" style="3" customWidth="1"/>
    <col min="13059" max="13059" width="14.42578125" style="3" customWidth="1"/>
    <col min="13060" max="13060" width="11.28515625" style="3" bestFit="1" customWidth="1"/>
    <col min="13061" max="13312" width="11" style="3"/>
    <col min="13313" max="13313" width="51.42578125" style="3" customWidth="1"/>
    <col min="13314" max="13314" width="13.7109375" style="3" customWidth="1"/>
    <col min="13315" max="13315" width="14.42578125" style="3" customWidth="1"/>
    <col min="13316" max="13316" width="11.28515625" style="3" bestFit="1" customWidth="1"/>
    <col min="13317" max="13568" width="11" style="3"/>
    <col min="13569" max="13569" width="51.42578125" style="3" customWidth="1"/>
    <col min="13570" max="13570" width="13.7109375" style="3" customWidth="1"/>
    <col min="13571" max="13571" width="14.42578125" style="3" customWidth="1"/>
    <col min="13572" max="13572" width="11.28515625" style="3" bestFit="1" customWidth="1"/>
    <col min="13573" max="13824" width="11" style="3"/>
    <col min="13825" max="13825" width="51.42578125" style="3" customWidth="1"/>
    <col min="13826" max="13826" width="13.7109375" style="3" customWidth="1"/>
    <col min="13827" max="13827" width="14.42578125" style="3" customWidth="1"/>
    <col min="13828" max="13828" width="11.28515625" style="3" bestFit="1" customWidth="1"/>
    <col min="13829" max="14080" width="11" style="3"/>
    <col min="14081" max="14081" width="51.42578125" style="3" customWidth="1"/>
    <col min="14082" max="14082" width="13.7109375" style="3" customWidth="1"/>
    <col min="14083" max="14083" width="14.42578125" style="3" customWidth="1"/>
    <col min="14084" max="14084" width="11.28515625" style="3" bestFit="1" customWidth="1"/>
    <col min="14085" max="14336" width="11" style="3"/>
    <col min="14337" max="14337" width="51.42578125" style="3" customWidth="1"/>
    <col min="14338" max="14338" width="13.7109375" style="3" customWidth="1"/>
    <col min="14339" max="14339" width="14.42578125" style="3" customWidth="1"/>
    <col min="14340" max="14340" width="11.28515625" style="3" bestFit="1" customWidth="1"/>
    <col min="14341" max="14592" width="11" style="3"/>
    <col min="14593" max="14593" width="51.42578125" style="3" customWidth="1"/>
    <col min="14594" max="14594" width="13.7109375" style="3" customWidth="1"/>
    <col min="14595" max="14595" width="14.42578125" style="3" customWidth="1"/>
    <col min="14596" max="14596" width="11.28515625" style="3" bestFit="1" customWidth="1"/>
    <col min="14597" max="14848" width="11" style="3"/>
    <col min="14849" max="14849" width="51.42578125" style="3" customWidth="1"/>
    <col min="14850" max="14850" width="13.7109375" style="3" customWidth="1"/>
    <col min="14851" max="14851" width="14.42578125" style="3" customWidth="1"/>
    <col min="14852" max="14852" width="11.28515625" style="3" bestFit="1" customWidth="1"/>
    <col min="14853" max="15104" width="11" style="3"/>
    <col min="15105" max="15105" width="51.42578125" style="3" customWidth="1"/>
    <col min="15106" max="15106" width="13.7109375" style="3" customWidth="1"/>
    <col min="15107" max="15107" width="14.42578125" style="3" customWidth="1"/>
    <col min="15108" max="15108" width="11.28515625" style="3" bestFit="1" customWidth="1"/>
    <col min="15109" max="15360" width="11" style="3"/>
    <col min="15361" max="15361" width="51.42578125" style="3" customWidth="1"/>
    <col min="15362" max="15362" width="13.7109375" style="3" customWidth="1"/>
    <col min="15363" max="15363" width="14.42578125" style="3" customWidth="1"/>
    <col min="15364" max="15364" width="11.28515625" style="3" bestFit="1" customWidth="1"/>
    <col min="15365" max="15616" width="11" style="3"/>
    <col min="15617" max="15617" width="51.42578125" style="3" customWidth="1"/>
    <col min="15618" max="15618" width="13.7109375" style="3" customWidth="1"/>
    <col min="15619" max="15619" width="14.42578125" style="3" customWidth="1"/>
    <col min="15620" max="15620" width="11.28515625" style="3" bestFit="1" customWidth="1"/>
    <col min="15621" max="15872" width="11" style="3"/>
    <col min="15873" max="15873" width="51.42578125" style="3" customWidth="1"/>
    <col min="15874" max="15874" width="13.7109375" style="3" customWidth="1"/>
    <col min="15875" max="15875" width="14.42578125" style="3" customWidth="1"/>
    <col min="15876" max="15876" width="11.28515625" style="3" bestFit="1" customWidth="1"/>
    <col min="15877" max="16128" width="11" style="3"/>
    <col min="16129" max="16129" width="51.42578125" style="3" customWidth="1"/>
    <col min="16130" max="16130" width="13.7109375" style="3" customWidth="1"/>
    <col min="16131" max="16131" width="14.42578125" style="3" customWidth="1"/>
    <col min="16132" max="16132" width="11.28515625" style="3" bestFit="1" customWidth="1"/>
    <col min="16133" max="16384" width="11" style="3"/>
  </cols>
  <sheetData>
    <row r="1" spans="1:4" ht="12.75" customHeight="1">
      <c r="A1" s="735" t="s">
        <v>85</v>
      </c>
      <c r="B1" s="735"/>
      <c r="C1" s="735"/>
    </row>
    <row r="2" spans="1:4">
      <c r="A2" s="736" t="s">
        <v>86</v>
      </c>
      <c r="B2" s="736"/>
      <c r="C2" s="736"/>
    </row>
    <row r="3" spans="1:4">
      <c r="A3" s="228"/>
      <c r="B3" s="231"/>
      <c r="C3" s="231"/>
    </row>
    <row r="4" spans="1:4">
      <c r="A4" s="650" t="s">
        <v>222</v>
      </c>
      <c r="B4" s="650"/>
      <c r="C4" s="650"/>
    </row>
    <row r="5" spans="1:4">
      <c r="A5" s="650" t="s">
        <v>223</v>
      </c>
      <c r="B5" s="650"/>
      <c r="C5" s="650"/>
    </row>
    <row r="6" spans="1:4">
      <c r="A6" s="124"/>
      <c r="B6" s="230"/>
      <c r="C6" s="230"/>
    </row>
    <row r="7" spans="1:4">
      <c r="A7" s="740" t="s">
        <v>224</v>
      </c>
      <c r="B7" s="741"/>
      <c r="C7" s="742"/>
    </row>
    <row r="8" spans="1:4">
      <c r="A8" s="161" t="s">
        <v>252</v>
      </c>
      <c r="B8" s="233">
        <v>1123466000</v>
      </c>
      <c r="C8" s="233"/>
    </row>
    <row r="9" spans="1:4">
      <c r="A9" s="303" t="s">
        <v>225</v>
      </c>
      <c r="B9" s="256">
        <v>25412000</v>
      </c>
      <c r="C9" s="256"/>
    </row>
    <row r="10" spans="1:4" ht="16.5" thickBot="1">
      <c r="A10" s="305" t="s">
        <v>91</v>
      </c>
      <c r="B10" s="258"/>
      <c r="C10" s="259">
        <f>+B9+B8</f>
        <v>1148878000</v>
      </c>
    </row>
    <row r="11" spans="1:4">
      <c r="A11" s="304"/>
      <c r="B11" s="257"/>
      <c r="C11" s="257"/>
    </row>
    <row r="12" spans="1:4">
      <c r="A12" s="743" t="s">
        <v>92</v>
      </c>
      <c r="B12" s="744"/>
      <c r="C12" s="745"/>
    </row>
    <row r="13" spans="1:4">
      <c r="A13" s="743" t="s">
        <v>253</v>
      </c>
      <c r="B13" s="744"/>
      <c r="C13" s="745"/>
    </row>
    <row r="14" spans="1:4">
      <c r="A14" s="161" t="s">
        <v>93</v>
      </c>
      <c r="B14" s="233">
        <v>80517000</v>
      </c>
      <c r="C14" s="233"/>
      <c r="D14" s="5"/>
    </row>
    <row r="15" spans="1:4">
      <c r="A15" s="161" t="s">
        <v>226</v>
      </c>
      <c r="B15" s="233">
        <v>3382000</v>
      </c>
      <c r="C15" s="233"/>
      <c r="D15" s="5"/>
    </row>
    <row r="16" spans="1:4">
      <c r="A16" s="165" t="s">
        <v>94</v>
      </c>
      <c r="B16" s="233">
        <v>20646000</v>
      </c>
      <c r="C16" s="233"/>
    </row>
    <row r="17" spans="1:4">
      <c r="A17" s="165" t="s">
        <v>95</v>
      </c>
      <c r="B17" s="233">
        <v>14504000</v>
      </c>
      <c r="C17" s="233"/>
    </row>
    <row r="18" spans="1:4">
      <c r="A18" s="165" t="s">
        <v>96</v>
      </c>
      <c r="B18" s="233">
        <v>392883000</v>
      </c>
      <c r="C18" s="233"/>
    </row>
    <row r="19" spans="1:4">
      <c r="A19" s="165" t="s">
        <v>97</v>
      </c>
      <c r="B19" s="233">
        <v>87919000</v>
      </c>
      <c r="C19" s="233"/>
    </row>
    <row r="20" spans="1:4">
      <c r="A20" s="165" t="s">
        <v>98</v>
      </c>
      <c r="B20" s="233">
        <v>3010000</v>
      </c>
      <c r="C20" s="233"/>
    </row>
    <row r="21" spans="1:4">
      <c r="A21" s="165" t="s">
        <v>99</v>
      </c>
      <c r="B21" s="233">
        <v>39993000</v>
      </c>
      <c r="C21" s="233"/>
    </row>
    <row r="22" spans="1:4">
      <c r="A22" s="165" t="s">
        <v>100</v>
      </c>
      <c r="B22" s="233">
        <v>9949000</v>
      </c>
      <c r="C22" s="233"/>
    </row>
    <row r="23" spans="1:4">
      <c r="A23" s="165" t="s">
        <v>101</v>
      </c>
      <c r="B23" s="233">
        <v>38666000</v>
      </c>
      <c r="C23" s="233"/>
    </row>
    <row r="24" spans="1:4">
      <c r="A24" s="165" t="s">
        <v>102</v>
      </c>
      <c r="B24" s="233">
        <v>145671000</v>
      </c>
      <c r="C24" s="233"/>
    </row>
    <row r="25" spans="1:4">
      <c r="A25" s="165" t="s">
        <v>103</v>
      </c>
      <c r="B25" s="233">
        <v>873000</v>
      </c>
      <c r="C25" s="233"/>
    </row>
    <row r="26" spans="1:4">
      <c r="A26" s="165" t="s">
        <v>227</v>
      </c>
      <c r="B26" s="233">
        <v>15292000</v>
      </c>
      <c r="C26" s="233"/>
    </row>
    <row r="27" spans="1:4">
      <c r="A27" s="165" t="s">
        <v>104</v>
      </c>
      <c r="B27" s="233">
        <v>145000</v>
      </c>
      <c r="C27" s="233"/>
    </row>
    <row r="28" spans="1:4">
      <c r="A28" s="165" t="s">
        <v>105</v>
      </c>
      <c r="B28" s="233">
        <v>52000</v>
      </c>
      <c r="C28" s="233"/>
    </row>
    <row r="29" spans="1:4">
      <c r="A29" s="165" t="s">
        <v>106</v>
      </c>
      <c r="B29" s="233">
        <v>1806000</v>
      </c>
      <c r="C29" s="233"/>
    </row>
    <row r="30" spans="1:4">
      <c r="A30" s="165" t="s">
        <v>107</v>
      </c>
      <c r="B30" s="233">
        <v>669000</v>
      </c>
      <c r="C30" s="233"/>
    </row>
    <row r="31" spans="1:4">
      <c r="A31" s="165" t="s">
        <v>109</v>
      </c>
      <c r="B31" s="233">
        <v>4463000</v>
      </c>
      <c r="C31" s="233"/>
    </row>
    <row r="32" spans="1:4">
      <c r="A32" s="303" t="s">
        <v>228</v>
      </c>
      <c r="B32" s="256">
        <v>150220000</v>
      </c>
      <c r="C32" s="256"/>
      <c r="D32" s="151"/>
    </row>
    <row r="33" spans="1:4" ht="16.5" thickBot="1">
      <c r="A33" s="306" t="s">
        <v>110</v>
      </c>
      <c r="B33" s="258"/>
      <c r="C33" s="259">
        <f>SUM(B14:B32)</f>
        <v>1010660000</v>
      </c>
      <c r="D33" s="151"/>
    </row>
    <row r="34" spans="1:4">
      <c r="A34" s="307"/>
      <c r="B34" s="260"/>
      <c r="C34" s="260"/>
      <c r="D34" s="151"/>
    </row>
    <row r="35" spans="1:4" ht="16.5" thickBot="1">
      <c r="A35" s="750" t="s">
        <v>111</v>
      </c>
      <c r="B35" s="751"/>
      <c r="C35" s="259">
        <f>C10-C33</f>
        <v>138218000</v>
      </c>
    </row>
    <row r="36" spans="1:4">
      <c r="A36" s="304"/>
      <c r="B36" s="257"/>
      <c r="C36" s="257"/>
    </row>
    <row r="37" spans="1:4">
      <c r="A37" s="746" t="s">
        <v>212</v>
      </c>
      <c r="B37" s="747"/>
      <c r="C37" s="748"/>
    </row>
    <row r="38" spans="1:4">
      <c r="A38" s="166" t="s">
        <v>113</v>
      </c>
      <c r="B38" s="233"/>
      <c r="C38" s="233"/>
    </row>
    <row r="39" spans="1:4">
      <c r="A39" s="161" t="s">
        <v>114</v>
      </c>
      <c r="B39" s="233">
        <v>33785000</v>
      </c>
      <c r="C39" s="233"/>
    </row>
    <row r="40" spans="1:4">
      <c r="A40" s="161" t="s">
        <v>115</v>
      </c>
      <c r="B40" s="233">
        <v>27425000</v>
      </c>
      <c r="C40" s="233"/>
    </row>
    <row r="41" spans="1:4">
      <c r="A41" s="161" t="s">
        <v>116</v>
      </c>
      <c r="B41" s="233">
        <v>2884000</v>
      </c>
      <c r="C41" s="233"/>
    </row>
    <row r="42" spans="1:4">
      <c r="A42" s="161" t="s">
        <v>117</v>
      </c>
      <c r="B42" s="233">
        <v>2350000</v>
      </c>
      <c r="C42" s="233"/>
    </row>
    <row r="43" spans="1:4">
      <c r="A43" s="161" t="s">
        <v>118</v>
      </c>
      <c r="B43" s="233">
        <v>1222000</v>
      </c>
      <c r="C43" s="233"/>
    </row>
    <row r="44" spans="1:4">
      <c r="A44" s="161" t="s">
        <v>119</v>
      </c>
      <c r="B44" s="233">
        <v>1920000</v>
      </c>
      <c r="C44" s="233"/>
    </row>
    <row r="45" spans="1:4">
      <c r="A45" s="161" t="s">
        <v>97</v>
      </c>
      <c r="B45" s="233">
        <v>505000</v>
      </c>
      <c r="C45" s="233"/>
    </row>
    <row r="46" spans="1:4">
      <c r="A46" s="161" t="s">
        <v>229</v>
      </c>
      <c r="B46" s="233">
        <v>268000</v>
      </c>
      <c r="C46" s="233"/>
    </row>
    <row r="47" spans="1:4">
      <c r="A47" s="161" t="s">
        <v>230</v>
      </c>
      <c r="B47" s="233">
        <v>36000</v>
      </c>
      <c r="C47" s="233"/>
    </row>
    <row r="48" spans="1:4">
      <c r="A48" s="161" t="s">
        <v>231</v>
      </c>
      <c r="B48" s="233">
        <v>733000</v>
      </c>
      <c r="C48" s="233"/>
    </row>
    <row r="49" spans="1:4" ht="16.5" thickBot="1">
      <c r="A49" s="303" t="s">
        <v>120</v>
      </c>
      <c r="B49" s="302">
        <f>4225000+1469000</f>
        <v>5694000</v>
      </c>
      <c r="C49" s="256"/>
    </row>
    <row r="50" spans="1:4">
      <c r="A50" s="749" t="s">
        <v>121</v>
      </c>
      <c r="B50" s="749"/>
      <c r="C50" s="270">
        <f>+SUM(B39:B49)</f>
        <v>76822000</v>
      </c>
    </row>
    <row r="51" spans="1:4">
      <c r="A51" s="308"/>
      <c r="B51" s="257"/>
      <c r="C51" s="262"/>
    </row>
    <row r="52" spans="1:4">
      <c r="A52" s="743" t="s">
        <v>122</v>
      </c>
      <c r="B52" s="744"/>
      <c r="C52" s="745"/>
    </row>
    <row r="53" spans="1:4">
      <c r="A53" s="161" t="s">
        <v>117</v>
      </c>
      <c r="B53" s="233">
        <v>900000</v>
      </c>
      <c r="C53" s="233"/>
    </row>
    <row r="54" spans="1:4">
      <c r="A54" s="161" t="s">
        <v>118</v>
      </c>
      <c r="B54" s="233">
        <v>20000</v>
      </c>
      <c r="C54" s="233"/>
    </row>
    <row r="55" spans="1:4" ht="16.5" thickBot="1">
      <c r="A55" s="161" t="s">
        <v>120</v>
      </c>
      <c r="B55" s="302">
        <v>305000</v>
      </c>
      <c r="C55" s="233"/>
    </row>
    <row r="56" spans="1:4">
      <c r="A56" s="166" t="s">
        <v>259</v>
      </c>
      <c r="B56" s="257"/>
      <c r="C56" s="234">
        <f>B55+B54+B53</f>
        <v>1225000</v>
      </c>
    </row>
    <row r="57" spans="1:4">
      <c r="A57" s="309"/>
      <c r="B57" s="256"/>
      <c r="C57" s="256"/>
    </row>
    <row r="58" spans="1:4" ht="16.5" thickBot="1">
      <c r="A58" s="750" t="s">
        <v>213</v>
      </c>
      <c r="B58" s="751"/>
      <c r="C58" s="259">
        <f>+C50+C56</f>
        <v>78047000</v>
      </c>
      <c r="D58" s="151"/>
    </row>
    <row r="59" spans="1:4">
      <c r="A59" s="307"/>
      <c r="B59" s="260"/>
      <c r="C59" s="260"/>
    </row>
    <row r="60" spans="1:4" ht="16.5" thickBot="1">
      <c r="A60" s="750" t="s">
        <v>7</v>
      </c>
      <c r="B60" s="751"/>
      <c r="C60" s="259">
        <f>+C35-C58</f>
        <v>60171000</v>
      </c>
    </row>
    <row r="61" spans="1:4">
      <c r="A61" s="308"/>
      <c r="B61" s="257"/>
      <c r="C61" s="262"/>
    </row>
    <row r="62" spans="1:4">
      <c r="A62" s="737" t="s">
        <v>85</v>
      </c>
      <c r="B62" s="737"/>
      <c r="C62" s="737"/>
    </row>
    <row r="63" spans="1:4">
      <c r="A63" s="738" t="s">
        <v>86</v>
      </c>
      <c r="B63" s="738"/>
      <c r="C63" s="738"/>
    </row>
    <row r="64" spans="1:4">
      <c r="A64" s="168"/>
      <c r="B64" s="234"/>
      <c r="C64" s="234"/>
    </row>
    <row r="65" spans="1:5">
      <c r="A65" s="739" t="s">
        <v>222</v>
      </c>
      <c r="B65" s="739"/>
      <c r="C65" s="739"/>
    </row>
    <row r="66" spans="1:5">
      <c r="A66" s="739" t="s">
        <v>223</v>
      </c>
      <c r="B66" s="739"/>
      <c r="C66" s="739"/>
    </row>
    <row r="67" spans="1:5">
      <c r="A67" s="166"/>
      <c r="B67" s="233"/>
      <c r="C67" s="234"/>
    </row>
    <row r="68" spans="1:5">
      <c r="A68" s="743" t="s">
        <v>8</v>
      </c>
      <c r="B68" s="744"/>
      <c r="C68" s="745"/>
    </row>
    <row r="69" spans="1:5">
      <c r="A69" s="161" t="s">
        <v>232</v>
      </c>
      <c r="B69" s="233">
        <v>713000</v>
      </c>
      <c r="C69" s="234"/>
    </row>
    <row r="70" spans="1:5">
      <c r="A70" s="161" t="s">
        <v>120</v>
      </c>
      <c r="B70" s="233">
        <v>10000</v>
      </c>
      <c r="C70" s="234"/>
    </row>
    <row r="71" spans="1:5">
      <c r="A71" s="161" t="s">
        <v>125</v>
      </c>
      <c r="B71" s="233">
        <v>32000</v>
      </c>
      <c r="C71" s="234"/>
    </row>
    <row r="72" spans="1:5" ht="16.5" thickBot="1">
      <c r="A72" s="161" t="s">
        <v>233</v>
      </c>
      <c r="B72" s="302">
        <v>1000</v>
      </c>
      <c r="C72" s="234"/>
    </row>
    <row r="73" spans="1:5">
      <c r="A73" s="166" t="s">
        <v>214</v>
      </c>
      <c r="B73" s="262"/>
      <c r="C73" s="234">
        <f>B71+B70+B69+B72</f>
        <v>756000</v>
      </c>
    </row>
    <row r="74" spans="1:5">
      <c r="A74" s="165"/>
      <c r="B74" s="233"/>
      <c r="C74" s="233"/>
    </row>
    <row r="75" spans="1:5">
      <c r="A75" s="743" t="s">
        <v>9</v>
      </c>
      <c r="B75" s="744"/>
      <c r="C75" s="745"/>
    </row>
    <row r="76" spans="1:5">
      <c r="A76" s="165" t="s">
        <v>242</v>
      </c>
      <c r="B76" s="233">
        <v>9709000</v>
      </c>
      <c r="C76" s="233"/>
    </row>
    <row r="77" spans="1:5" ht="16.5" thickBot="1">
      <c r="A77" s="165" t="s">
        <v>260</v>
      </c>
      <c r="B77" s="302">
        <v>3374000</v>
      </c>
      <c r="C77" s="233"/>
    </row>
    <row r="78" spans="1:5">
      <c r="A78" s="166" t="s">
        <v>126</v>
      </c>
      <c r="B78" s="262"/>
      <c r="C78" s="234">
        <f>+B76+B77</f>
        <v>13083000</v>
      </c>
      <c r="E78" s="249"/>
    </row>
    <row r="79" spans="1:5">
      <c r="A79" s="310"/>
      <c r="B79" s="256"/>
      <c r="C79" s="261"/>
      <c r="E79" s="249"/>
    </row>
    <row r="80" spans="1:5" ht="16.5" thickBot="1">
      <c r="A80" s="750" t="s">
        <v>314</v>
      </c>
      <c r="B80" s="751"/>
      <c r="C80" s="259">
        <f>C60+C73-C78</f>
        <v>47844000</v>
      </c>
      <c r="D80" s="151"/>
      <c r="E80" s="152"/>
    </row>
    <row r="81" spans="1:7">
      <c r="A81" s="308"/>
      <c r="B81" s="257"/>
      <c r="C81" s="262"/>
    </row>
    <row r="82" spans="1:7">
      <c r="A82" s="752" t="s">
        <v>258</v>
      </c>
      <c r="B82" s="753"/>
      <c r="C82" s="754"/>
      <c r="G82" s="154"/>
    </row>
    <row r="83" spans="1:7" ht="16.5" thickBot="1">
      <c r="A83" s="170" t="s">
        <v>128</v>
      </c>
      <c r="B83" s="302">
        <f>+C80*34%+40</f>
        <v>16267000.000000002</v>
      </c>
      <c r="C83" s="234"/>
      <c r="D83" s="156"/>
      <c r="E83" s="154"/>
      <c r="G83" s="157"/>
    </row>
    <row r="84" spans="1:7">
      <c r="A84" s="252" t="s">
        <v>261</v>
      </c>
      <c r="B84" s="262"/>
      <c r="C84" s="234">
        <f>+B83</f>
        <v>16267000.000000002</v>
      </c>
      <c r="G84" s="154"/>
    </row>
    <row r="85" spans="1:7">
      <c r="A85" s="310"/>
      <c r="B85" s="256"/>
      <c r="C85" s="261"/>
      <c r="D85" s="151"/>
    </row>
    <row r="86" spans="1:7" ht="16.5" thickBot="1">
      <c r="A86" s="750" t="s">
        <v>14</v>
      </c>
      <c r="B86" s="751"/>
      <c r="C86" s="259">
        <f>C80-C84</f>
        <v>31577000</v>
      </c>
      <c r="D86" s="151"/>
    </row>
    <row r="87" spans="1:7">
      <c r="A87" s="304"/>
      <c r="B87" s="257"/>
      <c r="C87" s="257"/>
    </row>
    <row r="88" spans="1:7">
      <c r="A88" s="124"/>
      <c r="B88" s="230"/>
      <c r="C88" s="230"/>
      <c r="D88" s="151"/>
    </row>
    <row r="89" spans="1:7">
      <c r="A89" s="124"/>
      <c r="B89" s="230"/>
      <c r="C89" s="230"/>
    </row>
    <row r="90" spans="1:7">
      <c r="A90" s="124"/>
      <c r="B90" s="230"/>
      <c r="C90" s="230"/>
    </row>
    <row r="91" spans="1:7">
      <c r="A91" s="246" t="s">
        <v>130</v>
      </c>
      <c r="B91" s="732" t="s">
        <v>131</v>
      </c>
      <c r="C91" s="732"/>
    </row>
    <row r="92" spans="1:7">
      <c r="A92" s="158" t="s">
        <v>132</v>
      </c>
      <c r="B92" s="731" t="s">
        <v>133</v>
      </c>
      <c r="C92" s="731"/>
    </row>
    <row r="93" spans="1:7">
      <c r="A93" s="153" t="s">
        <v>251</v>
      </c>
      <c r="B93" s="732" t="s">
        <v>134</v>
      </c>
      <c r="C93" s="732"/>
    </row>
    <row r="94" spans="1:7">
      <c r="A94" s="148"/>
      <c r="B94" s="733"/>
      <c r="C94" s="733"/>
    </row>
    <row r="95" spans="1:7">
      <c r="A95" s="11"/>
      <c r="B95" s="734"/>
      <c r="C95" s="734"/>
    </row>
    <row r="96" spans="1:7">
      <c r="B96" s="232"/>
      <c r="C96" s="232"/>
    </row>
    <row r="97" spans="1:3" s="159" customFormat="1">
      <c r="A97" s="3"/>
      <c r="B97" s="171"/>
      <c r="C97" s="171"/>
    </row>
    <row r="98" spans="1:3" s="159" customFormat="1">
      <c r="A98" s="3"/>
      <c r="B98" s="232"/>
      <c r="C98" s="232"/>
    </row>
    <row r="99" spans="1:3" s="159" customFormat="1">
      <c r="A99" s="3"/>
      <c r="B99" s="171"/>
      <c r="C99" s="171"/>
    </row>
    <row r="100" spans="1:3" s="159" customFormat="1">
      <c r="A100" s="3"/>
      <c r="B100" s="171"/>
      <c r="C100" s="171"/>
    </row>
    <row r="101" spans="1:3" s="159" customFormat="1">
      <c r="A101" s="3"/>
      <c r="B101" s="171"/>
      <c r="C101" s="171"/>
    </row>
  </sheetData>
  <mergeCells count="27">
    <mergeCell ref="A86:B86"/>
    <mergeCell ref="A60:B60"/>
    <mergeCell ref="A58:B58"/>
    <mergeCell ref="A68:C68"/>
    <mergeCell ref="A75:C75"/>
    <mergeCell ref="A80:B80"/>
    <mergeCell ref="A37:C37"/>
    <mergeCell ref="A50:B50"/>
    <mergeCell ref="A35:B35"/>
    <mergeCell ref="A52:C52"/>
    <mergeCell ref="A82:C82"/>
    <mergeCell ref="B92:C92"/>
    <mergeCell ref="B93:C93"/>
    <mergeCell ref="B94:C94"/>
    <mergeCell ref="B95:C95"/>
    <mergeCell ref="A1:C1"/>
    <mergeCell ref="A2:C2"/>
    <mergeCell ref="A4:C4"/>
    <mergeCell ref="A5:C5"/>
    <mergeCell ref="B91:C91"/>
    <mergeCell ref="A62:C62"/>
    <mergeCell ref="A63:C63"/>
    <mergeCell ref="A65:C65"/>
    <mergeCell ref="A66:C66"/>
    <mergeCell ref="A7:C7"/>
    <mergeCell ref="A12:C12"/>
    <mergeCell ref="A13:C13"/>
  </mergeCells>
  <printOptions horizontalCentered="1"/>
  <pageMargins left="0.70866141732283472" right="0.70866141732283472" top="0.74803149606299213" bottom="0.74803149606299213" header="0.31496062992125984" footer="0.31496062992125984"/>
  <pageSetup scale="59" orientation="portrait" r:id="rId1"/>
  <rowBreaks count="1" manualBreakCount="1">
    <brk id="61" max="16383"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04"/>
  <sheetViews>
    <sheetView zoomScaleNormal="100" zoomScaleSheetLayoutView="80" workbookViewId="0">
      <selection activeCell="B57" sqref="B57"/>
    </sheetView>
  </sheetViews>
  <sheetFormatPr baseColWidth="10" defaultColWidth="10.7109375" defaultRowHeight="15.75"/>
  <cols>
    <col min="1" max="1" width="66.42578125" style="14" customWidth="1"/>
    <col min="2" max="2" width="25.42578125" style="271" customWidth="1"/>
    <col min="3" max="3" width="18" style="271" customWidth="1"/>
    <col min="4" max="4" width="16.140625" style="3" customWidth="1"/>
    <col min="5" max="5" width="13.85546875" style="3" bestFit="1" customWidth="1"/>
    <col min="6" max="6" width="11.28515625" style="3" bestFit="1" customWidth="1"/>
    <col min="7" max="7" width="15.140625" style="3" customWidth="1"/>
    <col min="8" max="8" width="13" style="3" customWidth="1"/>
    <col min="9" max="256" width="11" style="3"/>
    <col min="257" max="257" width="49" style="3" customWidth="1"/>
    <col min="258" max="258" width="19.7109375" style="3" customWidth="1"/>
    <col min="259" max="259" width="17.5703125" style="3" customWidth="1"/>
    <col min="260" max="512" width="11" style="3"/>
    <col min="513" max="513" width="49" style="3" customWidth="1"/>
    <col min="514" max="514" width="19.7109375" style="3" customWidth="1"/>
    <col min="515" max="515" width="17.5703125" style="3" customWidth="1"/>
    <col min="516" max="768" width="11" style="3"/>
    <col min="769" max="769" width="49" style="3" customWidth="1"/>
    <col min="770" max="770" width="19.7109375" style="3" customWidth="1"/>
    <col min="771" max="771" width="17.5703125" style="3" customWidth="1"/>
    <col min="772" max="1024" width="11" style="3"/>
    <col min="1025" max="1025" width="49" style="3" customWidth="1"/>
    <col min="1026" max="1026" width="19.7109375" style="3" customWidth="1"/>
    <col min="1027" max="1027" width="17.5703125" style="3" customWidth="1"/>
    <col min="1028" max="1280" width="11" style="3"/>
    <col min="1281" max="1281" width="49" style="3" customWidth="1"/>
    <col min="1282" max="1282" width="19.7109375" style="3" customWidth="1"/>
    <col min="1283" max="1283" width="17.5703125" style="3" customWidth="1"/>
    <col min="1284" max="1536" width="11" style="3"/>
    <col min="1537" max="1537" width="49" style="3" customWidth="1"/>
    <col min="1538" max="1538" width="19.7109375" style="3" customWidth="1"/>
    <col min="1539" max="1539" width="17.5703125" style="3" customWidth="1"/>
    <col min="1540" max="1792" width="11" style="3"/>
    <col min="1793" max="1793" width="49" style="3" customWidth="1"/>
    <col min="1794" max="1794" width="19.7109375" style="3" customWidth="1"/>
    <col min="1795" max="1795" width="17.5703125" style="3" customWidth="1"/>
    <col min="1796" max="2048" width="11" style="3"/>
    <col min="2049" max="2049" width="49" style="3" customWidth="1"/>
    <col min="2050" max="2050" width="19.7109375" style="3" customWidth="1"/>
    <col min="2051" max="2051" width="17.5703125" style="3" customWidth="1"/>
    <col min="2052" max="2304" width="11" style="3"/>
    <col min="2305" max="2305" width="49" style="3" customWidth="1"/>
    <col min="2306" max="2306" width="19.7109375" style="3" customWidth="1"/>
    <col min="2307" max="2307" width="17.5703125" style="3" customWidth="1"/>
    <col min="2308" max="2560" width="11" style="3"/>
    <col min="2561" max="2561" width="49" style="3" customWidth="1"/>
    <col min="2562" max="2562" width="19.7109375" style="3" customWidth="1"/>
    <col min="2563" max="2563" width="17.5703125" style="3" customWidth="1"/>
    <col min="2564" max="2816" width="11" style="3"/>
    <col min="2817" max="2817" width="49" style="3" customWidth="1"/>
    <col min="2818" max="2818" width="19.7109375" style="3" customWidth="1"/>
    <col min="2819" max="2819" width="17.5703125" style="3" customWidth="1"/>
    <col min="2820" max="3072" width="11" style="3"/>
    <col min="3073" max="3073" width="49" style="3" customWidth="1"/>
    <col min="3074" max="3074" width="19.7109375" style="3" customWidth="1"/>
    <col min="3075" max="3075" width="17.5703125" style="3" customWidth="1"/>
    <col min="3076" max="3328" width="11" style="3"/>
    <col min="3329" max="3329" width="49" style="3" customWidth="1"/>
    <col min="3330" max="3330" width="19.7109375" style="3" customWidth="1"/>
    <col min="3331" max="3331" width="17.5703125" style="3" customWidth="1"/>
    <col min="3332" max="3584" width="11" style="3"/>
    <col min="3585" max="3585" width="49" style="3" customWidth="1"/>
    <col min="3586" max="3586" width="19.7109375" style="3" customWidth="1"/>
    <col min="3587" max="3587" width="17.5703125" style="3" customWidth="1"/>
    <col min="3588" max="3840" width="11" style="3"/>
    <col min="3841" max="3841" width="49" style="3" customWidth="1"/>
    <col min="3842" max="3842" width="19.7109375" style="3" customWidth="1"/>
    <col min="3843" max="3843" width="17.5703125" style="3" customWidth="1"/>
    <col min="3844" max="4096" width="11" style="3"/>
    <col min="4097" max="4097" width="49" style="3" customWidth="1"/>
    <col min="4098" max="4098" width="19.7109375" style="3" customWidth="1"/>
    <col min="4099" max="4099" width="17.5703125" style="3" customWidth="1"/>
    <col min="4100" max="4352" width="11" style="3"/>
    <col min="4353" max="4353" width="49" style="3" customWidth="1"/>
    <col min="4354" max="4354" width="19.7109375" style="3" customWidth="1"/>
    <col min="4355" max="4355" width="17.5703125" style="3" customWidth="1"/>
    <col min="4356" max="4608" width="11" style="3"/>
    <col min="4609" max="4609" width="49" style="3" customWidth="1"/>
    <col min="4610" max="4610" width="19.7109375" style="3" customWidth="1"/>
    <col min="4611" max="4611" width="17.5703125" style="3" customWidth="1"/>
    <col min="4612" max="4864" width="11" style="3"/>
    <col min="4865" max="4865" width="49" style="3" customWidth="1"/>
    <col min="4866" max="4866" width="19.7109375" style="3" customWidth="1"/>
    <col min="4867" max="4867" width="17.5703125" style="3" customWidth="1"/>
    <col min="4868" max="5120" width="11" style="3"/>
    <col min="5121" max="5121" width="49" style="3" customWidth="1"/>
    <col min="5122" max="5122" width="19.7109375" style="3" customWidth="1"/>
    <col min="5123" max="5123" width="17.5703125" style="3" customWidth="1"/>
    <col min="5124" max="5376" width="11" style="3"/>
    <col min="5377" max="5377" width="49" style="3" customWidth="1"/>
    <col min="5378" max="5378" width="19.7109375" style="3" customWidth="1"/>
    <col min="5379" max="5379" width="17.5703125" style="3" customWidth="1"/>
    <col min="5380" max="5632" width="11" style="3"/>
    <col min="5633" max="5633" width="49" style="3" customWidth="1"/>
    <col min="5634" max="5634" width="19.7109375" style="3" customWidth="1"/>
    <col min="5635" max="5635" width="17.5703125" style="3" customWidth="1"/>
    <col min="5636" max="5888" width="11" style="3"/>
    <col min="5889" max="5889" width="49" style="3" customWidth="1"/>
    <col min="5890" max="5890" width="19.7109375" style="3" customWidth="1"/>
    <col min="5891" max="5891" width="17.5703125" style="3" customWidth="1"/>
    <col min="5892" max="6144" width="11" style="3"/>
    <col min="6145" max="6145" width="49" style="3" customWidth="1"/>
    <col min="6146" max="6146" width="19.7109375" style="3" customWidth="1"/>
    <col min="6147" max="6147" width="17.5703125" style="3" customWidth="1"/>
    <col min="6148" max="6400" width="11" style="3"/>
    <col min="6401" max="6401" width="49" style="3" customWidth="1"/>
    <col min="6402" max="6402" width="19.7109375" style="3" customWidth="1"/>
    <col min="6403" max="6403" width="17.5703125" style="3" customWidth="1"/>
    <col min="6404" max="6656" width="11" style="3"/>
    <col min="6657" max="6657" width="49" style="3" customWidth="1"/>
    <col min="6658" max="6658" width="19.7109375" style="3" customWidth="1"/>
    <col min="6659" max="6659" width="17.5703125" style="3" customWidth="1"/>
    <col min="6660" max="6912" width="11" style="3"/>
    <col min="6913" max="6913" width="49" style="3" customWidth="1"/>
    <col min="6914" max="6914" width="19.7109375" style="3" customWidth="1"/>
    <col min="6915" max="6915" width="17.5703125" style="3" customWidth="1"/>
    <col min="6916" max="7168" width="11" style="3"/>
    <col min="7169" max="7169" width="49" style="3" customWidth="1"/>
    <col min="7170" max="7170" width="19.7109375" style="3" customWidth="1"/>
    <col min="7171" max="7171" width="17.5703125" style="3" customWidth="1"/>
    <col min="7172" max="7424" width="11" style="3"/>
    <col min="7425" max="7425" width="49" style="3" customWidth="1"/>
    <col min="7426" max="7426" width="19.7109375" style="3" customWidth="1"/>
    <col min="7427" max="7427" width="17.5703125" style="3" customWidth="1"/>
    <col min="7428" max="7680" width="11" style="3"/>
    <col min="7681" max="7681" width="49" style="3" customWidth="1"/>
    <col min="7682" max="7682" width="19.7109375" style="3" customWidth="1"/>
    <col min="7683" max="7683" width="17.5703125" style="3" customWidth="1"/>
    <col min="7684" max="7936" width="11" style="3"/>
    <col min="7937" max="7937" width="49" style="3" customWidth="1"/>
    <col min="7938" max="7938" width="19.7109375" style="3" customWidth="1"/>
    <col min="7939" max="7939" width="17.5703125" style="3" customWidth="1"/>
    <col min="7940" max="8192" width="11" style="3"/>
    <col min="8193" max="8193" width="49" style="3" customWidth="1"/>
    <col min="8194" max="8194" width="19.7109375" style="3" customWidth="1"/>
    <col min="8195" max="8195" width="17.5703125" style="3" customWidth="1"/>
    <col min="8196" max="8448" width="11" style="3"/>
    <col min="8449" max="8449" width="49" style="3" customWidth="1"/>
    <col min="8450" max="8450" width="19.7109375" style="3" customWidth="1"/>
    <col min="8451" max="8451" width="17.5703125" style="3" customWidth="1"/>
    <col min="8452" max="8704" width="11" style="3"/>
    <col min="8705" max="8705" width="49" style="3" customWidth="1"/>
    <col min="8706" max="8706" width="19.7109375" style="3" customWidth="1"/>
    <col min="8707" max="8707" width="17.5703125" style="3" customWidth="1"/>
    <col min="8708" max="8960" width="11" style="3"/>
    <col min="8961" max="8961" width="49" style="3" customWidth="1"/>
    <col min="8962" max="8962" width="19.7109375" style="3" customWidth="1"/>
    <col min="8963" max="8963" width="17.5703125" style="3" customWidth="1"/>
    <col min="8964" max="9216" width="11" style="3"/>
    <col min="9217" max="9217" width="49" style="3" customWidth="1"/>
    <col min="9218" max="9218" width="19.7109375" style="3" customWidth="1"/>
    <col min="9219" max="9219" width="17.5703125" style="3" customWidth="1"/>
    <col min="9220" max="9472" width="11" style="3"/>
    <col min="9473" max="9473" width="49" style="3" customWidth="1"/>
    <col min="9474" max="9474" width="19.7109375" style="3" customWidth="1"/>
    <col min="9475" max="9475" width="17.5703125" style="3" customWidth="1"/>
    <col min="9476" max="9728" width="11" style="3"/>
    <col min="9729" max="9729" width="49" style="3" customWidth="1"/>
    <col min="9730" max="9730" width="19.7109375" style="3" customWidth="1"/>
    <col min="9731" max="9731" width="17.5703125" style="3" customWidth="1"/>
    <col min="9732" max="9984" width="11" style="3"/>
    <col min="9985" max="9985" width="49" style="3" customWidth="1"/>
    <col min="9986" max="9986" width="19.7109375" style="3" customWidth="1"/>
    <col min="9987" max="9987" width="17.5703125" style="3" customWidth="1"/>
    <col min="9988" max="10240" width="11" style="3"/>
    <col min="10241" max="10241" width="49" style="3" customWidth="1"/>
    <col min="10242" max="10242" width="19.7109375" style="3" customWidth="1"/>
    <col min="10243" max="10243" width="17.5703125" style="3" customWidth="1"/>
    <col min="10244" max="10496" width="11" style="3"/>
    <col min="10497" max="10497" width="49" style="3" customWidth="1"/>
    <col min="10498" max="10498" width="19.7109375" style="3" customWidth="1"/>
    <col min="10499" max="10499" width="17.5703125" style="3" customWidth="1"/>
    <col min="10500" max="10752" width="11" style="3"/>
    <col min="10753" max="10753" width="49" style="3" customWidth="1"/>
    <col min="10754" max="10754" width="19.7109375" style="3" customWidth="1"/>
    <col min="10755" max="10755" width="17.5703125" style="3" customWidth="1"/>
    <col min="10756" max="11008" width="11" style="3"/>
    <col min="11009" max="11009" width="49" style="3" customWidth="1"/>
    <col min="11010" max="11010" width="19.7109375" style="3" customWidth="1"/>
    <col min="11011" max="11011" width="17.5703125" style="3" customWidth="1"/>
    <col min="11012" max="11264" width="11" style="3"/>
    <col min="11265" max="11265" width="49" style="3" customWidth="1"/>
    <col min="11266" max="11266" width="19.7109375" style="3" customWidth="1"/>
    <col min="11267" max="11267" width="17.5703125" style="3" customWidth="1"/>
    <col min="11268" max="11520" width="11" style="3"/>
    <col min="11521" max="11521" width="49" style="3" customWidth="1"/>
    <col min="11522" max="11522" width="19.7109375" style="3" customWidth="1"/>
    <col min="11523" max="11523" width="17.5703125" style="3" customWidth="1"/>
    <col min="11524" max="11776" width="11" style="3"/>
    <col min="11777" max="11777" width="49" style="3" customWidth="1"/>
    <col min="11778" max="11778" width="19.7109375" style="3" customWidth="1"/>
    <col min="11779" max="11779" width="17.5703125" style="3" customWidth="1"/>
    <col min="11780" max="12032" width="11" style="3"/>
    <col min="12033" max="12033" width="49" style="3" customWidth="1"/>
    <col min="12034" max="12034" width="19.7109375" style="3" customWidth="1"/>
    <col min="12035" max="12035" width="17.5703125" style="3" customWidth="1"/>
    <col min="12036" max="12288" width="11" style="3"/>
    <col min="12289" max="12289" width="49" style="3" customWidth="1"/>
    <col min="12290" max="12290" width="19.7109375" style="3" customWidth="1"/>
    <col min="12291" max="12291" width="17.5703125" style="3" customWidth="1"/>
    <col min="12292" max="12544" width="11" style="3"/>
    <col min="12545" max="12545" width="49" style="3" customWidth="1"/>
    <col min="12546" max="12546" width="19.7109375" style="3" customWidth="1"/>
    <col min="12547" max="12547" width="17.5703125" style="3" customWidth="1"/>
    <col min="12548" max="12800" width="11" style="3"/>
    <col min="12801" max="12801" width="49" style="3" customWidth="1"/>
    <col min="12802" max="12802" width="19.7109375" style="3" customWidth="1"/>
    <col min="12803" max="12803" width="17.5703125" style="3" customWidth="1"/>
    <col min="12804" max="13056" width="11" style="3"/>
    <col min="13057" max="13057" width="49" style="3" customWidth="1"/>
    <col min="13058" max="13058" width="19.7109375" style="3" customWidth="1"/>
    <col min="13059" max="13059" width="17.5703125" style="3" customWidth="1"/>
    <col min="13060" max="13312" width="11" style="3"/>
    <col min="13313" max="13313" width="49" style="3" customWidth="1"/>
    <col min="13314" max="13314" width="19.7109375" style="3" customWidth="1"/>
    <col min="13315" max="13315" width="17.5703125" style="3" customWidth="1"/>
    <col min="13316" max="13568" width="11" style="3"/>
    <col min="13569" max="13569" width="49" style="3" customWidth="1"/>
    <col min="13570" max="13570" width="19.7109375" style="3" customWidth="1"/>
    <col min="13571" max="13571" width="17.5703125" style="3" customWidth="1"/>
    <col min="13572" max="13824" width="11" style="3"/>
    <col min="13825" max="13825" width="49" style="3" customWidth="1"/>
    <col min="13826" max="13826" width="19.7109375" style="3" customWidth="1"/>
    <col min="13827" max="13827" width="17.5703125" style="3" customWidth="1"/>
    <col min="13828" max="14080" width="11" style="3"/>
    <col min="14081" max="14081" width="49" style="3" customWidth="1"/>
    <col min="14082" max="14082" width="19.7109375" style="3" customWidth="1"/>
    <col min="14083" max="14083" width="17.5703125" style="3" customWidth="1"/>
    <col min="14084" max="14336" width="11" style="3"/>
    <col min="14337" max="14337" width="49" style="3" customWidth="1"/>
    <col min="14338" max="14338" width="19.7109375" style="3" customWidth="1"/>
    <col min="14339" max="14339" width="17.5703125" style="3" customWidth="1"/>
    <col min="14340" max="14592" width="11" style="3"/>
    <col min="14593" max="14593" width="49" style="3" customWidth="1"/>
    <col min="14594" max="14594" width="19.7109375" style="3" customWidth="1"/>
    <col min="14595" max="14595" width="17.5703125" style="3" customWidth="1"/>
    <col min="14596" max="14848" width="11" style="3"/>
    <col min="14849" max="14849" width="49" style="3" customWidth="1"/>
    <col min="14850" max="14850" width="19.7109375" style="3" customWidth="1"/>
    <col min="14851" max="14851" width="17.5703125" style="3" customWidth="1"/>
    <col min="14852" max="15104" width="11" style="3"/>
    <col min="15105" max="15105" width="49" style="3" customWidth="1"/>
    <col min="15106" max="15106" width="19.7109375" style="3" customWidth="1"/>
    <col min="15107" max="15107" width="17.5703125" style="3" customWidth="1"/>
    <col min="15108" max="15360" width="11" style="3"/>
    <col min="15361" max="15361" width="49" style="3" customWidth="1"/>
    <col min="15362" max="15362" width="19.7109375" style="3" customWidth="1"/>
    <col min="15363" max="15363" width="17.5703125" style="3" customWidth="1"/>
    <col min="15364" max="15616" width="11" style="3"/>
    <col min="15617" max="15617" width="49" style="3" customWidth="1"/>
    <col min="15618" max="15618" width="19.7109375" style="3" customWidth="1"/>
    <col min="15619" max="15619" width="17.5703125" style="3" customWidth="1"/>
    <col min="15620" max="15872" width="11" style="3"/>
    <col min="15873" max="15873" width="49" style="3" customWidth="1"/>
    <col min="15874" max="15874" width="19.7109375" style="3" customWidth="1"/>
    <col min="15875" max="15875" width="17.5703125" style="3" customWidth="1"/>
    <col min="15876" max="16128" width="11" style="3"/>
    <col min="16129" max="16129" width="49" style="3" customWidth="1"/>
    <col min="16130" max="16130" width="19.7109375" style="3" customWidth="1"/>
    <col min="16131" max="16131" width="17.5703125" style="3" customWidth="1"/>
    <col min="16132" max="16384" width="11" style="3"/>
  </cols>
  <sheetData>
    <row r="1" spans="1:3" s="172" customFormat="1" ht="12.75" customHeight="1">
      <c r="A1" s="721" t="s">
        <v>85</v>
      </c>
      <c r="B1" s="721"/>
      <c r="C1" s="721"/>
    </row>
    <row r="2" spans="1:3" s="172" customFormat="1">
      <c r="A2" s="722" t="s">
        <v>86</v>
      </c>
      <c r="B2" s="722"/>
      <c r="C2" s="722"/>
    </row>
    <row r="3" spans="1:3" s="172" customFormat="1">
      <c r="A3" s="263"/>
      <c r="B3" s="270"/>
      <c r="C3" s="270"/>
    </row>
    <row r="4" spans="1:3" s="172" customFormat="1">
      <c r="A4" s="758" t="s">
        <v>234</v>
      </c>
      <c r="B4" s="758"/>
      <c r="C4" s="758"/>
    </row>
    <row r="5" spans="1:3" s="172" customFormat="1">
      <c r="A5" s="650" t="s">
        <v>235</v>
      </c>
      <c r="B5" s="650"/>
      <c r="C5" s="650"/>
    </row>
    <row r="6" spans="1:3" s="172" customFormat="1">
      <c r="A6" s="263"/>
      <c r="B6" s="270"/>
      <c r="C6" s="270"/>
    </row>
    <row r="7" spans="1:3" s="172" customFormat="1">
      <c r="A7" s="650" t="s">
        <v>137</v>
      </c>
      <c r="B7" s="650"/>
      <c r="C7" s="650"/>
    </row>
    <row r="8" spans="1:3" s="172" customFormat="1">
      <c r="A8" s="755" t="s">
        <v>138</v>
      </c>
      <c r="B8" s="756"/>
      <c r="C8" s="757"/>
    </row>
    <row r="9" spans="1:3" s="172" customFormat="1">
      <c r="A9" s="765" t="s">
        <v>139</v>
      </c>
      <c r="B9" s="765"/>
      <c r="C9" s="765"/>
    </row>
    <row r="10" spans="1:3" s="172" customFormat="1">
      <c r="A10" s="14" t="s">
        <v>140</v>
      </c>
      <c r="B10" s="271">
        <v>2419000</v>
      </c>
      <c r="C10" s="271"/>
    </row>
    <row r="11" spans="1:3" s="172" customFormat="1" ht="16.5" thickBot="1">
      <c r="A11" s="14" t="s">
        <v>141</v>
      </c>
      <c r="B11" s="273">
        <v>10855000</v>
      </c>
      <c r="C11" s="271"/>
    </row>
    <row r="12" spans="1:3" s="172" customFormat="1">
      <c r="A12" s="20" t="s">
        <v>142</v>
      </c>
      <c r="B12" s="271"/>
      <c r="C12" s="270">
        <f>+B10+B11</f>
        <v>13274000</v>
      </c>
    </row>
    <row r="13" spans="1:3" s="172" customFormat="1">
      <c r="A13" s="20"/>
      <c r="B13" s="271"/>
      <c r="C13" s="271"/>
    </row>
    <row r="14" spans="1:3" s="172" customFormat="1">
      <c r="A14" s="20" t="s">
        <v>144</v>
      </c>
      <c r="B14" s="271"/>
      <c r="C14" s="271"/>
    </row>
    <row r="15" spans="1:3" s="172" customFormat="1">
      <c r="A15" s="14" t="s">
        <v>145</v>
      </c>
      <c r="B15" s="271">
        <v>221026000</v>
      </c>
      <c r="C15" s="271"/>
    </row>
    <row r="16" spans="1:3" s="172" customFormat="1">
      <c r="A16" s="14" t="s">
        <v>146</v>
      </c>
      <c r="B16" s="271">
        <v>68968000</v>
      </c>
      <c r="C16" s="271"/>
    </row>
    <row r="17" spans="1:3" s="172" customFormat="1">
      <c r="A17" s="14" t="s">
        <v>236</v>
      </c>
      <c r="B17" s="271">
        <v>116900000</v>
      </c>
      <c r="C17" s="271"/>
    </row>
    <row r="18" spans="1:3" s="172" customFormat="1" ht="16.5" thickBot="1">
      <c r="A18" s="14" t="s">
        <v>147</v>
      </c>
      <c r="B18" s="273">
        <v>16536000</v>
      </c>
      <c r="C18" s="271"/>
    </row>
    <row r="19" spans="1:3" s="172" customFormat="1">
      <c r="A19" s="20" t="s">
        <v>148</v>
      </c>
      <c r="B19" s="271"/>
      <c r="C19" s="270">
        <f>SUM(B15:B18)</f>
        <v>423430000</v>
      </c>
    </row>
    <row r="20" spans="1:3" s="172" customFormat="1">
      <c r="A20" s="20"/>
      <c r="B20" s="271"/>
      <c r="C20" s="271"/>
    </row>
    <row r="21" spans="1:3" s="172" customFormat="1" ht="16.5" thickBot="1">
      <c r="A21" s="763" t="s">
        <v>149</v>
      </c>
      <c r="B21" s="764"/>
      <c r="C21" s="422">
        <f>+C12+C19</f>
        <v>436704000</v>
      </c>
    </row>
    <row r="23" spans="1:3" s="172" customFormat="1">
      <c r="A23" s="650" t="s">
        <v>150</v>
      </c>
      <c r="B23" s="650"/>
      <c r="C23" s="650"/>
    </row>
    <row r="24" spans="1:3">
      <c r="A24" s="766" t="s">
        <v>151</v>
      </c>
      <c r="B24" s="767"/>
      <c r="C24" s="768"/>
    </row>
    <row r="25" spans="1:3">
      <c r="A25" s="9"/>
      <c r="B25" s="270"/>
      <c r="C25" s="270"/>
    </row>
    <row r="26" spans="1:3">
      <c r="A26" s="20" t="s">
        <v>152</v>
      </c>
      <c r="B26" s="272"/>
      <c r="C26" s="270"/>
    </row>
    <row r="27" spans="1:3">
      <c r="A27" s="14" t="s">
        <v>153</v>
      </c>
      <c r="B27" s="271">
        <v>1730000</v>
      </c>
      <c r="C27" s="270"/>
    </row>
    <row r="28" spans="1:3" ht="16.5" thickBot="1">
      <c r="A28" s="14" t="s">
        <v>160</v>
      </c>
      <c r="B28" s="273">
        <v>-173000</v>
      </c>
      <c r="C28" s="270"/>
    </row>
    <row r="29" spans="1:3">
      <c r="A29" s="20" t="s">
        <v>154</v>
      </c>
      <c r="C29" s="270">
        <f>+B27+B28</f>
        <v>1557000</v>
      </c>
    </row>
    <row r="30" spans="1:3">
      <c r="A30" s="9"/>
      <c r="B30" s="270"/>
      <c r="C30" s="270"/>
    </row>
    <row r="31" spans="1:3">
      <c r="A31" s="20" t="s">
        <v>155</v>
      </c>
      <c r="B31" s="272"/>
      <c r="C31" s="270"/>
    </row>
    <row r="32" spans="1:3">
      <c r="A32" s="14" t="s">
        <v>156</v>
      </c>
      <c r="B32" s="271">
        <v>2800000</v>
      </c>
      <c r="C32" s="270"/>
    </row>
    <row r="33" spans="1:3" ht="16.5" thickBot="1">
      <c r="A33" s="14" t="s">
        <v>160</v>
      </c>
      <c r="B33" s="273">
        <v>-560000</v>
      </c>
      <c r="C33" s="270"/>
    </row>
    <row r="34" spans="1:3">
      <c r="A34" s="20" t="s">
        <v>157</v>
      </c>
      <c r="C34" s="270">
        <f>+B32+B33</f>
        <v>2240000</v>
      </c>
    </row>
    <row r="35" spans="1:3">
      <c r="A35" s="9"/>
      <c r="B35" s="270"/>
      <c r="C35" s="270"/>
    </row>
    <row r="36" spans="1:3">
      <c r="A36" s="20" t="s">
        <v>158</v>
      </c>
      <c r="B36" s="272"/>
      <c r="C36" s="270"/>
    </row>
    <row r="37" spans="1:3">
      <c r="A37" s="14" t="s">
        <v>159</v>
      </c>
      <c r="B37" s="271">
        <v>751100000</v>
      </c>
      <c r="C37" s="270"/>
    </row>
    <row r="38" spans="1:3" ht="16.5" thickBot="1">
      <c r="A38" s="14" t="s">
        <v>160</v>
      </c>
      <c r="B38" s="273">
        <v>-185330000</v>
      </c>
      <c r="C38" s="270"/>
    </row>
    <row r="39" spans="1:3">
      <c r="A39" s="20" t="s">
        <v>161</v>
      </c>
      <c r="C39" s="270">
        <f>+B37+B38</f>
        <v>565770000</v>
      </c>
    </row>
    <row r="40" spans="1:3">
      <c r="A40" s="20"/>
    </row>
    <row r="41" spans="1:3">
      <c r="A41" s="20" t="s">
        <v>23</v>
      </c>
    </row>
    <row r="42" spans="1:3" ht="16.5" thickBot="1">
      <c r="A42" s="14" t="s">
        <v>237</v>
      </c>
      <c r="B42" s="273">
        <f>3598000+461000</f>
        <v>4059000</v>
      </c>
      <c r="C42" s="270"/>
    </row>
    <row r="43" spans="1:3">
      <c r="A43" s="20" t="s">
        <v>164</v>
      </c>
      <c r="C43" s="270">
        <f>+B42</f>
        <v>4059000</v>
      </c>
    </row>
    <row r="45" spans="1:3" ht="16.5" thickBot="1">
      <c r="A45" s="763" t="s">
        <v>165</v>
      </c>
      <c r="B45" s="764"/>
      <c r="C45" s="422">
        <f>+C29+C34+C39+C43</f>
        <v>573626000</v>
      </c>
    </row>
    <row r="47" spans="1:3" s="11" customFormat="1" ht="16.5" thickBot="1">
      <c r="A47" s="763" t="s">
        <v>166</v>
      </c>
      <c r="B47" s="764"/>
      <c r="C47" s="422">
        <f>+C21+C45</f>
        <v>1010330000</v>
      </c>
    </row>
    <row r="49" spans="1:3">
      <c r="A49" s="735" t="s">
        <v>85</v>
      </c>
      <c r="B49" s="735"/>
      <c r="C49" s="735"/>
    </row>
    <row r="50" spans="1:3">
      <c r="A50" s="736" t="s">
        <v>86</v>
      </c>
      <c r="B50" s="736"/>
      <c r="C50" s="736"/>
    </row>
    <row r="51" spans="1:3">
      <c r="A51" s="263"/>
      <c r="B51" s="270"/>
      <c r="C51" s="270"/>
    </row>
    <row r="52" spans="1:3">
      <c r="A52" s="650" t="s">
        <v>234</v>
      </c>
      <c r="B52" s="650"/>
      <c r="C52" s="650"/>
    </row>
    <row r="53" spans="1:3">
      <c r="A53" s="650" t="s">
        <v>235</v>
      </c>
      <c r="B53" s="650"/>
      <c r="C53" s="650"/>
    </row>
    <row r="55" spans="1:3">
      <c r="A55" s="760" t="s">
        <v>167</v>
      </c>
      <c r="B55" s="760"/>
      <c r="C55" s="760"/>
    </row>
    <row r="56" spans="1:3">
      <c r="A56" s="264" t="s">
        <v>238</v>
      </c>
      <c r="B56" s="270"/>
      <c r="C56" s="270"/>
    </row>
    <row r="57" spans="1:3" ht="16.5" thickBot="1">
      <c r="A57" s="265" t="s">
        <v>239</v>
      </c>
      <c r="B57" s="273">
        <v>53044000</v>
      </c>
    </row>
    <row r="58" spans="1:3">
      <c r="A58" s="264" t="s">
        <v>240</v>
      </c>
      <c r="B58" s="270"/>
      <c r="C58" s="270">
        <f>B57</f>
        <v>53044000</v>
      </c>
    </row>
    <row r="59" spans="1:3">
      <c r="A59" s="266"/>
      <c r="B59" s="270"/>
      <c r="C59" s="270"/>
    </row>
    <row r="60" spans="1:3">
      <c r="A60" s="20" t="s">
        <v>27</v>
      </c>
    </row>
    <row r="61" spans="1:3" ht="16.5" thickBot="1">
      <c r="A61" s="14" t="s">
        <v>168</v>
      </c>
      <c r="B61" s="273">
        <v>30699000</v>
      </c>
    </row>
    <row r="62" spans="1:3">
      <c r="A62" s="20" t="s">
        <v>169</v>
      </c>
      <c r="C62" s="270">
        <f>+B61</f>
        <v>30699000</v>
      </c>
    </row>
    <row r="63" spans="1:3">
      <c r="A63" s="266"/>
      <c r="B63" s="270"/>
      <c r="C63" s="270"/>
    </row>
    <row r="64" spans="1:3">
      <c r="A64" s="20" t="s">
        <v>170</v>
      </c>
    </row>
    <row r="65" spans="1:3" ht="16.5" thickBot="1">
      <c r="A65" s="14" t="s">
        <v>172</v>
      </c>
      <c r="B65" s="273">
        <v>1064000</v>
      </c>
    </row>
    <row r="66" spans="1:3" ht="17.25" customHeight="1">
      <c r="A66" s="761" t="s">
        <v>220</v>
      </c>
      <c r="B66" s="762"/>
      <c r="C66" s="270">
        <f>SUM(B65:B65)</f>
        <v>1064000</v>
      </c>
    </row>
    <row r="67" spans="1:3" ht="9" customHeight="1">
      <c r="A67" s="20"/>
      <c r="C67" s="270"/>
    </row>
    <row r="68" spans="1:3">
      <c r="A68" s="20" t="s">
        <v>178</v>
      </c>
    </row>
    <row r="69" spans="1:3">
      <c r="A69" s="14" t="s">
        <v>241</v>
      </c>
      <c r="B69" s="271">
        <v>15120000</v>
      </c>
    </row>
    <row r="70" spans="1:3" ht="16.5" thickBot="1">
      <c r="A70" s="14" t="s">
        <v>179</v>
      </c>
      <c r="B70" s="273">
        <v>165594000</v>
      </c>
    </row>
    <row r="71" spans="1:3">
      <c r="A71" s="20" t="s">
        <v>180</v>
      </c>
      <c r="C71" s="270">
        <f>+B70+B69</f>
        <v>180714000</v>
      </c>
    </row>
    <row r="72" spans="1:3">
      <c r="A72" s="20"/>
      <c r="C72" s="270"/>
    </row>
    <row r="73" spans="1:3">
      <c r="A73" s="20" t="s">
        <v>181</v>
      </c>
    </row>
    <row r="74" spans="1:3" ht="16.5" thickBot="1">
      <c r="A74" s="14" t="s">
        <v>182</v>
      </c>
      <c r="B74" s="273">
        <f>'ER 2017'!B83</f>
        <v>16267000.000000002</v>
      </c>
    </row>
    <row r="75" spans="1:3">
      <c r="A75" s="20" t="s">
        <v>183</v>
      </c>
      <c r="C75" s="270">
        <f>+B74</f>
        <v>16267000.000000002</v>
      </c>
    </row>
    <row r="76" spans="1:3">
      <c r="A76" s="20"/>
      <c r="C76" s="270"/>
    </row>
    <row r="77" spans="1:3" s="11" customFormat="1" ht="16.5" thickBot="1">
      <c r="A77" s="763" t="s">
        <v>184</v>
      </c>
      <c r="B77" s="764"/>
      <c r="C77" s="422">
        <f>+C71+C66+C62+C58+C75</f>
        <v>281788000</v>
      </c>
    </row>
    <row r="78" spans="1:3" s="11" customFormat="1">
      <c r="A78" s="20"/>
      <c r="B78" s="270"/>
      <c r="C78" s="270"/>
    </row>
    <row r="79" spans="1:3">
      <c r="A79" s="650" t="s">
        <v>185</v>
      </c>
      <c r="B79" s="650"/>
      <c r="C79" s="650"/>
    </row>
    <row r="80" spans="1:3">
      <c r="A80" s="20" t="s">
        <v>186</v>
      </c>
    </row>
    <row r="81" spans="1:6" ht="16.5" thickBot="1">
      <c r="A81" s="14" t="s">
        <v>187</v>
      </c>
      <c r="B81" s="273">
        <v>620000000</v>
      </c>
    </row>
    <row r="82" spans="1:6">
      <c r="A82" s="20" t="s">
        <v>188</v>
      </c>
      <c r="C82" s="270">
        <f>+B81</f>
        <v>620000000</v>
      </c>
    </row>
    <row r="83" spans="1:6">
      <c r="A83" s="20"/>
      <c r="C83" s="270"/>
    </row>
    <row r="84" spans="1:6">
      <c r="A84" s="20" t="s">
        <v>189</v>
      </c>
    </row>
    <row r="85" spans="1:6" ht="16.5" thickBot="1">
      <c r="A85" s="14" t="s">
        <v>190</v>
      </c>
      <c r="B85" s="273">
        <f>+'ESF 2016'!B87+(' ER 2016'!C72*10%)-300</f>
        <v>7696000</v>
      </c>
    </row>
    <row r="86" spans="1:6">
      <c r="A86" s="20" t="s">
        <v>191</v>
      </c>
      <c r="C86" s="270">
        <f>+B85</f>
        <v>7696000</v>
      </c>
      <c r="E86" s="156"/>
    </row>
    <row r="87" spans="1:6">
      <c r="A87" s="20"/>
      <c r="C87" s="270"/>
      <c r="E87" s="156"/>
      <c r="F87" s="151"/>
    </row>
    <row r="88" spans="1:6">
      <c r="A88" s="20" t="s">
        <v>36</v>
      </c>
      <c r="E88" s="156"/>
    </row>
    <row r="89" spans="1:6" ht="16.5" thickBot="1">
      <c r="A89" s="14" t="s">
        <v>192</v>
      </c>
      <c r="B89" s="273">
        <f>+'ER 2017'!C86</f>
        <v>31577000</v>
      </c>
    </row>
    <row r="90" spans="1:6">
      <c r="A90" s="20" t="s">
        <v>193</v>
      </c>
      <c r="C90" s="270">
        <f>+B89</f>
        <v>31577000</v>
      </c>
    </row>
    <row r="91" spans="1:6">
      <c r="A91" s="20"/>
      <c r="C91" s="270"/>
      <c r="D91" s="156"/>
    </row>
    <row r="92" spans="1:6">
      <c r="A92" s="20" t="s">
        <v>194</v>
      </c>
      <c r="D92" s="156"/>
    </row>
    <row r="93" spans="1:6" ht="16.5" thickBot="1">
      <c r="A93" s="14" t="s">
        <v>195</v>
      </c>
      <c r="B93" s="273">
        <f>+'ESF 2016'!B95+21378000</f>
        <v>69269000</v>
      </c>
      <c r="D93" s="156"/>
    </row>
    <row r="94" spans="1:6">
      <c r="A94" s="20" t="s">
        <v>196</v>
      </c>
      <c r="C94" s="270">
        <f>+B93</f>
        <v>69269000</v>
      </c>
      <c r="D94" s="156"/>
      <c r="E94" s="151"/>
    </row>
    <row r="95" spans="1:6">
      <c r="A95" s="20"/>
      <c r="C95" s="270"/>
      <c r="D95" s="156"/>
    </row>
    <row r="96" spans="1:6" s="11" customFormat="1" ht="16.5" thickBot="1">
      <c r="A96" s="423" t="s">
        <v>197</v>
      </c>
      <c r="B96" s="424"/>
      <c r="C96" s="424">
        <f>+C82+C90+C86+C94</f>
        <v>728542000</v>
      </c>
      <c r="D96" s="450"/>
    </row>
    <row r="98" spans="1:6" s="11" customFormat="1" ht="16.5" thickBot="1">
      <c r="A98" s="763" t="s">
        <v>198</v>
      </c>
      <c r="B98" s="764"/>
      <c r="C98" s="422">
        <f>+C77+C96</f>
        <v>1010330000</v>
      </c>
      <c r="D98" s="174">
        <f>C47-C98</f>
        <v>0</v>
      </c>
      <c r="F98" s="175"/>
    </row>
    <row r="99" spans="1:6" s="11" customFormat="1">
      <c r="A99" s="20"/>
      <c r="B99" s="270"/>
      <c r="C99" s="270"/>
    </row>
    <row r="100" spans="1:6" s="11" customFormat="1">
      <c r="A100" s="20"/>
      <c r="B100" s="270"/>
      <c r="C100" s="270"/>
    </row>
    <row r="101" spans="1:6" s="11" customFormat="1">
      <c r="A101" s="20"/>
      <c r="B101" s="270"/>
      <c r="C101" s="270"/>
    </row>
    <row r="102" spans="1:6" s="11" customFormat="1">
      <c r="A102" s="267" t="s">
        <v>130</v>
      </c>
      <c r="B102" s="759" t="s">
        <v>131</v>
      </c>
      <c r="C102" s="759"/>
    </row>
    <row r="103" spans="1:6">
      <c r="A103" s="268" t="s">
        <v>132</v>
      </c>
      <c r="B103" s="769" t="s">
        <v>133</v>
      </c>
      <c r="C103" s="769"/>
    </row>
    <row r="104" spans="1:6">
      <c r="A104" s="269" t="s">
        <v>251</v>
      </c>
      <c r="B104" s="759" t="s">
        <v>134</v>
      </c>
      <c r="C104" s="759"/>
    </row>
  </sheetData>
  <mergeCells count="24">
    <mergeCell ref="A9:C9"/>
    <mergeCell ref="A21:B21"/>
    <mergeCell ref="A24:C24"/>
    <mergeCell ref="A79:C79"/>
    <mergeCell ref="B103:C103"/>
    <mergeCell ref="B104:C104"/>
    <mergeCell ref="A23:C23"/>
    <mergeCell ref="A55:C55"/>
    <mergeCell ref="A49:C49"/>
    <mergeCell ref="A50:C50"/>
    <mergeCell ref="A52:C52"/>
    <mergeCell ref="A53:C53"/>
    <mergeCell ref="B102:C102"/>
    <mergeCell ref="A66:B66"/>
    <mergeCell ref="A77:B77"/>
    <mergeCell ref="A98:B98"/>
    <mergeCell ref="A47:B47"/>
    <mergeCell ref="A45:B45"/>
    <mergeCell ref="A8:C8"/>
    <mergeCell ref="A1:C1"/>
    <mergeCell ref="A2:C2"/>
    <mergeCell ref="A4:C4"/>
    <mergeCell ref="A5:C5"/>
    <mergeCell ref="A7:C7"/>
  </mergeCells>
  <pageMargins left="0.7" right="0.7" top="0.75" bottom="0.75" header="0.3" footer="0.3"/>
  <pageSetup scale="78" orientation="portrait" r:id="rId1"/>
  <rowBreaks count="2" manualBreakCount="2">
    <brk id="48" max="16383" man="1"/>
    <brk id="104" max="16383"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5"/>
  <sheetViews>
    <sheetView topLeftCell="A67" zoomScaleNormal="100" workbookViewId="0">
      <selection activeCell="B29" sqref="B29"/>
    </sheetView>
  </sheetViews>
  <sheetFormatPr baseColWidth="10" defaultColWidth="10.7109375" defaultRowHeight="15.75"/>
  <cols>
    <col min="1" max="1" width="58.85546875" style="3" customWidth="1"/>
    <col min="2" max="2" width="17.5703125" style="179" customWidth="1"/>
    <col min="3" max="3" width="18" style="179" customWidth="1"/>
    <col min="4" max="4" width="15.28515625" style="4" bestFit="1" customWidth="1"/>
    <col min="5" max="5" width="16.5703125" style="2" bestFit="1" customWidth="1"/>
    <col min="6" max="6" width="19" style="3" customWidth="1"/>
    <col min="7" max="8" width="12.85546875" style="3" bestFit="1" customWidth="1"/>
    <col min="9" max="256" width="11.42578125" style="3"/>
    <col min="257" max="257" width="58.85546875" style="3" customWidth="1"/>
    <col min="258" max="258" width="15.7109375" style="3" customWidth="1"/>
    <col min="259" max="259" width="16.5703125" style="3" customWidth="1"/>
    <col min="260" max="260" width="15.28515625" style="3" bestFit="1" customWidth="1"/>
    <col min="261" max="261" width="16.5703125" style="3" bestFit="1" customWidth="1"/>
    <col min="262" max="262" width="19" style="3" customWidth="1"/>
    <col min="263" max="264" width="12.85546875" style="3" bestFit="1" customWidth="1"/>
    <col min="265" max="512" width="11.42578125" style="3"/>
    <col min="513" max="513" width="58.85546875" style="3" customWidth="1"/>
    <col min="514" max="514" width="15.7109375" style="3" customWidth="1"/>
    <col min="515" max="515" width="16.5703125" style="3" customWidth="1"/>
    <col min="516" max="516" width="15.28515625" style="3" bestFit="1" customWidth="1"/>
    <col min="517" max="517" width="16.5703125" style="3" bestFit="1" customWidth="1"/>
    <col min="518" max="518" width="19" style="3" customWidth="1"/>
    <col min="519" max="520" width="12.85546875" style="3" bestFit="1" customWidth="1"/>
    <col min="521" max="768" width="11.42578125" style="3"/>
    <col min="769" max="769" width="58.85546875" style="3" customWidth="1"/>
    <col min="770" max="770" width="15.7109375" style="3" customWidth="1"/>
    <col min="771" max="771" width="16.5703125" style="3" customWidth="1"/>
    <col min="772" max="772" width="15.28515625" style="3" bestFit="1" customWidth="1"/>
    <col min="773" max="773" width="16.5703125" style="3" bestFit="1" customWidth="1"/>
    <col min="774" max="774" width="19" style="3" customWidth="1"/>
    <col min="775" max="776" width="12.85546875" style="3" bestFit="1" customWidth="1"/>
    <col min="777" max="1024" width="11.42578125" style="3"/>
    <col min="1025" max="1025" width="58.85546875" style="3" customWidth="1"/>
    <col min="1026" max="1026" width="15.7109375" style="3" customWidth="1"/>
    <col min="1027" max="1027" width="16.5703125" style="3" customWidth="1"/>
    <col min="1028" max="1028" width="15.28515625" style="3" bestFit="1" customWidth="1"/>
    <col min="1029" max="1029" width="16.5703125" style="3" bestFit="1" customWidth="1"/>
    <col min="1030" max="1030" width="19" style="3" customWidth="1"/>
    <col min="1031" max="1032" width="12.85546875" style="3" bestFit="1" customWidth="1"/>
    <col min="1033" max="1280" width="11.42578125" style="3"/>
    <col min="1281" max="1281" width="58.85546875" style="3" customWidth="1"/>
    <col min="1282" max="1282" width="15.7109375" style="3" customWidth="1"/>
    <col min="1283" max="1283" width="16.5703125" style="3" customWidth="1"/>
    <col min="1284" max="1284" width="15.28515625" style="3" bestFit="1" customWidth="1"/>
    <col min="1285" max="1285" width="16.5703125" style="3" bestFit="1" customWidth="1"/>
    <col min="1286" max="1286" width="19" style="3" customWidth="1"/>
    <col min="1287" max="1288" width="12.85546875" style="3" bestFit="1" customWidth="1"/>
    <col min="1289" max="1536" width="11.42578125" style="3"/>
    <col min="1537" max="1537" width="58.85546875" style="3" customWidth="1"/>
    <col min="1538" max="1538" width="15.7109375" style="3" customWidth="1"/>
    <col min="1539" max="1539" width="16.5703125" style="3" customWidth="1"/>
    <col min="1540" max="1540" width="15.28515625" style="3" bestFit="1" customWidth="1"/>
    <col min="1541" max="1541" width="16.5703125" style="3" bestFit="1" customWidth="1"/>
    <col min="1542" max="1542" width="19" style="3" customWidth="1"/>
    <col min="1543" max="1544" width="12.85546875" style="3" bestFit="1" customWidth="1"/>
    <col min="1545" max="1792" width="11.42578125" style="3"/>
    <col min="1793" max="1793" width="58.85546875" style="3" customWidth="1"/>
    <col min="1794" max="1794" width="15.7109375" style="3" customWidth="1"/>
    <col min="1795" max="1795" width="16.5703125" style="3" customWidth="1"/>
    <col min="1796" max="1796" width="15.28515625" style="3" bestFit="1" customWidth="1"/>
    <col min="1797" max="1797" width="16.5703125" style="3" bestFit="1" customWidth="1"/>
    <col min="1798" max="1798" width="19" style="3" customWidth="1"/>
    <col min="1799" max="1800" width="12.85546875" style="3" bestFit="1" customWidth="1"/>
    <col min="1801" max="2048" width="11.42578125" style="3"/>
    <col min="2049" max="2049" width="58.85546875" style="3" customWidth="1"/>
    <col min="2050" max="2050" width="15.7109375" style="3" customWidth="1"/>
    <col min="2051" max="2051" width="16.5703125" style="3" customWidth="1"/>
    <col min="2052" max="2052" width="15.28515625" style="3" bestFit="1" customWidth="1"/>
    <col min="2053" max="2053" width="16.5703125" style="3" bestFit="1" customWidth="1"/>
    <col min="2054" max="2054" width="19" style="3" customWidth="1"/>
    <col min="2055" max="2056" width="12.85546875" style="3" bestFit="1" customWidth="1"/>
    <col min="2057" max="2304" width="11.42578125" style="3"/>
    <col min="2305" max="2305" width="58.85546875" style="3" customWidth="1"/>
    <col min="2306" max="2306" width="15.7109375" style="3" customWidth="1"/>
    <col min="2307" max="2307" width="16.5703125" style="3" customWidth="1"/>
    <col min="2308" max="2308" width="15.28515625" style="3" bestFit="1" customWidth="1"/>
    <col min="2309" max="2309" width="16.5703125" style="3" bestFit="1" customWidth="1"/>
    <col min="2310" max="2310" width="19" style="3" customWidth="1"/>
    <col min="2311" max="2312" width="12.85546875" style="3" bestFit="1" customWidth="1"/>
    <col min="2313" max="2560" width="11.42578125" style="3"/>
    <col min="2561" max="2561" width="58.85546875" style="3" customWidth="1"/>
    <col min="2562" max="2562" width="15.7109375" style="3" customWidth="1"/>
    <col min="2563" max="2563" width="16.5703125" style="3" customWidth="1"/>
    <col min="2564" max="2564" width="15.28515625" style="3" bestFit="1" customWidth="1"/>
    <col min="2565" max="2565" width="16.5703125" style="3" bestFit="1" customWidth="1"/>
    <col min="2566" max="2566" width="19" style="3" customWidth="1"/>
    <col min="2567" max="2568" width="12.85546875" style="3" bestFit="1" customWidth="1"/>
    <col min="2569" max="2816" width="11.42578125" style="3"/>
    <col min="2817" max="2817" width="58.85546875" style="3" customWidth="1"/>
    <col min="2818" max="2818" width="15.7109375" style="3" customWidth="1"/>
    <col min="2819" max="2819" width="16.5703125" style="3" customWidth="1"/>
    <col min="2820" max="2820" width="15.28515625" style="3" bestFit="1" customWidth="1"/>
    <col min="2821" max="2821" width="16.5703125" style="3" bestFit="1" customWidth="1"/>
    <col min="2822" max="2822" width="19" style="3" customWidth="1"/>
    <col min="2823" max="2824" width="12.85546875" style="3" bestFit="1" customWidth="1"/>
    <col min="2825" max="3072" width="11.42578125" style="3"/>
    <col min="3073" max="3073" width="58.85546875" style="3" customWidth="1"/>
    <col min="3074" max="3074" width="15.7109375" style="3" customWidth="1"/>
    <col min="3075" max="3075" width="16.5703125" style="3" customWidth="1"/>
    <col min="3076" max="3076" width="15.28515625" style="3" bestFit="1" customWidth="1"/>
    <col min="3077" max="3077" width="16.5703125" style="3" bestFit="1" customWidth="1"/>
    <col min="3078" max="3078" width="19" style="3" customWidth="1"/>
    <col min="3079" max="3080" width="12.85546875" style="3" bestFit="1" customWidth="1"/>
    <col min="3081" max="3328" width="11.42578125" style="3"/>
    <col min="3329" max="3329" width="58.85546875" style="3" customWidth="1"/>
    <col min="3330" max="3330" width="15.7109375" style="3" customWidth="1"/>
    <col min="3331" max="3331" width="16.5703125" style="3" customWidth="1"/>
    <col min="3332" max="3332" width="15.28515625" style="3" bestFit="1" customWidth="1"/>
    <col min="3333" max="3333" width="16.5703125" style="3" bestFit="1" customWidth="1"/>
    <col min="3334" max="3334" width="19" style="3" customWidth="1"/>
    <col min="3335" max="3336" width="12.85546875" style="3" bestFit="1" customWidth="1"/>
    <col min="3337" max="3584" width="11.42578125" style="3"/>
    <col min="3585" max="3585" width="58.85546875" style="3" customWidth="1"/>
    <col min="3586" max="3586" width="15.7109375" style="3" customWidth="1"/>
    <col min="3587" max="3587" width="16.5703125" style="3" customWidth="1"/>
    <col min="3588" max="3588" width="15.28515625" style="3" bestFit="1" customWidth="1"/>
    <col min="3589" max="3589" width="16.5703125" style="3" bestFit="1" customWidth="1"/>
    <col min="3590" max="3590" width="19" style="3" customWidth="1"/>
    <col min="3591" max="3592" width="12.85546875" style="3" bestFit="1" customWidth="1"/>
    <col min="3593" max="3840" width="11.42578125" style="3"/>
    <col min="3841" max="3841" width="58.85546875" style="3" customWidth="1"/>
    <col min="3842" max="3842" width="15.7109375" style="3" customWidth="1"/>
    <col min="3843" max="3843" width="16.5703125" style="3" customWidth="1"/>
    <col min="3844" max="3844" width="15.28515625" style="3" bestFit="1" customWidth="1"/>
    <col min="3845" max="3845" width="16.5703125" style="3" bestFit="1" customWidth="1"/>
    <col min="3846" max="3846" width="19" style="3" customWidth="1"/>
    <col min="3847" max="3848" width="12.85546875" style="3" bestFit="1" customWidth="1"/>
    <col min="3849" max="4096" width="11.42578125" style="3"/>
    <col min="4097" max="4097" width="58.85546875" style="3" customWidth="1"/>
    <col min="4098" max="4098" width="15.7109375" style="3" customWidth="1"/>
    <col min="4099" max="4099" width="16.5703125" style="3" customWidth="1"/>
    <col min="4100" max="4100" width="15.28515625" style="3" bestFit="1" customWidth="1"/>
    <col min="4101" max="4101" width="16.5703125" style="3" bestFit="1" customWidth="1"/>
    <col min="4102" max="4102" width="19" style="3" customWidth="1"/>
    <col min="4103" max="4104" width="12.85546875" style="3" bestFit="1" customWidth="1"/>
    <col min="4105" max="4352" width="11.42578125" style="3"/>
    <col min="4353" max="4353" width="58.85546875" style="3" customWidth="1"/>
    <col min="4354" max="4354" width="15.7109375" style="3" customWidth="1"/>
    <col min="4355" max="4355" width="16.5703125" style="3" customWidth="1"/>
    <col min="4356" max="4356" width="15.28515625" style="3" bestFit="1" customWidth="1"/>
    <col min="4357" max="4357" width="16.5703125" style="3" bestFit="1" customWidth="1"/>
    <col min="4358" max="4358" width="19" style="3" customWidth="1"/>
    <col min="4359" max="4360" width="12.85546875" style="3" bestFit="1" customWidth="1"/>
    <col min="4361" max="4608" width="11.42578125" style="3"/>
    <col min="4609" max="4609" width="58.85546875" style="3" customWidth="1"/>
    <col min="4610" max="4610" width="15.7109375" style="3" customWidth="1"/>
    <col min="4611" max="4611" width="16.5703125" style="3" customWidth="1"/>
    <col min="4612" max="4612" width="15.28515625" style="3" bestFit="1" customWidth="1"/>
    <col min="4613" max="4613" width="16.5703125" style="3" bestFit="1" customWidth="1"/>
    <col min="4614" max="4614" width="19" style="3" customWidth="1"/>
    <col min="4615" max="4616" width="12.85546875" style="3" bestFit="1" customWidth="1"/>
    <col min="4617" max="4864" width="11.42578125" style="3"/>
    <col min="4865" max="4865" width="58.85546875" style="3" customWidth="1"/>
    <col min="4866" max="4866" width="15.7109375" style="3" customWidth="1"/>
    <col min="4867" max="4867" width="16.5703125" style="3" customWidth="1"/>
    <col min="4868" max="4868" width="15.28515625" style="3" bestFit="1" customWidth="1"/>
    <col min="4869" max="4869" width="16.5703125" style="3" bestFit="1" customWidth="1"/>
    <col min="4870" max="4870" width="19" style="3" customWidth="1"/>
    <col min="4871" max="4872" width="12.85546875" style="3" bestFit="1" customWidth="1"/>
    <col min="4873" max="5120" width="11.42578125" style="3"/>
    <col min="5121" max="5121" width="58.85546875" style="3" customWidth="1"/>
    <col min="5122" max="5122" width="15.7109375" style="3" customWidth="1"/>
    <col min="5123" max="5123" width="16.5703125" style="3" customWidth="1"/>
    <col min="5124" max="5124" width="15.28515625" style="3" bestFit="1" customWidth="1"/>
    <col min="5125" max="5125" width="16.5703125" style="3" bestFit="1" customWidth="1"/>
    <col min="5126" max="5126" width="19" style="3" customWidth="1"/>
    <col min="5127" max="5128" width="12.85546875" style="3" bestFit="1" customWidth="1"/>
    <col min="5129" max="5376" width="11.42578125" style="3"/>
    <col min="5377" max="5377" width="58.85546875" style="3" customWidth="1"/>
    <col min="5378" max="5378" width="15.7109375" style="3" customWidth="1"/>
    <col min="5379" max="5379" width="16.5703125" style="3" customWidth="1"/>
    <col min="5380" max="5380" width="15.28515625" style="3" bestFit="1" customWidth="1"/>
    <col min="5381" max="5381" width="16.5703125" style="3" bestFit="1" customWidth="1"/>
    <col min="5382" max="5382" width="19" style="3" customWidth="1"/>
    <col min="5383" max="5384" width="12.85546875" style="3" bestFit="1" customWidth="1"/>
    <col min="5385" max="5632" width="11.42578125" style="3"/>
    <col min="5633" max="5633" width="58.85546875" style="3" customWidth="1"/>
    <col min="5634" max="5634" width="15.7109375" style="3" customWidth="1"/>
    <col min="5635" max="5635" width="16.5703125" style="3" customWidth="1"/>
    <col min="5636" max="5636" width="15.28515625" style="3" bestFit="1" customWidth="1"/>
    <col min="5637" max="5637" width="16.5703125" style="3" bestFit="1" customWidth="1"/>
    <col min="5638" max="5638" width="19" style="3" customWidth="1"/>
    <col min="5639" max="5640" width="12.85546875" style="3" bestFit="1" customWidth="1"/>
    <col min="5641" max="5888" width="11.42578125" style="3"/>
    <col min="5889" max="5889" width="58.85546875" style="3" customWidth="1"/>
    <col min="5890" max="5890" width="15.7109375" style="3" customWidth="1"/>
    <col min="5891" max="5891" width="16.5703125" style="3" customWidth="1"/>
    <col min="5892" max="5892" width="15.28515625" style="3" bestFit="1" customWidth="1"/>
    <col min="5893" max="5893" width="16.5703125" style="3" bestFit="1" customWidth="1"/>
    <col min="5894" max="5894" width="19" style="3" customWidth="1"/>
    <col min="5895" max="5896" width="12.85546875" style="3" bestFit="1" customWidth="1"/>
    <col min="5897" max="6144" width="11.42578125" style="3"/>
    <col min="6145" max="6145" width="58.85546875" style="3" customWidth="1"/>
    <col min="6146" max="6146" width="15.7109375" style="3" customWidth="1"/>
    <col min="6147" max="6147" width="16.5703125" style="3" customWidth="1"/>
    <col min="6148" max="6148" width="15.28515625" style="3" bestFit="1" customWidth="1"/>
    <col min="6149" max="6149" width="16.5703125" style="3" bestFit="1" customWidth="1"/>
    <col min="6150" max="6150" width="19" style="3" customWidth="1"/>
    <col min="6151" max="6152" width="12.85546875" style="3" bestFit="1" customWidth="1"/>
    <col min="6153" max="6400" width="11.42578125" style="3"/>
    <col min="6401" max="6401" width="58.85546875" style="3" customWidth="1"/>
    <col min="6402" max="6402" width="15.7109375" style="3" customWidth="1"/>
    <col min="6403" max="6403" width="16.5703125" style="3" customWidth="1"/>
    <col min="6404" max="6404" width="15.28515625" style="3" bestFit="1" customWidth="1"/>
    <col min="6405" max="6405" width="16.5703125" style="3" bestFit="1" customWidth="1"/>
    <col min="6406" max="6406" width="19" style="3" customWidth="1"/>
    <col min="6407" max="6408" width="12.85546875" style="3" bestFit="1" customWidth="1"/>
    <col min="6409" max="6656" width="11.42578125" style="3"/>
    <col min="6657" max="6657" width="58.85546875" style="3" customWidth="1"/>
    <col min="6658" max="6658" width="15.7109375" style="3" customWidth="1"/>
    <col min="6659" max="6659" width="16.5703125" style="3" customWidth="1"/>
    <col min="6660" max="6660" width="15.28515625" style="3" bestFit="1" customWidth="1"/>
    <col min="6661" max="6661" width="16.5703125" style="3" bestFit="1" customWidth="1"/>
    <col min="6662" max="6662" width="19" style="3" customWidth="1"/>
    <col min="6663" max="6664" width="12.85546875" style="3" bestFit="1" customWidth="1"/>
    <col min="6665" max="6912" width="11.42578125" style="3"/>
    <col min="6913" max="6913" width="58.85546875" style="3" customWidth="1"/>
    <col min="6914" max="6914" width="15.7109375" style="3" customWidth="1"/>
    <col min="6915" max="6915" width="16.5703125" style="3" customWidth="1"/>
    <col min="6916" max="6916" width="15.28515625" style="3" bestFit="1" customWidth="1"/>
    <col min="6917" max="6917" width="16.5703125" style="3" bestFit="1" customWidth="1"/>
    <col min="6918" max="6918" width="19" style="3" customWidth="1"/>
    <col min="6919" max="6920" width="12.85546875" style="3" bestFit="1" customWidth="1"/>
    <col min="6921" max="7168" width="11.42578125" style="3"/>
    <col min="7169" max="7169" width="58.85546875" style="3" customWidth="1"/>
    <col min="7170" max="7170" width="15.7109375" style="3" customWidth="1"/>
    <col min="7171" max="7171" width="16.5703125" style="3" customWidth="1"/>
    <col min="7172" max="7172" width="15.28515625" style="3" bestFit="1" customWidth="1"/>
    <col min="7173" max="7173" width="16.5703125" style="3" bestFit="1" customWidth="1"/>
    <col min="7174" max="7174" width="19" style="3" customWidth="1"/>
    <col min="7175" max="7176" width="12.85546875" style="3" bestFit="1" customWidth="1"/>
    <col min="7177" max="7424" width="11.42578125" style="3"/>
    <col min="7425" max="7425" width="58.85546875" style="3" customWidth="1"/>
    <col min="7426" max="7426" width="15.7109375" style="3" customWidth="1"/>
    <col min="7427" max="7427" width="16.5703125" style="3" customWidth="1"/>
    <col min="7428" max="7428" width="15.28515625" style="3" bestFit="1" customWidth="1"/>
    <col min="7429" max="7429" width="16.5703125" style="3" bestFit="1" customWidth="1"/>
    <col min="7430" max="7430" width="19" style="3" customWidth="1"/>
    <col min="7431" max="7432" width="12.85546875" style="3" bestFit="1" customWidth="1"/>
    <col min="7433" max="7680" width="11.42578125" style="3"/>
    <col min="7681" max="7681" width="58.85546875" style="3" customWidth="1"/>
    <col min="7682" max="7682" width="15.7109375" style="3" customWidth="1"/>
    <col min="7683" max="7683" width="16.5703125" style="3" customWidth="1"/>
    <col min="7684" max="7684" width="15.28515625" style="3" bestFit="1" customWidth="1"/>
    <col min="7685" max="7685" width="16.5703125" style="3" bestFit="1" customWidth="1"/>
    <col min="7686" max="7686" width="19" style="3" customWidth="1"/>
    <col min="7687" max="7688" width="12.85546875" style="3" bestFit="1" customWidth="1"/>
    <col min="7689" max="7936" width="11.42578125" style="3"/>
    <col min="7937" max="7937" width="58.85546875" style="3" customWidth="1"/>
    <col min="7938" max="7938" width="15.7109375" style="3" customWidth="1"/>
    <col min="7939" max="7939" width="16.5703125" style="3" customWidth="1"/>
    <col min="7940" max="7940" width="15.28515625" style="3" bestFit="1" customWidth="1"/>
    <col min="7941" max="7941" width="16.5703125" style="3" bestFit="1" customWidth="1"/>
    <col min="7942" max="7942" width="19" style="3" customWidth="1"/>
    <col min="7943" max="7944" width="12.85546875" style="3" bestFit="1" customWidth="1"/>
    <col min="7945" max="8192" width="11.42578125" style="3"/>
    <col min="8193" max="8193" width="58.85546875" style="3" customWidth="1"/>
    <col min="8194" max="8194" width="15.7109375" style="3" customWidth="1"/>
    <col min="8195" max="8195" width="16.5703125" style="3" customWidth="1"/>
    <col min="8196" max="8196" width="15.28515625" style="3" bestFit="1" customWidth="1"/>
    <col min="8197" max="8197" width="16.5703125" style="3" bestFit="1" customWidth="1"/>
    <col min="8198" max="8198" width="19" style="3" customWidth="1"/>
    <col min="8199" max="8200" width="12.85546875" style="3" bestFit="1" customWidth="1"/>
    <col min="8201" max="8448" width="11.42578125" style="3"/>
    <col min="8449" max="8449" width="58.85546875" style="3" customWidth="1"/>
    <col min="8450" max="8450" width="15.7109375" style="3" customWidth="1"/>
    <col min="8451" max="8451" width="16.5703125" style="3" customWidth="1"/>
    <col min="8452" max="8452" width="15.28515625" style="3" bestFit="1" customWidth="1"/>
    <col min="8453" max="8453" width="16.5703125" style="3" bestFit="1" customWidth="1"/>
    <col min="8454" max="8454" width="19" style="3" customWidth="1"/>
    <col min="8455" max="8456" width="12.85546875" style="3" bestFit="1" customWidth="1"/>
    <col min="8457" max="8704" width="11.42578125" style="3"/>
    <col min="8705" max="8705" width="58.85546875" style="3" customWidth="1"/>
    <col min="8706" max="8706" width="15.7109375" style="3" customWidth="1"/>
    <col min="8707" max="8707" width="16.5703125" style="3" customWidth="1"/>
    <col min="8708" max="8708" width="15.28515625" style="3" bestFit="1" customWidth="1"/>
    <col min="8709" max="8709" width="16.5703125" style="3" bestFit="1" customWidth="1"/>
    <col min="8710" max="8710" width="19" style="3" customWidth="1"/>
    <col min="8711" max="8712" width="12.85546875" style="3" bestFit="1" customWidth="1"/>
    <col min="8713" max="8960" width="11.42578125" style="3"/>
    <col min="8961" max="8961" width="58.85546875" style="3" customWidth="1"/>
    <col min="8962" max="8962" width="15.7109375" style="3" customWidth="1"/>
    <col min="8963" max="8963" width="16.5703125" style="3" customWidth="1"/>
    <col min="8964" max="8964" width="15.28515625" style="3" bestFit="1" customWidth="1"/>
    <col min="8965" max="8965" width="16.5703125" style="3" bestFit="1" customWidth="1"/>
    <col min="8966" max="8966" width="19" style="3" customWidth="1"/>
    <col min="8967" max="8968" width="12.85546875" style="3" bestFit="1" customWidth="1"/>
    <col min="8969" max="9216" width="11.42578125" style="3"/>
    <col min="9217" max="9217" width="58.85546875" style="3" customWidth="1"/>
    <col min="9218" max="9218" width="15.7109375" style="3" customWidth="1"/>
    <col min="9219" max="9219" width="16.5703125" style="3" customWidth="1"/>
    <col min="9220" max="9220" width="15.28515625" style="3" bestFit="1" customWidth="1"/>
    <col min="9221" max="9221" width="16.5703125" style="3" bestFit="1" customWidth="1"/>
    <col min="9222" max="9222" width="19" style="3" customWidth="1"/>
    <col min="9223" max="9224" width="12.85546875" style="3" bestFit="1" customWidth="1"/>
    <col min="9225" max="9472" width="11.42578125" style="3"/>
    <col min="9473" max="9473" width="58.85546875" style="3" customWidth="1"/>
    <col min="9474" max="9474" width="15.7109375" style="3" customWidth="1"/>
    <col min="9475" max="9475" width="16.5703125" style="3" customWidth="1"/>
    <col min="9476" max="9476" width="15.28515625" style="3" bestFit="1" customWidth="1"/>
    <col min="9477" max="9477" width="16.5703125" style="3" bestFit="1" customWidth="1"/>
    <col min="9478" max="9478" width="19" style="3" customWidth="1"/>
    <col min="9479" max="9480" width="12.85546875" style="3" bestFit="1" customWidth="1"/>
    <col min="9481" max="9728" width="11.42578125" style="3"/>
    <col min="9729" max="9729" width="58.85546875" style="3" customWidth="1"/>
    <col min="9730" max="9730" width="15.7109375" style="3" customWidth="1"/>
    <col min="9731" max="9731" width="16.5703125" style="3" customWidth="1"/>
    <col min="9732" max="9732" width="15.28515625" style="3" bestFit="1" customWidth="1"/>
    <col min="9733" max="9733" width="16.5703125" style="3" bestFit="1" customWidth="1"/>
    <col min="9734" max="9734" width="19" style="3" customWidth="1"/>
    <col min="9735" max="9736" width="12.85546875" style="3" bestFit="1" customWidth="1"/>
    <col min="9737" max="9984" width="11.42578125" style="3"/>
    <col min="9985" max="9985" width="58.85546875" style="3" customWidth="1"/>
    <col min="9986" max="9986" width="15.7109375" style="3" customWidth="1"/>
    <col min="9987" max="9987" width="16.5703125" style="3" customWidth="1"/>
    <col min="9988" max="9988" width="15.28515625" style="3" bestFit="1" customWidth="1"/>
    <col min="9989" max="9989" width="16.5703125" style="3" bestFit="1" customWidth="1"/>
    <col min="9990" max="9990" width="19" style="3" customWidth="1"/>
    <col min="9991" max="9992" width="12.85546875" style="3" bestFit="1" customWidth="1"/>
    <col min="9993" max="10240" width="11.42578125" style="3"/>
    <col min="10241" max="10241" width="58.85546875" style="3" customWidth="1"/>
    <col min="10242" max="10242" width="15.7109375" style="3" customWidth="1"/>
    <col min="10243" max="10243" width="16.5703125" style="3" customWidth="1"/>
    <col min="10244" max="10244" width="15.28515625" style="3" bestFit="1" customWidth="1"/>
    <col min="10245" max="10245" width="16.5703125" style="3" bestFit="1" customWidth="1"/>
    <col min="10246" max="10246" width="19" style="3" customWidth="1"/>
    <col min="10247" max="10248" width="12.85546875" style="3" bestFit="1" customWidth="1"/>
    <col min="10249" max="10496" width="11.42578125" style="3"/>
    <col min="10497" max="10497" width="58.85546875" style="3" customWidth="1"/>
    <col min="10498" max="10498" width="15.7109375" style="3" customWidth="1"/>
    <col min="10499" max="10499" width="16.5703125" style="3" customWidth="1"/>
    <col min="10500" max="10500" width="15.28515625" style="3" bestFit="1" customWidth="1"/>
    <col min="10501" max="10501" width="16.5703125" style="3" bestFit="1" customWidth="1"/>
    <col min="10502" max="10502" width="19" style="3" customWidth="1"/>
    <col min="10503" max="10504" width="12.85546875" style="3" bestFit="1" customWidth="1"/>
    <col min="10505" max="10752" width="11.42578125" style="3"/>
    <col min="10753" max="10753" width="58.85546875" style="3" customWidth="1"/>
    <col min="10754" max="10754" width="15.7109375" style="3" customWidth="1"/>
    <col min="10755" max="10755" width="16.5703125" style="3" customWidth="1"/>
    <col min="10756" max="10756" width="15.28515625" style="3" bestFit="1" customWidth="1"/>
    <col min="10757" max="10757" width="16.5703125" style="3" bestFit="1" customWidth="1"/>
    <col min="10758" max="10758" width="19" style="3" customWidth="1"/>
    <col min="10759" max="10760" width="12.85546875" style="3" bestFit="1" customWidth="1"/>
    <col min="10761" max="11008" width="11.42578125" style="3"/>
    <col min="11009" max="11009" width="58.85546875" style="3" customWidth="1"/>
    <col min="11010" max="11010" width="15.7109375" style="3" customWidth="1"/>
    <col min="11011" max="11011" width="16.5703125" style="3" customWidth="1"/>
    <col min="11012" max="11012" width="15.28515625" style="3" bestFit="1" customWidth="1"/>
    <col min="11013" max="11013" width="16.5703125" style="3" bestFit="1" customWidth="1"/>
    <col min="11014" max="11014" width="19" style="3" customWidth="1"/>
    <col min="11015" max="11016" width="12.85546875" style="3" bestFit="1" customWidth="1"/>
    <col min="11017" max="11264" width="11.42578125" style="3"/>
    <col min="11265" max="11265" width="58.85546875" style="3" customWidth="1"/>
    <col min="11266" max="11266" width="15.7109375" style="3" customWidth="1"/>
    <col min="11267" max="11267" width="16.5703125" style="3" customWidth="1"/>
    <col min="11268" max="11268" width="15.28515625" style="3" bestFit="1" customWidth="1"/>
    <col min="11269" max="11269" width="16.5703125" style="3" bestFit="1" customWidth="1"/>
    <col min="11270" max="11270" width="19" style="3" customWidth="1"/>
    <col min="11271" max="11272" width="12.85546875" style="3" bestFit="1" customWidth="1"/>
    <col min="11273" max="11520" width="11.42578125" style="3"/>
    <col min="11521" max="11521" width="58.85546875" style="3" customWidth="1"/>
    <col min="11522" max="11522" width="15.7109375" style="3" customWidth="1"/>
    <col min="11523" max="11523" width="16.5703125" style="3" customWidth="1"/>
    <col min="11524" max="11524" width="15.28515625" style="3" bestFit="1" customWidth="1"/>
    <col min="11525" max="11525" width="16.5703125" style="3" bestFit="1" customWidth="1"/>
    <col min="11526" max="11526" width="19" style="3" customWidth="1"/>
    <col min="11527" max="11528" width="12.85546875" style="3" bestFit="1" customWidth="1"/>
    <col min="11529" max="11776" width="11.42578125" style="3"/>
    <col min="11777" max="11777" width="58.85546875" style="3" customWidth="1"/>
    <col min="11778" max="11778" width="15.7109375" style="3" customWidth="1"/>
    <col min="11779" max="11779" width="16.5703125" style="3" customWidth="1"/>
    <col min="11780" max="11780" width="15.28515625" style="3" bestFit="1" customWidth="1"/>
    <col min="11781" max="11781" width="16.5703125" style="3" bestFit="1" customWidth="1"/>
    <col min="11782" max="11782" width="19" style="3" customWidth="1"/>
    <col min="11783" max="11784" width="12.85546875" style="3" bestFit="1" customWidth="1"/>
    <col min="11785" max="12032" width="11.42578125" style="3"/>
    <col min="12033" max="12033" width="58.85546875" style="3" customWidth="1"/>
    <col min="12034" max="12034" width="15.7109375" style="3" customWidth="1"/>
    <col min="12035" max="12035" width="16.5703125" style="3" customWidth="1"/>
    <col min="12036" max="12036" width="15.28515625" style="3" bestFit="1" customWidth="1"/>
    <col min="12037" max="12037" width="16.5703125" style="3" bestFit="1" customWidth="1"/>
    <col min="12038" max="12038" width="19" style="3" customWidth="1"/>
    <col min="12039" max="12040" width="12.85546875" style="3" bestFit="1" customWidth="1"/>
    <col min="12041" max="12288" width="11.42578125" style="3"/>
    <col min="12289" max="12289" width="58.85546875" style="3" customWidth="1"/>
    <col min="12290" max="12290" width="15.7109375" style="3" customWidth="1"/>
    <col min="12291" max="12291" width="16.5703125" style="3" customWidth="1"/>
    <col min="12292" max="12292" width="15.28515625" style="3" bestFit="1" customWidth="1"/>
    <col min="12293" max="12293" width="16.5703125" style="3" bestFit="1" customWidth="1"/>
    <col min="12294" max="12294" width="19" style="3" customWidth="1"/>
    <col min="12295" max="12296" width="12.85546875" style="3" bestFit="1" customWidth="1"/>
    <col min="12297" max="12544" width="11.42578125" style="3"/>
    <col min="12545" max="12545" width="58.85546875" style="3" customWidth="1"/>
    <col min="12546" max="12546" width="15.7109375" style="3" customWidth="1"/>
    <col min="12547" max="12547" width="16.5703125" style="3" customWidth="1"/>
    <col min="12548" max="12548" width="15.28515625" style="3" bestFit="1" customWidth="1"/>
    <col min="12549" max="12549" width="16.5703125" style="3" bestFit="1" customWidth="1"/>
    <col min="12550" max="12550" width="19" style="3" customWidth="1"/>
    <col min="12551" max="12552" width="12.85546875" style="3" bestFit="1" customWidth="1"/>
    <col min="12553" max="12800" width="11.42578125" style="3"/>
    <col min="12801" max="12801" width="58.85546875" style="3" customWidth="1"/>
    <col min="12802" max="12802" width="15.7109375" style="3" customWidth="1"/>
    <col min="12803" max="12803" width="16.5703125" style="3" customWidth="1"/>
    <col min="12804" max="12804" width="15.28515625" style="3" bestFit="1" customWidth="1"/>
    <col min="12805" max="12805" width="16.5703125" style="3" bestFit="1" customWidth="1"/>
    <col min="12806" max="12806" width="19" style="3" customWidth="1"/>
    <col min="12807" max="12808" width="12.85546875" style="3" bestFit="1" customWidth="1"/>
    <col min="12809" max="13056" width="11.42578125" style="3"/>
    <col min="13057" max="13057" width="58.85546875" style="3" customWidth="1"/>
    <col min="13058" max="13058" width="15.7109375" style="3" customWidth="1"/>
    <col min="13059" max="13059" width="16.5703125" style="3" customWidth="1"/>
    <col min="13060" max="13060" width="15.28515625" style="3" bestFit="1" customWidth="1"/>
    <col min="13061" max="13061" width="16.5703125" style="3" bestFit="1" customWidth="1"/>
    <col min="13062" max="13062" width="19" style="3" customWidth="1"/>
    <col min="13063" max="13064" width="12.85546875" style="3" bestFit="1" customWidth="1"/>
    <col min="13065" max="13312" width="11.42578125" style="3"/>
    <col min="13313" max="13313" width="58.85546875" style="3" customWidth="1"/>
    <col min="13314" max="13314" width="15.7109375" style="3" customWidth="1"/>
    <col min="13315" max="13315" width="16.5703125" style="3" customWidth="1"/>
    <col min="13316" max="13316" width="15.28515625" style="3" bestFit="1" customWidth="1"/>
    <col min="13317" max="13317" width="16.5703125" style="3" bestFit="1" customWidth="1"/>
    <col min="13318" max="13318" width="19" style="3" customWidth="1"/>
    <col min="13319" max="13320" width="12.85546875" style="3" bestFit="1" customWidth="1"/>
    <col min="13321" max="13568" width="11.42578125" style="3"/>
    <col min="13569" max="13569" width="58.85546875" style="3" customWidth="1"/>
    <col min="13570" max="13570" width="15.7109375" style="3" customWidth="1"/>
    <col min="13571" max="13571" width="16.5703125" style="3" customWidth="1"/>
    <col min="13572" max="13572" width="15.28515625" style="3" bestFit="1" customWidth="1"/>
    <col min="13573" max="13573" width="16.5703125" style="3" bestFit="1" customWidth="1"/>
    <col min="13574" max="13574" width="19" style="3" customWidth="1"/>
    <col min="13575" max="13576" width="12.85546875" style="3" bestFit="1" customWidth="1"/>
    <col min="13577" max="13824" width="11.42578125" style="3"/>
    <col min="13825" max="13825" width="58.85546875" style="3" customWidth="1"/>
    <col min="13826" max="13826" width="15.7109375" style="3" customWidth="1"/>
    <col min="13827" max="13827" width="16.5703125" style="3" customWidth="1"/>
    <col min="13828" max="13828" width="15.28515625" style="3" bestFit="1" customWidth="1"/>
    <col min="13829" max="13829" width="16.5703125" style="3" bestFit="1" customWidth="1"/>
    <col min="13830" max="13830" width="19" style="3" customWidth="1"/>
    <col min="13831" max="13832" width="12.85546875" style="3" bestFit="1" customWidth="1"/>
    <col min="13833" max="14080" width="11.42578125" style="3"/>
    <col min="14081" max="14081" width="58.85546875" style="3" customWidth="1"/>
    <col min="14082" max="14082" width="15.7109375" style="3" customWidth="1"/>
    <col min="14083" max="14083" width="16.5703125" style="3" customWidth="1"/>
    <col min="14084" max="14084" width="15.28515625" style="3" bestFit="1" customWidth="1"/>
    <col min="14085" max="14085" width="16.5703125" style="3" bestFit="1" customWidth="1"/>
    <col min="14086" max="14086" width="19" style="3" customWidth="1"/>
    <col min="14087" max="14088" width="12.85546875" style="3" bestFit="1" customWidth="1"/>
    <col min="14089" max="14336" width="11.42578125" style="3"/>
    <col min="14337" max="14337" width="58.85546875" style="3" customWidth="1"/>
    <col min="14338" max="14338" width="15.7109375" style="3" customWidth="1"/>
    <col min="14339" max="14339" width="16.5703125" style="3" customWidth="1"/>
    <col min="14340" max="14340" width="15.28515625" style="3" bestFit="1" customWidth="1"/>
    <col min="14341" max="14341" width="16.5703125" style="3" bestFit="1" customWidth="1"/>
    <col min="14342" max="14342" width="19" style="3" customWidth="1"/>
    <col min="14343" max="14344" width="12.85546875" style="3" bestFit="1" customWidth="1"/>
    <col min="14345" max="14592" width="11.42578125" style="3"/>
    <col min="14593" max="14593" width="58.85546875" style="3" customWidth="1"/>
    <col min="14594" max="14594" width="15.7109375" style="3" customWidth="1"/>
    <col min="14595" max="14595" width="16.5703125" style="3" customWidth="1"/>
    <col min="14596" max="14596" width="15.28515625" style="3" bestFit="1" customWidth="1"/>
    <col min="14597" max="14597" width="16.5703125" style="3" bestFit="1" customWidth="1"/>
    <col min="14598" max="14598" width="19" style="3" customWidth="1"/>
    <col min="14599" max="14600" width="12.85546875" style="3" bestFit="1" customWidth="1"/>
    <col min="14601" max="14848" width="11.42578125" style="3"/>
    <col min="14849" max="14849" width="58.85546875" style="3" customWidth="1"/>
    <col min="14850" max="14850" width="15.7109375" style="3" customWidth="1"/>
    <col min="14851" max="14851" width="16.5703125" style="3" customWidth="1"/>
    <col min="14852" max="14852" width="15.28515625" style="3" bestFit="1" customWidth="1"/>
    <col min="14853" max="14853" width="16.5703125" style="3" bestFit="1" customWidth="1"/>
    <col min="14854" max="14854" width="19" style="3" customWidth="1"/>
    <col min="14855" max="14856" width="12.85546875" style="3" bestFit="1" customWidth="1"/>
    <col min="14857" max="15104" width="11.42578125" style="3"/>
    <col min="15105" max="15105" width="58.85546875" style="3" customWidth="1"/>
    <col min="15106" max="15106" width="15.7109375" style="3" customWidth="1"/>
    <col min="15107" max="15107" width="16.5703125" style="3" customWidth="1"/>
    <col min="15108" max="15108" width="15.28515625" style="3" bestFit="1" customWidth="1"/>
    <col min="15109" max="15109" width="16.5703125" style="3" bestFit="1" customWidth="1"/>
    <col min="15110" max="15110" width="19" style="3" customWidth="1"/>
    <col min="15111" max="15112" width="12.85546875" style="3" bestFit="1" customWidth="1"/>
    <col min="15113" max="15360" width="11.42578125" style="3"/>
    <col min="15361" max="15361" width="58.85546875" style="3" customWidth="1"/>
    <col min="15362" max="15362" width="15.7109375" style="3" customWidth="1"/>
    <col min="15363" max="15363" width="16.5703125" style="3" customWidth="1"/>
    <col min="15364" max="15364" width="15.28515625" style="3" bestFit="1" customWidth="1"/>
    <col min="15365" max="15365" width="16.5703125" style="3" bestFit="1" customWidth="1"/>
    <col min="15366" max="15366" width="19" style="3" customWidth="1"/>
    <col min="15367" max="15368" width="12.85546875" style="3" bestFit="1" customWidth="1"/>
    <col min="15369" max="15616" width="11.42578125" style="3"/>
    <col min="15617" max="15617" width="58.85546875" style="3" customWidth="1"/>
    <col min="15618" max="15618" width="15.7109375" style="3" customWidth="1"/>
    <col min="15619" max="15619" width="16.5703125" style="3" customWidth="1"/>
    <col min="15620" max="15620" width="15.28515625" style="3" bestFit="1" customWidth="1"/>
    <col min="15621" max="15621" width="16.5703125" style="3" bestFit="1" customWidth="1"/>
    <col min="15622" max="15622" width="19" style="3" customWidth="1"/>
    <col min="15623" max="15624" width="12.85546875" style="3" bestFit="1" customWidth="1"/>
    <col min="15625" max="15872" width="11.42578125" style="3"/>
    <col min="15873" max="15873" width="58.85546875" style="3" customWidth="1"/>
    <col min="15874" max="15874" width="15.7109375" style="3" customWidth="1"/>
    <col min="15875" max="15875" width="16.5703125" style="3" customWidth="1"/>
    <col min="15876" max="15876" width="15.28515625" style="3" bestFit="1" customWidth="1"/>
    <col min="15877" max="15877" width="16.5703125" style="3" bestFit="1" customWidth="1"/>
    <col min="15878" max="15878" width="19" style="3" customWidth="1"/>
    <col min="15879" max="15880" width="12.85546875" style="3" bestFit="1" customWidth="1"/>
    <col min="15881" max="16128" width="11.42578125" style="3"/>
    <col min="16129" max="16129" width="58.85546875" style="3" customWidth="1"/>
    <col min="16130" max="16130" width="15.7109375" style="3" customWidth="1"/>
    <col min="16131" max="16131" width="16.5703125" style="3" customWidth="1"/>
    <col min="16132" max="16132" width="15.28515625" style="3" bestFit="1" customWidth="1"/>
    <col min="16133" max="16133" width="16.5703125" style="3" bestFit="1" customWidth="1"/>
    <col min="16134" max="16134" width="19" style="3" customWidth="1"/>
    <col min="16135" max="16136" width="12.85546875" style="3" bestFit="1" customWidth="1"/>
    <col min="16137" max="16384" width="11.42578125" style="3"/>
  </cols>
  <sheetData>
    <row r="1" spans="1:8" ht="12.75" customHeight="1">
      <c r="A1" s="773" t="s">
        <v>85</v>
      </c>
      <c r="B1" s="773"/>
      <c r="C1" s="773"/>
      <c r="D1" s="1"/>
    </row>
    <row r="2" spans="1:8">
      <c r="A2" s="774" t="s">
        <v>86</v>
      </c>
      <c r="B2" s="774"/>
      <c r="C2" s="774"/>
      <c r="D2" s="1"/>
    </row>
    <row r="3" spans="1:8">
      <c r="A3" s="228"/>
      <c r="B3" s="169"/>
      <c r="C3" s="169"/>
    </row>
    <row r="4" spans="1:8">
      <c r="A4" s="650" t="s">
        <v>87</v>
      </c>
      <c r="B4" s="650"/>
      <c r="C4" s="650"/>
    </row>
    <row r="5" spans="1:8">
      <c r="A5" s="650" t="s">
        <v>88</v>
      </c>
      <c r="B5" s="650"/>
      <c r="C5" s="650"/>
    </row>
    <row r="6" spans="1:8">
      <c r="A6" s="124"/>
      <c r="B6" s="162"/>
      <c r="C6" s="162"/>
    </row>
    <row r="7" spans="1:8">
      <c r="A7" s="740" t="s">
        <v>89</v>
      </c>
      <c r="B7" s="741"/>
      <c r="C7" s="742"/>
    </row>
    <row r="8" spans="1:8">
      <c r="A8" s="127" t="s">
        <v>252</v>
      </c>
      <c r="B8" s="356">
        <v>641928000</v>
      </c>
      <c r="C8" s="162"/>
    </row>
    <row r="9" spans="1:8" ht="16.5" thickBot="1">
      <c r="A9" s="363" t="s">
        <v>90</v>
      </c>
      <c r="B9" s="365">
        <v>21158000</v>
      </c>
      <c r="C9" s="364"/>
    </row>
    <row r="10" spans="1:8">
      <c r="A10" s="20" t="s">
        <v>91</v>
      </c>
      <c r="B10" s="361"/>
      <c r="C10" s="362">
        <f>+B9+B8</f>
        <v>663086000</v>
      </c>
      <c r="E10" s="4"/>
    </row>
    <row r="11" spans="1:8">
      <c r="A11" s="315"/>
      <c r="B11" s="357"/>
      <c r="C11" s="357"/>
    </row>
    <row r="12" spans="1:8">
      <c r="A12" s="766" t="s">
        <v>92</v>
      </c>
      <c r="B12" s="767"/>
      <c r="C12" s="768"/>
    </row>
    <row r="13" spans="1:8">
      <c r="A13" s="235" t="s">
        <v>253</v>
      </c>
      <c r="B13" s="162"/>
      <c r="C13" s="162"/>
    </row>
    <row r="14" spans="1:8">
      <c r="A14" s="229" t="s">
        <v>93</v>
      </c>
      <c r="B14" s="162">
        <v>40274000</v>
      </c>
      <c r="C14" s="162"/>
      <c r="F14" s="5"/>
      <c r="G14" s="4"/>
      <c r="H14" s="5"/>
    </row>
    <row r="15" spans="1:8">
      <c r="A15" s="132" t="s">
        <v>94</v>
      </c>
      <c r="B15" s="162">
        <v>1757000</v>
      </c>
      <c r="C15" s="162"/>
    </row>
    <row r="16" spans="1:8">
      <c r="A16" s="132" t="s">
        <v>95</v>
      </c>
      <c r="B16" s="162">
        <v>426000</v>
      </c>
      <c r="C16" s="162"/>
    </row>
    <row r="17" spans="1:6">
      <c r="A17" s="132" t="s">
        <v>96</v>
      </c>
      <c r="B17" s="162">
        <v>200012000</v>
      </c>
      <c r="C17" s="162"/>
    </row>
    <row r="18" spans="1:6">
      <c r="A18" s="132" t="s">
        <v>97</v>
      </c>
      <c r="B18" s="162">
        <v>98507000</v>
      </c>
      <c r="C18" s="162"/>
    </row>
    <row r="19" spans="1:6">
      <c r="A19" s="132" t="s">
        <v>98</v>
      </c>
      <c r="B19" s="162">
        <v>1062000</v>
      </c>
      <c r="C19" s="162"/>
    </row>
    <row r="20" spans="1:6">
      <c r="A20" s="132" t="s">
        <v>99</v>
      </c>
      <c r="B20" s="162">
        <v>38400000</v>
      </c>
      <c r="C20" s="162"/>
    </row>
    <row r="21" spans="1:6">
      <c r="A21" s="132" t="s">
        <v>100</v>
      </c>
      <c r="B21" s="162">
        <v>21576000</v>
      </c>
      <c r="C21" s="162"/>
    </row>
    <row r="22" spans="1:6">
      <c r="A22" s="132" t="s">
        <v>101</v>
      </c>
      <c r="B22" s="162">
        <v>39599000</v>
      </c>
      <c r="C22" s="162"/>
    </row>
    <row r="23" spans="1:6">
      <c r="A23" s="132" t="s">
        <v>102</v>
      </c>
      <c r="B23" s="162">
        <v>86554000</v>
      </c>
      <c r="C23" s="162"/>
    </row>
    <row r="24" spans="1:6">
      <c r="A24" s="132" t="s">
        <v>103</v>
      </c>
      <c r="B24" s="162">
        <f>776500+500</f>
        <v>777000</v>
      </c>
      <c r="C24" s="162"/>
    </row>
    <row r="25" spans="1:6">
      <c r="A25" s="132" t="s">
        <v>104</v>
      </c>
      <c r="B25" s="162">
        <v>900000</v>
      </c>
      <c r="C25" s="162"/>
    </row>
    <row r="26" spans="1:6">
      <c r="A26" s="132" t="s">
        <v>105</v>
      </c>
      <c r="B26" s="162">
        <v>36000</v>
      </c>
      <c r="C26" s="162"/>
    </row>
    <row r="27" spans="1:6">
      <c r="A27" s="132" t="s">
        <v>106</v>
      </c>
      <c r="B27" s="162">
        <v>2674000</v>
      </c>
      <c r="C27" s="162"/>
    </row>
    <row r="28" spans="1:6">
      <c r="A28" s="132" t="s">
        <v>107</v>
      </c>
      <c r="B28" s="162">
        <v>598000</v>
      </c>
      <c r="C28" s="162"/>
    </row>
    <row r="29" spans="1:6">
      <c r="A29" s="132" t="s">
        <v>108</v>
      </c>
      <c r="B29" s="162">
        <v>35110000</v>
      </c>
      <c r="C29" s="162"/>
    </row>
    <row r="30" spans="1:6" ht="16.5" thickBot="1">
      <c r="A30" s="132" t="s">
        <v>109</v>
      </c>
      <c r="B30" s="366">
        <f>1253000+40000</f>
        <v>1293000</v>
      </c>
      <c r="C30" s="162"/>
    </row>
    <row r="31" spans="1:6">
      <c r="A31" s="235" t="s">
        <v>110</v>
      </c>
      <c r="B31" s="357"/>
      <c r="C31" s="164">
        <f>SUM(B14:B30)</f>
        <v>569555000</v>
      </c>
      <c r="D31" s="6"/>
      <c r="F31" s="5"/>
    </row>
    <row r="32" spans="1:6">
      <c r="A32" s="313"/>
      <c r="B32" s="356"/>
      <c r="C32" s="356"/>
    </row>
    <row r="33" spans="1:6" ht="16.5" thickBot="1">
      <c r="A33" s="763" t="s">
        <v>111</v>
      </c>
      <c r="B33" s="764"/>
      <c r="C33" s="359">
        <f>C10-C31</f>
        <v>93531000</v>
      </c>
    </row>
    <row r="34" spans="1:6">
      <c r="A34" s="315"/>
      <c r="B34" s="357"/>
      <c r="C34" s="357"/>
    </row>
    <row r="35" spans="1:6">
      <c r="A35" s="766" t="s">
        <v>212</v>
      </c>
      <c r="B35" s="767"/>
      <c r="C35" s="768"/>
    </row>
    <row r="36" spans="1:6">
      <c r="A36" s="235" t="s">
        <v>113</v>
      </c>
      <c r="B36" s="162"/>
      <c r="C36" s="162"/>
    </row>
    <row r="37" spans="1:6">
      <c r="A37" s="229" t="s">
        <v>114</v>
      </c>
      <c r="B37" s="162">
        <v>44305000</v>
      </c>
      <c r="C37" s="162"/>
    </row>
    <row r="38" spans="1:6">
      <c r="A38" s="229" t="s">
        <v>115</v>
      </c>
      <c r="B38" s="162">
        <v>2800000</v>
      </c>
      <c r="C38" s="162"/>
    </row>
    <row r="39" spans="1:6">
      <c r="A39" s="229" t="s">
        <v>116</v>
      </c>
      <c r="B39" s="162">
        <v>17000</v>
      </c>
      <c r="C39" s="162"/>
    </row>
    <row r="40" spans="1:6">
      <c r="A40" s="229" t="s">
        <v>117</v>
      </c>
      <c r="B40" s="162">
        <v>2750000</v>
      </c>
      <c r="C40" s="162"/>
    </row>
    <row r="41" spans="1:6">
      <c r="A41" s="229" t="s">
        <v>118</v>
      </c>
      <c r="B41" s="162">
        <v>1524000</v>
      </c>
      <c r="C41" s="162"/>
    </row>
    <row r="42" spans="1:6">
      <c r="A42" s="229" t="s">
        <v>119</v>
      </c>
      <c r="B42" s="162">
        <v>1278000</v>
      </c>
      <c r="C42" s="162"/>
    </row>
    <row r="43" spans="1:6" ht="16.5" thickBot="1">
      <c r="A43" s="229" t="s">
        <v>120</v>
      </c>
      <c r="B43" s="366">
        <v>2189000</v>
      </c>
      <c r="C43" s="162"/>
    </row>
    <row r="44" spans="1:6">
      <c r="A44" s="766" t="s">
        <v>121</v>
      </c>
      <c r="B44" s="775"/>
      <c r="C44" s="164">
        <f>+SUM(B37:B43)</f>
        <v>54863000</v>
      </c>
      <c r="F44" s="5"/>
    </row>
    <row r="45" spans="1:6">
      <c r="A45" s="124"/>
      <c r="B45" s="162"/>
      <c r="C45" s="162"/>
    </row>
    <row r="46" spans="1:6">
      <c r="A46" s="766" t="s">
        <v>122</v>
      </c>
      <c r="B46" s="767"/>
      <c r="C46" s="768"/>
    </row>
    <row r="47" spans="1:6" ht="16.5" thickBot="1">
      <c r="A47" s="229" t="s">
        <v>118</v>
      </c>
      <c r="B47" s="366">
        <v>285000</v>
      </c>
      <c r="C47" s="162"/>
    </row>
    <row r="48" spans="1:6">
      <c r="A48" s="235" t="s">
        <v>123</v>
      </c>
      <c r="B48" s="357"/>
      <c r="C48" s="164">
        <f>B47</f>
        <v>285000</v>
      </c>
    </row>
    <row r="49" spans="1:6">
      <c r="A49" s="313"/>
      <c r="B49" s="356"/>
      <c r="C49" s="356"/>
    </row>
    <row r="50" spans="1:6" ht="16.5" thickBot="1">
      <c r="A50" s="369" t="s">
        <v>213</v>
      </c>
      <c r="B50" s="358"/>
      <c r="C50" s="359">
        <f>+C44+C48</f>
        <v>55148000</v>
      </c>
    </row>
    <row r="51" spans="1:6">
      <c r="A51" s="317"/>
      <c r="B51" s="368"/>
      <c r="C51" s="368"/>
      <c r="E51" s="8"/>
      <c r="F51" s="5"/>
    </row>
    <row r="52" spans="1:6" ht="16.5" thickBot="1">
      <c r="A52" s="763" t="s">
        <v>7</v>
      </c>
      <c r="B52" s="764"/>
      <c r="C52" s="359">
        <f>+C33-C50</f>
        <v>38383000</v>
      </c>
    </row>
    <row r="53" spans="1:6">
      <c r="A53" s="360"/>
      <c r="B53" s="357"/>
      <c r="C53" s="367"/>
      <c r="E53" s="8"/>
    </row>
    <row r="54" spans="1:6">
      <c r="A54" s="235"/>
      <c r="B54" s="162"/>
      <c r="C54" s="164"/>
      <c r="E54" s="8"/>
    </row>
    <row r="55" spans="1:6">
      <c r="A55" s="773" t="s">
        <v>85</v>
      </c>
      <c r="B55" s="773"/>
      <c r="C55" s="773"/>
      <c r="E55" s="8"/>
    </row>
    <row r="56" spans="1:6">
      <c r="A56" s="774" t="s">
        <v>86</v>
      </c>
      <c r="B56" s="774"/>
      <c r="C56" s="774"/>
      <c r="E56" s="8"/>
    </row>
    <row r="57" spans="1:6">
      <c r="A57" s="228"/>
      <c r="B57" s="169"/>
      <c r="C57" s="169"/>
      <c r="E57" s="8"/>
    </row>
    <row r="58" spans="1:6">
      <c r="A58" s="650" t="s">
        <v>87</v>
      </c>
      <c r="B58" s="650"/>
      <c r="C58" s="650"/>
      <c r="E58" s="8"/>
    </row>
    <row r="59" spans="1:6">
      <c r="A59" s="650" t="s">
        <v>88</v>
      </c>
      <c r="B59" s="650"/>
      <c r="C59" s="650"/>
      <c r="E59" s="8"/>
    </row>
    <row r="60" spans="1:6">
      <c r="A60" s="235"/>
      <c r="B60" s="162"/>
      <c r="C60" s="164"/>
      <c r="E60" s="8"/>
    </row>
    <row r="61" spans="1:6">
      <c r="A61" s="766" t="s">
        <v>9</v>
      </c>
      <c r="B61" s="767"/>
      <c r="C61" s="768"/>
    </row>
    <row r="62" spans="1:6" ht="16.5" thickBot="1">
      <c r="A62" s="124" t="s">
        <v>125</v>
      </c>
      <c r="B62" s="366">
        <v>2394000</v>
      </c>
      <c r="C62" s="162"/>
    </row>
    <row r="63" spans="1:6">
      <c r="A63" s="766" t="s">
        <v>126</v>
      </c>
      <c r="B63" s="775"/>
      <c r="C63" s="164">
        <f>+B62</f>
        <v>2394000</v>
      </c>
    </row>
    <row r="64" spans="1:6">
      <c r="A64" s="313"/>
      <c r="B64" s="356"/>
      <c r="C64" s="356"/>
    </row>
    <row r="65" spans="1:3" ht="16.5" thickBot="1">
      <c r="A65" s="763" t="s">
        <v>314</v>
      </c>
      <c r="B65" s="764"/>
      <c r="C65" s="359">
        <f>+C52-C63</f>
        <v>35989000</v>
      </c>
    </row>
    <row r="66" spans="1:3">
      <c r="A66" s="360"/>
      <c r="B66" s="357"/>
      <c r="C66" s="367"/>
    </row>
    <row r="67" spans="1:3">
      <c r="A67" s="776" t="s">
        <v>256</v>
      </c>
      <c r="B67" s="777"/>
      <c r="C67" s="778"/>
    </row>
    <row r="68" spans="1:3">
      <c r="A68" s="155" t="s">
        <v>128</v>
      </c>
      <c r="B68" s="182">
        <f>+C65*25%-250</f>
        <v>8997000</v>
      </c>
      <c r="C68" s="183"/>
    </row>
    <row r="69" spans="1:3" ht="16.5" thickBot="1">
      <c r="A69" s="155" t="s">
        <v>250</v>
      </c>
      <c r="B69" s="371">
        <f>+C65*9%-10</f>
        <v>3239000</v>
      </c>
      <c r="C69" s="183"/>
    </row>
    <row r="70" spans="1:3">
      <c r="A70" s="235" t="s">
        <v>257</v>
      </c>
      <c r="B70" s="370"/>
      <c r="C70" s="183">
        <f>+B69+B68</f>
        <v>12236000</v>
      </c>
    </row>
    <row r="71" spans="1:3">
      <c r="A71" s="372"/>
      <c r="B71" s="356"/>
      <c r="C71" s="373"/>
    </row>
    <row r="72" spans="1:3" ht="16.5" thickBot="1">
      <c r="A72" s="763" t="s">
        <v>14</v>
      </c>
      <c r="B72" s="764"/>
      <c r="C72" s="376">
        <f>+C65-C70</f>
        <v>23753000</v>
      </c>
    </row>
    <row r="73" spans="1:3">
      <c r="A73" s="360"/>
      <c r="B73" s="374"/>
      <c r="C73" s="375"/>
    </row>
    <row r="74" spans="1:3">
      <c r="A74" s="235"/>
      <c r="B74" s="184"/>
      <c r="C74" s="185"/>
    </row>
    <row r="75" spans="1:3">
      <c r="A75" s="235"/>
      <c r="B75" s="184"/>
      <c r="C75" s="185"/>
    </row>
    <row r="76" spans="1:3">
      <c r="A76" s="235"/>
      <c r="B76" s="184"/>
      <c r="C76" s="185"/>
    </row>
    <row r="77" spans="1:3">
      <c r="A77" s="246" t="s">
        <v>130</v>
      </c>
      <c r="B77" s="771" t="s">
        <v>131</v>
      </c>
      <c r="C77" s="771"/>
    </row>
    <row r="78" spans="1:3">
      <c r="A78" s="158" t="s">
        <v>132</v>
      </c>
      <c r="B78" s="770" t="s">
        <v>133</v>
      </c>
      <c r="C78" s="770"/>
    </row>
    <row r="79" spans="1:3">
      <c r="A79" s="153" t="s">
        <v>251</v>
      </c>
      <c r="B79" s="771" t="s">
        <v>134</v>
      </c>
      <c r="C79" s="771"/>
    </row>
    <row r="80" spans="1:3">
      <c r="A80" s="148"/>
      <c r="B80" s="769"/>
      <c r="C80" s="769"/>
    </row>
    <row r="81" spans="1:6" s="2" customFormat="1">
      <c r="A81" s="11"/>
      <c r="B81" s="772"/>
      <c r="C81" s="772"/>
      <c r="D81" s="4"/>
      <c r="F81" s="3"/>
    </row>
    <row r="82" spans="1:6" s="2" customFormat="1">
      <c r="A82" s="3"/>
      <c r="B82" s="186"/>
      <c r="C82" s="186"/>
      <c r="D82" s="4"/>
      <c r="F82" s="3"/>
    </row>
    <row r="83" spans="1:6" s="2" customFormat="1">
      <c r="A83" s="3"/>
      <c r="B83" s="187"/>
      <c r="C83" s="187"/>
      <c r="D83" s="4"/>
      <c r="F83" s="3"/>
    </row>
    <row r="84" spans="1:6" s="2" customFormat="1">
      <c r="A84" s="3"/>
      <c r="B84" s="186"/>
      <c r="C84" s="186"/>
      <c r="D84" s="4"/>
      <c r="F84" s="3"/>
    </row>
    <row r="85" spans="1:6" s="2" customFormat="1">
      <c r="A85" s="3"/>
      <c r="B85" s="179"/>
      <c r="C85" s="179"/>
      <c r="D85" s="4"/>
      <c r="F85" s="3"/>
    </row>
  </sheetData>
  <mergeCells count="25">
    <mergeCell ref="A63:B63"/>
    <mergeCell ref="A65:B65"/>
    <mergeCell ref="A67:C67"/>
    <mergeCell ref="A72:B72"/>
    <mergeCell ref="A35:C35"/>
    <mergeCell ref="A44:B44"/>
    <mergeCell ref="A46:C46"/>
    <mergeCell ref="A52:B52"/>
    <mergeCell ref="A61:C61"/>
    <mergeCell ref="B78:C78"/>
    <mergeCell ref="B79:C79"/>
    <mergeCell ref="B80:C80"/>
    <mergeCell ref="B81:C81"/>
    <mergeCell ref="A1:C1"/>
    <mergeCell ref="A2:C2"/>
    <mergeCell ref="A4:C4"/>
    <mergeCell ref="A5:C5"/>
    <mergeCell ref="B77:C77"/>
    <mergeCell ref="A55:C55"/>
    <mergeCell ref="A56:C56"/>
    <mergeCell ref="A58:C58"/>
    <mergeCell ref="A59:C59"/>
    <mergeCell ref="A7:C7"/>
    <mergeCell ref="A12:C12"/>
    <mergeCell ref="A33:B33"/>
  </mergeCells>
  <pageMargins left="0.7" right="0.7" top="0.75" bottom="0.75" header="0.3" footer="0.3"/>
  <pageSetup scale="53" orientation="portrait" r:id="rId1"/>
  <rowBreaks count="1" manualBreakCount="1">
    <brk id="53" max="16383"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5"/>
  <sheetViews>
    <sheetView zoomScaleNormal="100" zoomScaleSheetLayoutView="90" workbookViewId="0">
      <selection activeCell="E35" sqref="E35"/>
    </sheetView>
  </sheetViews>
  <sheetFormatPr baseColWidth="10" defaultColWidth="10.7109375" defaultRowHeight="15.75"/>
  <cols>
    <col min="1" max="1" width="69.42578125" style="3" customWidth="1"/>
    <col min="2" max="2" width="15" style="178" customWidth="1"/>
    <col min="3" max="3" width="21.28515625" style="178" customWidth="1"/>
    <col min="4" max="4" width="16.5703125" style="2" bestFit="1" customWidth="1"/>
    <col min="5" max="5" width="17.7109375" style="2" customWidth="1"/>
    <col min="6" max="7" width="11.42578125" style="3"/>
    <col min="8" max="8" width="11.42578125" style="3" customWidth="1"/>
    <col min="9" max="255" width="11.42578125" style="3"/>
    <col min="256" max="256" width="49.42578125" style="3" customWidth="1"/>
    <col min="257" max="257" width="22.5703125" style="3" customWidth="1"/>
    <col min="258" max="258" width="20.140625" style="3" customWidth="1"/>
    <col min="259" max="259" width="14" style="3" customWidth="1"/>
    <col min="260" max="260" width="16.5703125" style="3" bestFit="1" customWidth="1"/>
    <col min="261" max="261" width="17.7109375" style="3" customWidth="1"/>
    <col min="262" max="511" width="11.42578125" style="3"/>
    <col min="512" max="512" width="49.42578125" style="3" customWidth="1"/>
    <col min="513" max="513" width="22.5703125" style="3" customWidth="1"/>
    <col min="514" max="514" width="20.140625" style="3" customWidth="1"/>
    <col min="515" max="515" width="14" style="3" customWidth="1"/>
    <col min="516" max="516" width="16.5703125" style="3" bestFit="1" customWidth="1"/>
    <col min="517" max="517" width="17.7109375" style="3" customWidth="1"/>
    <col min="518" max="767" width="11.42578125" style="3"/>
    <col min="768" max="768" width="49.42578125" style="3" customWidth="1"/>
    <col min="769" max="769" width="22.5703125" style="3" customWidth="1"/>
    <col min="770" max="770" width="20.140625" style="3" customWidth="1"/>
    <col min="771" max="771" width="14" style="3" customWidth="1"/>
    <col min="772" max="772" width="16.5703125" style="3" bestFit="1" customWidth="1"/>
    <col min="773" max="773" width="17.7109375" style="3" customWidth="1"/>
    <col min="774" max="1023" width="11.42578125" style="3"/>
    <col min="1024" max="1024" width="49.42578125" style="3" customWidth="1"/>
    <col min="1025" max="1025" width="22.5703125" style="3" customWidth="1"/>
    <col min="1026" max="1026" width="20.140625" style="3" customWidth="1"/>
    <col min="1027" max="1027" width="14" style="3" customWidth="1"/>
    <col min="1028" max="1028" width="16.5703125" style="3" bestFit="1" customWidth="1"/>
    <col min="1029" max="1029" width="17.7109375" style="3" customWidth="1"/>
    <col min="1030" max="1279" width="11.42578125" style="3"/>
    <col min="1280" max="1280" width="49.42578125" style="3" customWidth="1"/>
    <col min="1281" max="1281" width="22.5703125" style="3" customWidth="1"/>
    <col min="1282" max="1282" width="20.140625" style="3" customWidth="1"/>
    <col min="1283" max="1283" width="14" style="3" customWidth="1"/>
    <col min="1284" max="1284" width="16.5703125" style="3" bestFit="1" customWidth="1"/>
    <col min="1285" max="1285" width="17.7109375" style="3" customWidth="1"/>
    <col min="1286" max="1535" width="11.42578125" style="3"/>
    <col min="1536" max="1536" width="49.42578125" style="3" customWidth="1"/>
    <col min="1537" max="1537" width="22.5703125" style="3" customWidth="1"/>
    <col min="1538" max="1538" width="20.140625" style="3" customWidth="1"/>
    <col min="1539" max="1539" width="14" style="3" customWidth="1"/>
    <col min="1540" max="1540" width="16.5703125" style="3" bestFit="1" customWidth="1"/>
    <col min="1541" max="1541" width="17.7109375" style="3" customWidth="1"/>
    <col min="1542" max="1791" width="11.42578125" style="3"/>
    <col min="1792" max="1792" width="49.42578125" style="3" customWidth="1"/>
    <col min="1793" max="1793" width="22.5703125" style="3" customWidth="1"/>
    <col min="1794" max="1794" width="20.140625" style="3" customWidth="1"/>
    <col min="1795" max="1795" width="14" style="3" customWidth="1"/>
    <col min="1796" max="1796" width="16.5703125" style="3" bestFit="1" customWidth="1"/>
    <col min="1797" max="1797" width="17.7109375" style="3" customWidth="1"/>
    <col min="1798" max="2047" width="11.42578125" style="3"/>
    <col min="2048" max="2048" width="49.42578125" style="3" customWidth="1"/>
    <col min="2049" max="2049" width="22.5703125" style="3" customWidth="1"/>
    <col min="2050" max="2050" width="20.140625" style="3" customWidth="1"/>
    <col min="2051" max="2051" width="14" style="3" customWidth="1"/>
    <col min="2052" max="2052" width="16.5703125" style="3" bestFit="1" customWidth="1"/>
    <col min="2053" max="2053" width="17.7109375" style="3" customWidth="1"/>
    <col min="2054" max="2303" width="11.42578125" style="3"/>
    <col min="2304" max="2304" width="49.42578125" style="3" customWidth="1"/>
    <col min="2305" max="2305" width="22.5703125" style="3" customWidth="1"/>
    <col min="2306" max="2306" width="20.140625" style="3" customWidth="1"/>
    <col min="2307" max="2307" width="14" style="3" customWidth="1"/>
    <col min="2308" max="2308" width="16.5703125" style="3" bestFit="1" customWidth="1"/>
    <col min="2309" max="2309" width="17.7109375" style="3" customWidth="1"/>
    <col min="2310" max="2559" width="11.42578125" style="3"/>
    <col min="2560" max="2560" width="49.42578125" style="3" customWidth="1"/>
    <col min="2561" max="2561" width="22.5703125" style="3" customWidth="1"/>
    <col min="2562" max="2562" width="20.140625" style="3" customWidth="1"/>
    <col min="2563" max="2563" width="14" style="3" customWidth="1"/>
    <col min="2564" max="2564" width="16.5703125" style="3" bestFit="1" customWidth="1"/>
    <col min="2565" max="2565" width="17.7109375" style="3" customWidth="1"/>
    <col min="2566" max="2815" width="11.42578125" style="3"/>
    <col min="2816" max="2816" width="49.42578125" style="3" customWidth="1"/>
    <col min="2817" max="2817" width="22.5703125" style="3" customWidth="1"/>
    <col min="2818" max="2818" width="20.140625" style="3" customWidth="1"/>
    <col min="2819" max="2819" width="14" style="3" customWidth="1"/>
    <col min="2820" max="2820" width="16.5703125" style="3" bestFit="1" customWidth="1"/>
    <col min="2821" max="2821" width="17.7109375" style="3" customWidth="1"/>
    <col min="2822" max="3071" width="11.42578125" style="3"/>
    <col min="3072" max="3072" width="49.42578125" style="3" customWidth="1"/>
    <col min="3073" max="3073" width="22.5703125" style="3" customWidth="1"/>
    <col min="3074" max="3074" width="20.140625" style="3" customWidth="1"/>
    <col min="3075" max="3075" width="14" style="3" customWidth="1"/>
    <col min="3076" max="3076" width="16.5703125" style="3" bestFit="1" customWidth="1"/>
    <col min="3077" max="3077" width="17.7109375" style="3" customWidth="1"/>
    <col min="3078" max="3327" width="11.42578125" style="3"/>
    <col min="3328" max="3328" width="49.42578125" style="3" customWidth="1"/>
    <col min="3329" max="3329" width="22.5703125" style="3" customWidth="1"/>
    <col min="3330" max="3330" width="20.140625" style="3" customWidth="1"/>
    <col min="3331" max="3331" width="14" style="3" customWidth="1"/>
    <col min="3332" max="3332" width="16.5703125" style="3" bestFit="1" customWidth="1"/>
    <col min="3333" max="3333" width="17.7109375" style="3" customWidth="1"/>
    <col min="3334" max="3583" width="11.42578125" style="3"/>
    <col min="3584" max="3584" width="49.42578125" style="3" customWidth="1"/>
    <col min="3585" max="3585" width="22.5703125" style="3" customWidth="1"/>
    <col min="3586" max="3586" width="20.140625" style="3" customWidth="1"/>
    <col min="3587" max="3587" width="14" style="3" customWidth="1"/>
    <col min="3588" max="3588" width="16.5703125" style="3" bestFit="1" customWidth="1"/>
    <col min="3589" max="3589" width="17.7109375" style="3" customWidth="1"/>
    <col min="3590" max="3839" width="11.42578125" style="3"/>
    <col min="3840" max="3840" width="49.42578125" style="3" customWidth="1"/>
    <col min="3841" max="3841" width="22.5703125" style="3" customWidth="1"/>
    <col min="3842" max="3842" width="20.140625" style="3" customWidth="1"/>
    <col min="3843" max="3843" width="14" style="3" customWidth="1"/>
    <col min="3844" max="3844" width="16.5703125" style="3" bestFit="1" customWidth="1"/>
    <col min="3845" max="3845" width="17.7109375" style="3" customWidth="1"/>
    <col min="3846" max="4095" width="11.42578125" style="3"/>
    <col min="4096" max="4096" width="49.42578125" style="3" customWidth="1"/>
    <col min="4097" max="4097" width="22.5703125" style="3" customWidth="1"/>
    <col min="4098" max="4098" width="20.140625" style="3" customWidth="1"/>
    <col min="4099" max="4099" width="14" style="3" customWidth="1"/>
    <col min="4100" max="4100" width="16.5703125" style="3" bestFit="1" customWidth="1"/>
    <col min="4101" max="4101" width="17.7109375" style="3" customWidth="1"/>
    <col min="4102" max="4351" width="11.42578125" style="3"/>
    <col min="4352" max="4352" width="49.42578125" style="3" customWidth="1"/>
    <col min="4353" max="4353" width="22.5703125" style="3" customWidth="1"/>
    <col min="4354" max="4354" width="20.140625" style="3" customWidth="1"/>
    <col min="4355" max="4355" width="14" style="3" customWidth="1"/>
    <col min="4356" max="4356" width="16.5703125" style="3" bestFit="1" customWidth="1"/>
    <col min="4357" max="4357" width="17.7109375" style="3" customWidth="1"/>
    <col min="4358" max="4607" width="11.42578125" style="3"/>
    <col min="4608" max="4608" width="49.42578125" style="3" customWidth="1"/>
    <col min="4609" max="4609" width="22.5703125" style="3" customWidth="1"/>
    <col min="4610" max="4610" width="20.140625" style="3" customWidth="1"/>
    <col min="4611" max="4611" width="14" style="3" customWidth="1"/>
    <col min="4612" max="4612" width="16.5703125" style="3" bestFit="1" customWidth="1"/>
    <col min="4613" max="4613" width="17.7109375" style="3" customWidth="1"/>
    <col min="4614" max="4863" width="11.42578125" style="3"/>
    <col min="4864" max="4864" width="49.42578125" style="3" customWidth="1"/>
    <col min="4865" max="4865" width="22.5703125" style="3" customWidth="1"/>
    <col min="4866" max="4866" width="20.140625" style="3" customWidth="1"/>
    <col min="4867" max="4867" width="14" style="3" customWidth="1"/>
    <col min="4868" max="4868" width="16.5703125" style="3" bestFit="1" customWidth="1"/>
    <col min="4869" max="4869" width="17.7109375" style="3" customWidth="1"/>
    <col min="4870" max="5119" width="11.42578125" style="3"/>
    <col min="5120" max="5120" width="49.42578125" style="3" customWidth="1"/>
    <col min="5121" max="5121" width="22.5703125" style="3" customWidth="1"/>
    <col min="5122" max="5122" width="20.140625" style="3" customWidth="1"/>
    <col min="5123" max="5123" width="14" style="3" customWidth="1"/>
    <col min="5124" max="5124" width="16.5703125" style="3" bestFit="1" customWidth="1"/>
    <col min="5125" max="5125" width="17.7109375" style="3" customWidth="1"/>
    <col min="5126" max="5375" width="11.42578125" style="3"/>
    <col min="5376" max="5376" width="49.42578125" style="3" customWidth="1"/>
    <col min="5377" max="5377" width="22.5703125" style="3" customWidth="1"/>
    <col min="5378" max="5378" width="20.140625" style="3" customWidth="1"/>
    <col min="5379" max="5379" width="14" style="3" customWidth="1"/>
    <col min="5380" max="5380" width="16.5703125" style="3" bestFit="1" customWidth="1"/>
    <col min="5381" max="5381" width="17.7109375" style="3" customWidth="1"/>
    <col min="5382" max="5631" width="11.42578125" style="3"/>
    <col min="5632" max="5632" width="49.42578125" style="3" customWidth="1"/>
    <col min="5633" max="5633" width="22.5703125" style="3" customWidth="1"/>
    <col min="5634" max="5634" width="20.140625" style="3" customWidth="1"/>
    <col min="5635" max="5635" width="14" style="3" customWidth="1"/>
    <col min="5636" max="5636" width="16.5703125" style="3" bestFit="1" customWidth="1"/>
    <col min="5637" max="5637" width="17.7109375" style="3" customWidth="1"/>
    <col min="5638" max="5887" width="11.42578125" style="3"/>
    <col min="5888" max="5888" width="49.42578125" style="3" customWidth="1"/>
    <col min="5889" max="5889" width="22.5703125" style="3" customWidth="1"/>
    <col min="5890" max="5890" width="20.140625" style="3" customWidth="1"/>
    <col min="5891" max="5891" width="14" style="3" customWidth="1"/>
    <col min="5892" max="5892" width="16.5703125" style="3" bestFit="1" customWidth="1"/>
    <col min="5893" max="5893" width="17.7109375" style="3" customWidth="1"/>
    <col min="5894" max="6143" width="11.42578125" style="3"/>
    <col min="6144" max="6144" width="49.42578125" style="3" customWidth="1"/>
    <col min="6145" max="6145" width="22.5703125" style="3" customWidth="1"/>
    <col min="6146" max="6146" width="20.140625" style="3" customWidth="1"/>
    <col min="6147" max="6147" width="14" style="3" customWidth="1"/>
    <col min="6148" max="6148" width="16.5703125" style="3" bestFit="1" customWidth="1"/>
    <col min="6149" max="6149" width="17.7109375" style="3" customWidth="1"/>
    <col min="6150" max="6399" width="11.42578125" style="3"/>
    <col min="6400" max="6400" width="49.42578125" style="3" customWidth="1"/>
    <col min="6401" max="6401" width="22.5703125" style="3" customWidth="1"/>
    <col min="6402" max="6402" width="20.140625" style="3" customWidth="1"/>
    <col min="6403" max="6403" width="14" style="3" customWidth="1"/>
    <col min="6404" max="6404" width="16.5703125" style="3" bestFit="1" customWidth="1"/>
    <col min="6405" max="6405" width="17.7109375" style="3" customWidth="1"/>
    <col min="6406" max="6655" width="11.42578125" style="3"/>
    <col min="6656" max="6656" width="49.42578125" style="3" customWidth="1"/>
    <col min="6657" max="6657" width="22.5703125" style="3" customWidth="1"/>
    <col min="6658" max="6658" width="20.140625" style="3" customWidth="1"/>
    <col min="6659" max="6659" width="14" style="3" customWidth="1"/>
    <col min="6660" max="6660" width="16.5703125" style="3" bestFit="1" customWidth="1"/>
    <col min="6661" max="6661" width="17.7109375" style="3" customWidth="1"/>
    <col min="6662" max="6911" width="11.42578125" style="3"/>
    <col min="6912" max="6912" width="49.42578125" style="3" customWidth="1"/>
    <col min="6913" max="6913" width="22.5703125" style="3" customWidth="1"/>
    <col min="6914" max="6914" width="20.140625" style="3" customWidth="1"/>
    <col min="6915" max="6915" width="14" style="3" customWidth="1"/>
    <col min="6916" max="6916" width="16.5703125" style="3" bestFit="1" customWidth="1"/>
    <col min="6917" max="6917" width="17.7109375" style="3" customWidth="1"/>
    <col min="6918" max="7167" width="11.42578125" style="3"/>
    <col min="7168" max="7168" width="49.42578125" style="3" customWidth="1"/>
    <col min="7169" max="7169" width="22.5703125" style="3" customWidth="1"/>
    <col min="7170" max="7170" width="20.140625" style="3" customWidth="1"/>
    <col min="7171" max="7171" width="14" style="3" customWidth="1"/>
    <col min="7172" max="7172" width="16.5703125" style="3" bestFit="1" customWidth="1"/>
    <col min="7173" max="7173" width="17.7109375" style="3" customWidth="1"/>
    <col min="7174" max="7423" width="11.42578125" style="3"/>
    <col min="7424" max="7424" width="49.42578125" style="3" customWidth="1"/>
    <col min="7425" max="7425" width="22.5703125" style="3" customWidth="1"/>
    <col min="7426" max="7426" width="20.140625" style="3" customWidth="1"/>
    <col min="7427" max="7427" width="14" style="3" customWidth="1"/>
    <col min="7428" max="7428" width="16.5703125" style="3" bestFit="1" customWidth="1"/>
    <col min="7429" max="7429" width="17.7109375" style="3" customWidth="1"/>
    <col min="7430" max="7679" width="11.42578125" style="3"/>
    <col min="7680" max="7680" width="49.42578125" style="3" customWidth="1"/>
    <col min="7681" max="7681" width="22.5703125" style="3" customWidth="1"/>
    <col min="7682" max="7682" width="20.140625" style="3" customWidth="1"/>
    <col min="7683" max="7683" width="14" style="3" customWidth="1"/>
    <col min="7684" max="7684" width="16.5703125" style="3" bestFit="1" customWidth="1"/>
    <col min="7685" max="7685" width="17.7109375" style="3" customWidth="1"/>
    <col min="7686" max="7935" width="11.42578125" style="3"/>
    <col min="7936" max="7936" width="49.42578125" style="3" customWidth="1"/>
    <col min="7937" max="7937" width="22.5703125" style="3" customWidth="1"/>
    <col min="7938" max="7938" width="20.140625" style="3" customWidth="1"/>
    <col min="7939" max="7939" width="14" style="3" customWidth="1"/>
    <col min="7940" max="7940" width="16.5703125" style="3" bestFit="1" customWidth="1"/>
    <col min="7941" max="7941" width="17.7109375" style="3" customWidth="1"/>
    <col min="7942" max="8191" width="11.42578125" style="3"/>
    <col min="8192" max="8192" width="49.42578125" style="3" customWidth="1"/>
    <col min="8193" max="8193" width="22.5703125" style="3" customWidth="1"/>
    <col min="8194" max="8194" width="20.140625" style="3" customWidth="1"/>
    <col min="8195" max="8195" width="14" style="3" customWidth="1"/>
    <col min="8196" max="8196" width="16.5703125" style="3" bestFit="1" customWidth="1"/>
    <col min="8197" max="8197" width="17.7109375" style="3" customWidth="1"/>
    <col min="8198" max="8447" width="11.42578125" style="3"/>
    <col min="8448" max="8448" width="49.42578125" style="3" customWidth="1"/>
    <col min="8449" max="8449" width="22.5703125" style="3" customWidth="1"/>
    <col min="8450" max="8450" width="20.140625" style="3" customWidth="1"/>
    <col min="8451" max="8451" width="14" style="3" customWidth="1"/>
    <col min="8452" max="8452" width="16.5703125" style="3" bestFit="1" customWidth="1"/>
    <col min="8453" max="8453" width="17.7109375" style="3" customWidth="1"/>
    <col min="8454" max="8703" width="11.42578125" style="3"/>
    <col min="8704" max="8704" width="49.42578125" style="3" customWidth="1"/>
    <col min="8705" max="8705" width="22.5703125" style="3" customWidth="1"/>
    <col min="8706" max="8706" width="20.140625" style="3" customWidth="1"/>
    <col min="8707" max="8707" width="14" style="3" customWidth="1"/>
    <col min="8708" max="8708" width="16.5703125" style="3" bestFit="1" customWidth="1"/>
    <col min="8709" max="8709" width="17.7109375" style="3" customWidth="1"/>
    <col min="8710" max="8959" width="11.42578125" style="3"/>
    <col min="8960" max="8960" width="49.42578125" style="3" customWidth="1"/>
    <col min="8961" max="8961" width="22.5703125" style="3" customWidth="1"/>
    <col min="8962" max="8962" width="20.140625" style="3" customWidth="1"/>
    <col min="8963" max="8963" width="14" style="3" customWidth="1"/>
    <col min="8964" max="8964" width="16.5703125" style="3" bestFit="1" customWidth="1"/>
    <col min="8965" max="8965" width="17.7109375" style="3" customWidth="1"/>
    <col min="8966" max="9215" width="11.42578125" style="3"/>
    <col min="9216" max="9216" width="49.42578125" style="3" customWidth="1"/>
    <col min="9217" max="9217" width="22.5703125" style="3" customWidth="1"/>
    <col min="9218" max="9218" width="20.140625" style="3" customWidth="1"/>
    <col min="9219" max="9219" width="14" style="3" customWidth="1"/>
    <col min="9220" max="9220" width="16.5703125" style="3" bestFit="1" customWidth="1"/>
    <col min="9221" max="9221" width="17.7109375" style="3" customWidth="1"/>
    <col min="9222" max="9471" width="11.42578125" style="3"/>
    <col min="9472" max="9472" width="49.42578125" style="3" customWidth="1"/>
    <col min="9473" max="9473" width="22.5703125" style="3" customWidth="1"/>
    <col min="9474" max="9474" width="20.140625" style="3" customWidth="1"/>
    <col min="9475" max="9475" width="14" style="3" customWidth="1"/>
    <col min="9476" max="9476" width="16.5703125" style="3" bestFit="1" customWidth="1"/>
    <col min="9477" max="9477" width="17.7109375" style="3" customWidth="1"/>
    <col min="9478" max="9727" width="11.42578125" style="3"/>
    <col min="9728" max="9728" width="49.42578125" style="3" customWidth="1"/>
    <col min="9729" max="9729" width="22.5703125" style="3" customWidth="1"/>
    <col min="9730" max="9730" width="20.140625" style="3" customWidth="1"/>
    <col min="9731" max="9731" width="14" style="3" customWidth="1"/>
    <col min="9732" max="9732" width="16.5703125" style="3" bestFit="1" customWidth="1"/>
    <col min="9733" max="9733" width="17.7109375" style="3" customWidth="1"/>
    <col min="9734" max="9983" width="11.42578125" style="3"/>
    <col min="9984" max="9984" width="49.42578125" style="3" customWidth="1"/>
    <col min="9985" max="9985" width="22.5703125" style="3" customWidth="1"/>
    <col min="9986" max="9986" width="20.140625" style="3" customWidth="1"/>
    <col min="9987" max="9987" width="14" style="3" customWidth="1"/>
    <col min="9988" max="9988" width="16.5703125" style="3" bestFit="1" customWidth="1"/>
    <col min="9989" max="9989" width="17.7109375" style="3" customWidth="1"/>
    <col min="9990" max="10239" width="11.42578125" style="3"/>
    <col min="10240" max="10240" width="49.42578125" style="3" customWidth="1"/>
    <col min="10241" max="10241" width="22.5703125" style="3" customWidth="1"/>
    <col min="10242" max="10242" width="20.140625" style="3" customWidth="1"/>
    <col min="10243" max="10243" width="14" style="3" customWidth="1"/>
    <col min="10244" max="10244" width="16.5703125" style="3" bestFit="1" customWidth="1"/>
    <col min="10245" max="10245" width="17.7109375" style="3" customWidth="1"/>
    <col min="10246" max="10495" width="11.42578125" style="3"/>
    <col min="10496" max="10496" width="49.42578125" style="3" customWidth="1"/>
    <col min="10497" max="10497" width="22.5703125" style="3" customWidth="1"/>
    <col min="10498" max="10498" width="20.140625" style="3" customWidth="1"/>
    <col min="10499" max="10499" width="14" style="3" customWidth="1"/>
    <col min="10500" max="10500" width="16.5703125" style="3" bestFit="1" customWidth="1"/>
    <col min="10501" max="10501" width="17.7109375" style="3" customWidth="1"/>
    <col min="10502" max="10751" width="11.42578125" style="3"/>
    <col min="10752" max="10752" width="49.42578125" style="3" customWidth="1"/>
    <col min="10753" max="10753" width="22.5703125" style="3" customWidth="1"/>
    <col min="10754" max="10754" width="20.140625" style="3" customWidth="1"/>
    <col min="10755" max="10755" width="14" style="3" customWidth="1"/>
    <col min="10756" max="10756" width="16.5703125" style="3" bestFit="1" customWidth="1"/>
    <col min="10757" max="10757" width="17.7109375" style="3" customWidth="1"/>
    <col min="10758" max="11007" width="11.42578125" style="3"/>
    <col min="11008" max="11008" width="49.42578125" style="3" customWidth="1"/>
    <col min="11009" max="11009" width="22.5703125" style="3" customWidth="1"/>
    <col min="11010" max="11010" width="20.140625" style="3" customWidth="1"/>
    <col min="11011" max="11011" width="14" style="3" customWidth="1"/>
    <col min="11012" max="11012" width="16.5703125" style="3" bestFit="1" customWidth="1"/>
    <col min="11013" max="11013" width="17.7109375" style="3" customWidth="1"/>
    <col min="11014" max="11263" width="11.42578125" style="3"/>
    <col min="11264" max="11264" width="49.42578125" style="3" customWidth="1"/>
    <col min="11265" max="11265" width="22.5703125" style="3" customWidth="1"/>
    <col min="11266" max="11266" width="20.140625" style="3" customWidth="1"/>
    <col min="11267" max="11267" width="14" style="3" customWidth="1"/>
    <col min="11268" max="11268" width="16.5703125" style="3" bestFit="1" customWidth="1"/>
    <col min="11269" max="11269" width="17.7109375" style="3" customWidth="1"/>
    <col min="11270" max="11519" width="11.42578125" style="3"/>
    <col min="11520" max="11520" width="49.42578125" style="3" customWidth="1"/>
    <col min="11521" max="11521" width="22.5703125" style="3" customWidth="1"/>
    <col min="11522" max="11522" width="20.140625" style="3" customWidth="1"/>
    <col min="11523" max="11523" width="14" style="3" customWidth="1"/>
    <col min="11524" max="11524" width="16.5703125" style="3" bestFit="1" customWidth="1"/>
    <col min="11525" max="11525" width="17.7109375" style="3" customWidth="1"/>
    <col min="11526" max="11775" width="11.42578125" style="3"/>
    <col min="11776" max="11776" width="49.42578125" style="3" customWidth="1"/>
    <col min="11777" max="11777" width="22.5703125" style="3" customWidth="1"/>
    <col min="11778" max="11778" width="20.140625" style="3" customWidth="1"/>
    <col min="11779" max="11779" width="14" style="3" customWidth="1"/>
    <col min="11780" max="11780" width="16.5703125" style="3" bestFit="1" customWidth="1"/>
    <col min="11781" max="11781" width="17.7109375" style="3" customWidth="1"/>
    <col min="11782" max="12031" width="11.42578125" style="3"/>
    <col min="12032" max="12032" width="49.42578125" style="3" customWidth="1"/>
    <col min="12033" max="12033" width="22.5703125" style="3" customWidth="1"/>
    <col min="12034" max="12034" width="20.140625" style="3" customWidth="1"/>
    <col min="12035" max="12035" width="14" style="3" customWidth="1"/>
    <col min="12036" max="12036" width="16.5703125" style="3" bestFit="1" customWidth="1"/>
    <col min="12037" max="12037" width="17.7109375" style="3" customWidth="1"/>
    <col min="12038" max="12287" width="11.42578125" style="3"/>
    <col min="12288" max="12288" width="49.42578125" style="3" customWidth="1"/>
    <col min="12289" max="12289" width="22.5703125" style="3" customWidth="1"/>
    <col min="12290" max="12290" width="20.140625" style="3" customWidth="1"/>
    <col min="12291" max="12291" width="14" style="3" customWidth="1"/>
    <col min="12292" max="12292" width="16.5703125" style="3" bestFit="1" customWidth="1"/>
    <col min="12293" max="12293" width="17.7109375" style="3" customWidth="1"/>
    <col min="12294" max="12543" width="11.42578125" style="3"/>
    <col min="12544" max="12544" width="49.42578125" style="3" customWidth="1"/>
    <col min="12545" max="12545" width="22.5703125" style="3" customWidth="1"/>
    <col min="12546" max="12546" width="20.140625" style="3" customWidth="1"/>
    <col min="12547" max="12547" width="14" style="3" customWidth="1"/>
    <col min="12548" max="12548" width="16.5703125" style="3" bestFit="1" customWidth="1"/>
    <col min="12549" max="12549" width="17.7109375" style="3" customWidth="1"/>
    <col min="12550" max="12799" width="11.42578125" style="3"/>
    <col min="12800" max="12800" width="49.42578125" style="3" customWidth="1"/>
    <col min="12801" max="12801" width="22.5703125" style="3" customWidth="1"/>
    <col min="12802" max="12802" width="20.140625" style="3" customWidth="1"/>
    <col min="12803" max="12803" width="14" style="3" customWidth="1"/>
    <col min="12804" max="12804" width="16.5703125" style="3" bestFit="1" customWidth="1"/>
    <col min="12805" max="12805" width="17.7109375" style="3" customWidth="1"/>
    <col min="12806" max="13055" width="11.42578125" style="3"/>
    <col min="13056" max="13056" width="49.42578125" style="3" customWidth="1"/>
    <col min="13057" max="13057" width="22.5703125" style="3" customWidth="1"/>
    <col min="13058" max="13058" width="20.140625" style="3" customWidth="1"/>
    <col min="13059" max="13059" width="14" style="3" customWidth="1"/>
    <col min="13060" max="13060" width="16.5703125" style="3" bestFit="1" customWidth="1"/>
    <col min="13061" max="13061" width="17.7109375" style="3" customWidth="1"/>
    <col min="13062" max="13311" width="11.42578125" style="3"/>
    <col min="13312" max="13312" width="49.42578125" style="3" customWidth="1"/>
    <col min="13313" max="13313" width="22.5703125" style="3" customWidth="1"/>
    <col min="13314" max="13314" width="20.140625" style="3" customWidth="1"/>
    <col min="13315" max="13315" width="14" style="3" customWidth="1"/>
    <col min="13316" max="13316" width="16.5703125" style="3" bestFit="1" customWidth="1"/>
    <col min="13317" max="13317" width="17.7109375" style="3" customWidth="1"/>
    <col min="13318" max="13567" width="11.42578125" style="3"/>
    <col min="13568" max="13568" width="49.42578125" style="3" customWidth="1"/>
    <col min="13569" max="13569" width="22.5703125" style="3" customWidth="1"/>
    <col min="13570" max="13570" width="20.140625" style="3" customWidth="1"/>
    <col min="13571" max="13571" width="14" style="3" customWidth="1"/>
    <col min="13572" max="13572" width="16.5703125" style="3" bestFit="1" customWidth="1"/>
    <col min="13573" max="13573" width="17.7109375" style="3" customWidth="1"/>
    <col min="13574" max="13823" width="11.42578125" style="3"/>
    <col min="13824" max="13824" width="49.42578125" style="3" customWidth="1"/>
    <col min="13825" max="13825" width="22.5703125" style="3" customWidth="1"/>
    <col min="13826" max="13826" width="20.140625" style="3" customWidth="1"/>
    <col min="13827" max="13827" width="14" style="3" customWidth="1"/>
    <col min="13828" max="13828" width="16.5703125" style="3" bestFit="1" customWidth="1"/>
    <col min="13829" max="13829" width="17.7109375" style="3" customWidth="1"/>
    <col min="13830" max="14079" width="11.42578125" style="3"/>
    <col min="14080" max="14080" width="49.42578125" style="3" customWidth="1"/>
    <col min="14081" max="14081" width="22.5703125" style="3" customWidth="1"/>
    <col min="14082" max="14082" width="20.140625" style="3" customWidth="1"/>
    <col min="14083" max="14083" width="14" style="3" customWidth="1"/>
    <col min="14084" max="14084" width="16.5703125" style="3" bestFit="1" customWidth="1"/>
    <col min="14085" max="14085" width="17.7109375" style="3" customWidth="1"/>
    <col min="14086" max="14335" width="11.42578125" style="3"/>
    <col min="14336" max="14336" width="49.42578125" style="3" customWidth="1"/>
    <col min="14337" max="14337" width="22.5703125" style="3" customWidth="1"/>
    <col min="14338" max="14338" width="20.140625" style="3" customWidth="1"/>
    <col min="14339" max="14339" width="14" style="3" customWidth="1"/>
    <col min="14340" max="14340" width="16.5703125" style="3" bestFit="1" customWidth="1"/>
    <col min="14341" max="14341" width="17.7109375" style="3" customWidth="1"/>
    <col min="14342" max="14591" width="11.42578125" style="3"/>
    <col min="14592" max="14592" width="49.42578125" style="3" customWidth="1"/>
    <col min="14593" max="14593" width="22.5703125" style="3" customWidth="1"/>
    <col min="14594" max="14594" width="20.140625" style="3" customWidth="1"/>
    <col min="14595" max="14595" width="14" style="3" customWidth="1"/>
    <col min="14596" max="14596" width="16.5703125" style="3" bestFit="1" customWidth="1"/>
    <col min="14597" max="14597" width="17.7109375" style="3" customWidth="1"/>
    <col min="14598" max="14847" width="11.42578125" style="3"/>
    <col min="14848" max="14848" width="49.42578125" style="3" customWidth="1"/>
    <col min="14849" max="14849" width="22.5703125" style="3" customWidth="1"/>
    <col min="14850" max="14850" width="20.140625" style="3" customWidth="1"/>
    <col min="14851" max="14851" width="14" style="3" customWidth="1"/>
    <col min="14852" max="14852" width="16.5703125" style="3" bestFit="1" customWidth="1"/>
    <col min="14853" max="14853" width="17.7109375" style="3" customWidth="1"/>
    <col min="14854" max="15103" width="11.42578125" style="3"/>
    <col min="15104" max="15104" width="49.42578125" style="3" customWidth="1"/>
    <col min="15105" max="15105" width="22.5703125" style="3" customWidth="1"/>
    <col min="15106" max="15106" width="20.140625" style="3" customWidth="1"/>
    <col min="15107" max="15107" width="14" style="3" customWidth="1"/>
    <col min="15108" max="15108" width="16.5703125" style="3" bestFit="1" customWidth="1"/>
    <col min="15109" max="15109" width="17.7109375" style="3" customWidth="1"/>
    <col min="15110" max="15359" width="11.42578125" style="3"/>
    <col min="15360" max="15360" width="49.42578125" style="3" customWidth="1"/>
    <col min="15361" max="15361" width="22.5703125" style="3" customWidth="1"/>
    <col min="15362" max="15362" width="20.140625" style="3" customWidth="1"/>
    <col min="15363" max="15363" width="14" style="3" customWidth="1"/>
    <col min="15364" max="15364" width="16.5703125" style="3" bestFit="1" customWidth="1"/>
    <col min="15365" max="15365" width="17.7109375" style="3" customWidth="1"/>
    <col min="15366" max="15615" width="11.42578125" style="3"/>
    <col min="15616" max="15616" width="49.42578125" style="3" customWidth="1"/>
    <col min="15617" max="15617" width="22.5703125" style="3" customWidth="1"/>
    <col min="15618" max="15618" width="20.140625" style="3" customWidth="1"/>
    <col min="15619" max="15619" width="14" style="3" customWidth="1"/>
    <col min="15620" max="15620" width="16.5703125" style="3" bestFit="1" customWidth="1"/>
    <col min="15621" max="15621" width="17.7109375" style="3" customWidth="1"/>
    <col min="15622" max="15871" width="11.42578125" style="3"/>
    <col min="15872" max="15872" width="49.42578125" style="3" customWidth="1"/>
    <col min="15873" max="15873" width="22.5703125" style="3" customWidth="1"/>
    <col min="15874" max="15874" width="20.140625" style="3" customWidth="1"/>
    <col min="15875" max="15875" width="14" style="3" customWidth="1"/>
    <col min="15876" max="15876" width="16.5703125" style="3" bestFit="1" customWidth="1"/>
    <col min="15877" max="15877" width="17.7109375" style="3" customWidth="1"/>
    <col min="15878" max="16127" width="11.42578125" style="3"/>
    <col min="16128" max="16128" width="49.42578125" style="3" customWidth="1"/>
    <col min="16129" max="16129" width="22.5703125" style="3" customWidth="1"/>
    <col min="16130" max="16130" width="20.140625" style="3" customWidth="1"/>
    <col min="16131" max="16131" width="14" style="3" customWidth="1"/>
    <col min="16132" max="16132" width="16.5703125" style="3" bestFit="1" customWidth="1"/>
    <col min="16133" max="16133" width="17.7109375" style="3" customWidth="1"/>
    <col min="16134" max="16383" width="11.42578125" style="3"/>
    <col min="16384" max="16384" width="11.42578125" style="3" customWidth="1"/>
  </cols>
  <sheetData>
    <row r="1" spans="1:5" s="4" customFormat="1" ht="12.75" customHeight="1">
      <c r="A1" s="773" t="s">
        <v>85</v>
      </c>
      <c r="B1" s="773"/>
      <c r="C1" s="773"/>
      <c r="D1" s="2"/>
      <c r="E1" s="2"/>
    </row>
    <row r="2" spans="1:5" s="4" customFormat="1">
      <c r="A2" s="774" t="s">
        <v>86</v>
      </c>
      <c r="B2" s="774"/>
      <c r="C2" s="774"/>
      <c r="D2" s="2"/>
      <c r="E2" s="2"/>
    </row>
    <row r="3" spans="1:5" s="4" customFormat="1">
      <c r="A3" s="228"/>
      <c r="B3" s="234"/>
      <c r="C3" s="234"/>
      <c r="D3" s="2"/>
      <c r="E3" s="2"/>
    </row>
    <row r="4" spans="1:5" s="4" customFormat="1">
      <c r="A4" s="650" t="s">
        <v>135</v>
      </c>
      <c r="B4" s="650"/>
      <c r="C4" s="650"/>
      <c r="D4" s="2"/>
      <c r="E4" s="2"/>
    </row>
    <row r="5" spans="1:5" s="4" customFormat="1">
      <c r="A5" s="650" t="s">
        <v>136</v>
      </c>
      <c r="B5" s="650"/>
      <c r="C5" s="650"/>
      <c r="D5" s="2"/>
      <c r="E5" s="2"/>
    </row>
    <row r="6" spans="1:5" s="4" customFormat="1">
      <c r="A6" s="228"/>
      <c r="B6" s="234"/>
      <c r="C6" s="234"/>
      <c r="D6" s="2"/>
      <c r="E6" s="2"/>
    </row>
    <row r="7" spans="1:5" s="4" customFormat="1">
      <c r="A7" s="650" t="s">
        <v>137</v>
      </c>
      <c r="B7" s="650"/>
      <c r="C7" s="650"/>
      <c r="D7" s="2"/>
      <c r="E7" s="2"/>
    </row>
    <row r="8" spans="1:5" s="4" customFormat="1">
      <c r="A8" s="765" t="s">
        <v>138</v>
      </c>
      <c r="B8" s="765"/>
      <c r="C8" s="765"/>
      <c r="D8" s="2"/>
      <c r="E8" s="2"/>
    </row>
    <row r="9" spans="1:5" s="4" customFormat="1">
      <c r="A9" s="129" t="s">
        <v>139</v>
      </c>
      <c r="B9" s="233"/>
      <c r="C9" s="233"/>
      <c r="D9" s="249"/>
      <c r="E9" s="2"/>
    </row>
    <row r="10" spans="1:5" s="4" customFormat="1">
      <c r="A10" s="124" t="s">
        <v>140</v>
      </c>
      <c r="B10" s="233">
        <v>883000</v>
      </c>
      <c r="C10" s="233"/>
      <c r="D10" s="249"/>
      <c r="E10" s="2"/>
    </row>
    <row r="11" spans="1:5" s="4" customFormat="1" ht="16.5" thickBot="1">
      <c r="A11" s="124" t="s">
        <v>141</v>
      </c>
      <c r="B11" s="302">
        <v>2770000</v>
      </c>
      <c r="C11" s="233"/>
      <c r="D11" s="249"/>
      <c r="E11" s="2"/>
    </row>
    <row r="12" spans="1:5" s="4" customFormat="1">
      <c r="A12" s="129" t="s">
        <v>142</v>
      </c>
      <c r="B12" s="257"/>
      <c r="C12" s="234">
        <f>+B10+B11</f>
        <v>3653000</v>
      </c>
      <c r="D12" s="249" t="s">
        <v>143</v>
      </c>
      <c r="E12" s="2"/>
    </row>
    <row r="13" spans="1:5" s="4" customFormat="1">
      <c r="A13" s="129"/>
      <c r="B13" s="233"/>
      <c r="C13" s="233"/>
      <c r="D13" s="249" t="s">
        <v>143</v>
      </c>
      <c r="E13" s="2"/>
    </row>
    <row r="14" spans="1:5" s="4" customFormat="1">
      <c r="A14" s="129" t="s">
        <v>144</v>
      </c>
      <c r="B14" s="233"/>
      <c r="C14" s="233"/>
      <c r="D14" s="249" t="s">
        <v>143</v>
      </c>
      <c r="E14" s="2"/>
    </row>
    <row r="15" spans="1:5" s="4" customFormat="1">
      <c r="A15" s="124" t="s">
        <v>145</v>
      </c>
      <c r="B15" s="233">
        <v>115549000</v>
      </c>
      <c r="C15" s="233"/>
      <c r="D15" s="249"/>
      <c r="E15" s="2"/>
    </row>
    <row r="16" spans="1:5" s="4" customFormat="1">
      <c r="A16" s="124" t="s">
        <v>146</v>
      </c>
      <c r="B16" s="233">
        <v>5358000</v>
      </c>
      <c r="C16" s="233"/>
      <c r="D16" s="249"/>
      <c r="E16" s="2"/>
    </row>
    <row r="17" spans="1:5" s="4" customFormat="1" ht="16.5" thickBot="1">
      <c r="A17" s="124" t="s">
        <v>147</v>
      </c>
      <c r="B17" s="322">
        <f>12496405.88-405.88</f>
        <v>12496000</v>
      </c>
      <c r="C17" s="233"/>
      <c r="D17" s="249"/>
      <c r="E17" s="2"/>
    </row>
    <row r="18" spans="1:5" s="4" customFormat="1" ht="31.5">
      <c r="A18" s="141" t="s">
        <v>148</v>
      </c>
      <c r="B18" s="257"/>
      <c r="C18" s="234">
        <f>SUM(B15:B17)</f>
        <v>133403000</v>
      </c>
      <c r="D18" s="249"/>
      <c r="E18" s="2"/>
    </row>
    <row r="19" spans="1:5" s="4" customFormat="1">
      <c r="A19" s="321"/>
      <c r="B19" s="256"/>
      <c r="C19" s="256"/>
      <c r="D19" s="249"/>
      <c r="E19" s="2"/>
    </row>
    <row r="20" spans="1:5" s="4" customFormat="1" ht="16.5" thickBot="1">
      <c r="A20" s="763" t="s">
        <v>149</v>
      </c>
      <c r="B20" s="764"/>
      <c r="C20" s="259">
        <f>+C12+C18</f>
        <v>137056000</v>
      </c>
      <c r="D20" s="249" t="s">
        <v>143</v>
      </c>
      <c r="E20" s="2"/>
    </row>
    <row r="21" spans="1:5">
      <c r="A21" s="315"/>
      <c r="B21" s="257"/>
      <c r="C21" s="257"/>
      <c r="D21" s="249" t="s">
        <v>143</v>
      </c>
    </row>
    <row r="22" spans="1:5" s="4" customFormat="1">
      <c r="A22" s="650" t="s">
        <v>150</v>
      </c>
      <c r="B22" s="650"/>
      <c r="C22" s="650"/>
      <c r="D22" s="249" t="s">
        <v>143</v>
      </c>
      <c r="E22" s="2"/>
    </row>
    <row r="23" spans="1:5">
      <c r="A23" s="766" t="s">
        <v>151</v>
      </c>
      <c r="B23" s="767"/>
      <c r="C23" s="768"/>
      <c r="D23" s="249" t="s">
        <v>143</v>
      </c>
    </row>
    <row r="24" spans="1:5">
      <c r="A24" s="129" t="s">
        <v>152</v>
      </c>
      <c r="B24" s="190"/>
      <c r="C24" s="234"/>
      <c r="D24" s="249" t="s">
        <v>143</v>
      </c>
    </row>
    <row r="25" spans="1:5" ht="16.5" thickBot="1">
      <c r="A25" s="124" t="s">
        <v>153</v>
      </c>
      <c r="B25" s="302">
        <v>1730000</v>
      </c>
      <c r="C25" s="234"/>
      <c r="D25" s="249" t="s">
        <v>143</v>
      </c>
    </row>
    <row r="26" spans="1:5">
      <c r="A26" s="129" t="s">
        <v>154</v>
      </c>
      <c r="B26" s="257"/>
      <c r="C26" s="234">
        <f>+B25</f>
        <v>1730000</v>
      </c>
      <c r="D26" s="249" t="s">
        <v>143</v>
      </c>
    </row>
    <row r="27" spans="1:5">
      <c r="A27" s="235"/>
      <c r="B27" s="234"/>
      <c r="C27" s="234"/>
      <c r="D27" s="249" t="s">
        <v>143</v>
      </c>
    </row>
    <row r="28" spans="1:5">
      <c r="A28" s="129" t="s">
        <v>155</v>
      </c>
      <c r="B28" s="190"/>
      <c r="C28" s="234"/>
      <c r="D28" s="249" t="s">
        <v>143</v>
      </c>
    </row>
    <row r="29" spans="1:5" ht="16.5" thickBot="1">
      <c r="A29" s="124" t="s">
        <v>156</v>
      </c>
      <c r="B29" s="302">
        <v>2800000</v>
      </c>
      <c r="C29" s="234"/>
      <c r="D29" s="249"/>
    </row>
    <row r="30" spans="1:5">
      <c r="A30" s="129" t="s">
        <v>157</v>
      </c>
      <c r="B30" s="257"/>
      <c r="C30" s="234">
        <f>+B29</f>
        <v>2800000</v>
      </c>
      <c r="D30" s="249"/>
    </row>
    <row r="31" spans="1:5">
      <c r="A31" s="235"/>
      <c r="B31" s="234"/>
      <c r="C31" s="234"/>
      <c r="D31" s="249"/>
    </row>
    <row r="32" spans="1:5">
      <c r="A32" s="129" t="s">
        <v>158</v>
      </c>
      <c r="B32" s="190"/>
      <c r="C32" s="234"/>
      <c r="D32" s="249"/>
    </row>
    <row r="33" spans="1:5">
      <c r="A33" s="124" t="s">
        <v>159</v>
      </c>
      <c r="B33" s="233">
        <v>751100000</v>
      </c>
      <c r="C33" s="234"/>
      <c r="D33" s="249"/>
    </row>
    <row r="34" spans="1:5" ht="16.5" thickBot="1">
      <c r="A34" s="124" t="s">
        <v>160</v>
      </c>
      <c r="B34" s="302">
        <v>-35110000</v>
      </c>
      <c r="C34" s="234"/>
      <c r="D34" s="249"/>
    </row>
    <row r="35" spans="1:5">
      <c r="A35" s="129" t="s">
        <v>161</v>
      </c>
      <c r="B35" s="257"/>
      <c r="C35" s="234">
        <f>+B34+B33</f>
        <v>715990000</v>
      </c>
      <c r="D35" s="249" t="s">
        <v>143</v>
      </c>
    </row>
    <row r="36" spans="1:5">
      <c r="A36" s="321"/>
      <c r="B36" s="256"/>
      <c r="C36" s="256"/>
      <c r="D36" s="249" t="s">
        <v>143</v>
      </c>
    </row>
    <row r="37" spans="1:5" ht="16.5" thickBot="1">
      <c r="A37" s="369" t="s">
        <v>162</v>
      </c>
      <c r="B37" s="259"/>
      <c r="C37" s="259">
        <f>SUM(C25:C36)</f>
        <v>720520000</v>
      </c>
      <c r="D37" s="249"/>
    </row>
    <row r="38" spans="1:5">
      <c r="A38" s="323"/>
      <c r="B38" s="257"/>
      <c r="C38" s="257"/>
      <c r="D38" s="249"/>
    </row>
    <row r="39" spans="1:5">
      <c r="A39" s="129" t="s">
        <v>23</v>
      </c>
      <c r="B39" s="233"/>
      <c r="C39" s="233"/>
      <c r="D39" s="249" t="s">
        <v>143</v>
      </c>
    </row>
    <row r="40" spans="1:5" ht="16.5" thickBot="1">
      <c r="A40" s="124" t="s">
        <v>163</v>
      </c>
      <c r="B40" s="302">
        <v>1469000</v>
      </c>
      <c r="C40" s="234"/>
      <c r="D40" s="249"/>
    </row>
    <row r="41" spans="1:5">
      <c r="A41" s="129" t="s">
        <v>164</v>
      </c>
      <c r="B41" s="257"/>
      <c r="C41" s="234">
        <f>+B40</f>
        <v>1469000</v>
      </c>
    </row>
    <row r="42" spans="1:5">
      <c r="A42" s="313"/>
      <c r="B42" s="256"/>
      <c r="C42" s="256"/>
    </row>
    <row r="43" spans="1:5" ht="16.5" thickBot="1">
      <c r="A43" s="319" t="s">
        <v>165</v>
      </c>
      <c r="B43" s="258"/>
      <c r="C43" s="259">
        <f>+C37+C41</f>
        <v>721989000</v>
      </c>
    </row>
    <row r="44" spans="1:5">
      <c r="A44" s="317"/>
      <c r="B44" s="260"/>
      <c r="C44" s="260"/>
    </row>
    <row r="45" spans="1:5" s="11" customFormat="1" ht="16.5" thickBot="1">
      <c r="A45" s="763" t="s">
        <v>166</v>
      </c>
      <c r="B45" s="764"/>
      <c r="C45" s="259">
        <f>+C20+C43</f>
        <v>859045000</v>
      </c>
      <c r="D45" s="8"/>
      <c r="E45" s="8"/>
    </row>
    <row r="46" spans="1:5">
      <c r="A46" s="315"/>
      <c r="B46" s="257"/>
      <c r="C46" s="257"/>
    </row>
    <row r="47" spans="1:5">
      <c r="A47" s="124"/>
      <c r="B47" s="233"/>
      <c r="C47" s="233"/>
    </row>
    <row r="48" spans="1:5">
      <c r="A48" s="773" t="s">
        <v>85</v>
      </c>
      <c r="B48" s="773"/>
      <c r="C48" s="773"/>
    </row>
    <row r="49" spans="1:3">
      <c r="A49" s="774" t="s">
        <v>86</v>
      </c>
      <c r="B49" s="774"/>
      <c r="C49" s="774"/>
    </row>
    <row r="50" spans="1:3">
      <c r="A50" s="228"/>
      <c r="B50" s="234"/>
      <c r="C50" s="234"/>
    </row>
    <row r="51" spans="1:3">
      <c r="A51" s="650" t="s">
        <v>135</v>
      </c>
      <c r="B51" s="650"/>
      <c r="C51" s="650"/>
    </row>
    <row r="52" spans="1:3">
      <c r="A52" s="650" t="s">
        <v>136</v>
      </c>
      <c r="B52" s="650"/>
      <c r="C52" s="650"/>
    </row>
    <row r="53" spans="1:3">
      <c r="A53" s="124"/>
      <c r="B53" s="233"/>
      <c r="C53" s="233"/>
    </row>
    <row r="54" spans="1:3">
      <c r="A54" s="779" t="s">
        <v>167</v>
      </c>
      <c r="B54" s="779"/>
      <c r="C54" s="779"/>
    </row>
    <row r="55" spans="1:3">
      <c r="A55" s="129" t="s">
        <v>27</v>
      </c>
      <c r="B55" s="233"/>
      <c r="C55" s="233"/>
    </row>
    <row r="56" spans="1:3" ht="16.5" thickBot="1">
      <c r="A56" s="124" t="s">
        <v>168</v>
      </c>
      <c r="B56" s="302">
        <v>38622000</v>
      </c>
      <c r="C56" s="233"/>
    </row>
    <row r="57" spans="1:3">
      <c r="A57" s="129" t="s">
        <v>169</v>
      </c>
      <c r="B57" s="257"/>
      <c r="C57" s="234">
        <f>+B56</f>
        <v>38622000</v>
      </c>
    </row>
    <row r="58" spans="1:3">
      <c r="A58" s="121"/>
      <c r="B58" s="234"/>
      <c r="C58" s="234"/>
    </row>
    <row r="59" spans="1:3">
      <c r="A59" s="129" t="s">
        <v>170</v>
      </c>
      <c r="B59" s="233"/>
      <c r="C59" s="233"/>
    </row>
    <row r="60" spans="1:3">
      <c r="A60" s="124" t="s">
        <v>171</v>
      </c>
      <c r="B60" s="233">
        <v>87000</v>
      </c>
      <c r="C60" s="233"/>
    </row>
    <row r="61" spans="1:3">
      <c r="A61" s="124" t="s">
        <v>172</v>
      </c>
      <c r="B61" s="233">
        <v>809000</v>
      </c>
      <c r="C61" s="233"/>
    </row>
    <row r="62" spans="1:3">
      <c r="A62" s="124" t="s">
        <v>173</v>
      </c>
      <c r="B62" s="233">
        <v>1107000</v>
      </c>
      <c r="C62" s="233"/>
    </row>
    <row r="63" spans="1:3" ht="16.5" thickBot="1">
      <c r="A63" s="124" t="s">
        <v>174</v>
      </c>
      <c r="B63" s="302">
        <v>69361000</v>
      </c>
      <c r="C63" s="233"/>
    </row>
    <row r="64" spans="1:3" ht="31.5">
      <c r="A64" s="141" t="s">
        <v>170</v>
      </c>
      <c r="B64" s="257"/>
      <c r="C64" s="234">
        <f>+SUM(B60:B63)</f>
        <v>71364000</v>
      </c>
    </row>
    <row r="65" spans="1:5">
      <c r="A65" s="129"/>
      <c r="B65" s="233"/>
      <c r="C65" s="234"/>
    </row>
    <row r="66" spans="1:5">
      <c r="A66" s="129" t="s">
        <v>175</v>
      </c>
      <c r="B66" s="233"/>
      <c r="C66" s="233"/>
    </row>
    <row r="67" spans="1:5" ht="16.5" thickBot="1">
      <c r="A67" s="124" t="s">
        <v>176</v>
      </c>
      <c r="B67" s="302">
        <v>2190000</v>
      </c>
      <c r="C67" s="233"/>
    </row>
    <row r="68" spans="1:5">
      <c r="A68" s="129" t="s">
        <v>177</v>
      </c>
      <c r="B68" s="257"/>
      <c r="C68" s="234">
        <f>+B67</f>
        <v>2190000</v>
      </c>
    </row>
    <row r="69" spans="1:5">
      <c r="A69" s="129"/>
      <c r="B69" s="233"/>
      <c r="C69" s="234"/>
    </row>
    <row r="70" spans="1:5">
      <c r="A70" s="129" t="s">
        <v>178</v>
      </c>
      <c r="B70" s="233"/>
      <c r="C70" s="233"/>
    </row>
    <row r="71" spans="1:5" ht="16.5" thickBot="1">
      <c r="A71" s="124" t="s">
        <v>179</v>
      </c>
      <c r="B71" s="302">
        <v>37668000</v>
      </c>
      <c r="C71" s="233"/>
    </row>
    <row r="72" spans="1:5">
      <c r="A72" s="129" t="s">
        <v>180</v>
      </c>
      <c r="B72" s="257"/>
      <c r="C72" s="234">
        <f>+B71</f>
        <v>37668000</v>
      </c>
    </row>
    <row r="73" spans="1:5">
      <c r="A73" s="129"/>
      <c r="B73" s="233"/>
      <c r="C73" s="234"/>
    </row>
    <row r="74" spans="1:5">
      <c r="A74" s="129" t="s">
        <v>181</v>
      </c>
      <c r="B74" s="233"/>
      <c r="C74" s="189"/>
    </row>
    <row r="75" spans="1:5">
      <c r="A75" s="124" t="s">
        <v>128</v>
      </c>
      <c r="B75" s="233">
        <f>+' ER 2016'!B68</f>
        <v>8997000</v>
      </c>
      <c r="C75" s="189"/>
    </row>
    <row r="76" spans="1:5" ht="16.5" thickBot="1">
      <c r="A76" s="124" t="s">
        <v>250</v>
      </c>
      <c r="B76" s="302">
        <f>+' ER 2016'!B69</f>
        <v>3239000</v>
      </c>
      <c r="C76" s="189"/>
    </row>
    <row r="77" spans="1:5">
      <c r="A77" s="129" t="s">
        <v>183</v>
      </c>
      <c r="B77" s="257"/>
      <c r="C77" s="191">
        <f>+B75+B76</f>
        <v>12236000</v>
      </c>
    </row>
    <row r="78" spans="1:5">
      <c r="A78" s="321"/>
      <c r="B78" s="256"/>
      <c r="C78" s="261"/>
    </row>
    <row r="79" spans="1:5" s="11" customFormat="1" ht="16.5" thickBot="1">
      <c r="A79" s="763" t="s">
        <v>184</v>
      </c>
      <c r="B79" s="764"/>
      <c r="C79" s="259">
        <f>+C64+C57+C68+C72+C77</f>
        <v>162080000</v>
      </c>
      <c r="D79" s="8"/>
      <c r="E79" s="8"/>
    </row>
    <row r="80" spans="1:5">
      <c r="A80" s="325"/>
      <c r="B80" s="262"/>
      <c r="C80" s="262"/>
    </row>
    <row r="81" spans="1:5">
      <c r="A81" s="650" t="s">
        <v>185</v>
      </c>
      <c r="B81" s="650"/>
      <c r="C81" s="650"/>
    </row>
    <row r="82" spans="1:5">
      <c r="A82" s="129" t="s">
        <v>186</v>
      </c>
      <c r="B82" s="233"/>
      <c r="C82" s="233"/>
      <c r="D82" s="3"/>
      <c r="E82" s="3"/>
    </row>
    <row r="83" spans="1:5" ht="16.5" thickBot="1">
      <c r="A83" s="124" t="s">
        <v>187</v>
      </c>
      <c r="B83" s="302">
        <v>620000000</v>
      </c>
      <c r="C83" s="233"/>
      <c r="D83" s="3"/>
      <c r="E83" s="3"/>
    </row>
    <row r="84" spans="1:5">
      <c r="A84" s="129" t="s">
        <v>188</v>
      </c>
      <c r="B84" s="257"/>
      <c r="C84" s="234">
        <f>+B83</f>
        <v>620000000</v>
      </c>
      <c r="D84" s="3"/>
      <c r="E84" s="3"/>
    </row>
    <row r="85" spans="1:5">
      <c r="A85" s="129"/>
      <c r="B85" s="233"/>
      <c r="C85" s="234"/>
      <c r="D85" s="3"/>
      <c r="E85" s="3"/>
    </row>
    <row r="86" spans="1:5">
      <c r="A86" s="129" t="s">
        <v>189</v>
      </c>
      <c r="B86" s="233"/>
      <c r="C86" s="233"/>
      <c r="D86" s="3"/>
      <c r="E86" s="3"/>
    </row>
    <row r="87" spans="1:5" ht="16.5" thickBot="1">
      <c r="A87" s="124" t="s">
        <v>190</v>
      </c>
      <c r="B87" s="302">
        <f>+'ESF 2015'!B62+4782000</f>
        <v>5321000</v>
      </c>
      <c r="C87" s="233"/>
      <c r="D87" s="3"/>
      <c r="E87" s="3"/>
    </row>
    <row r="88" spans="1:5">
      <c r="A88" s="129" t="s">
        <v>191</v>
      </c>
      <c r="B88" s="257"/>
      <c r="C88" s="234">
        <f>+B87</f>
        <v>5321000</v>
      </c>
      <c r="D88" s="3"/>
      <c r="E88" s="3"/>
    </row>
    <row r="89" spans="1:5">
      <c r="A89" s="129"/>
      <c r="B89" s="233"/>
      <c r="C89" s="234"/>
      <c r="D89" s="3"/>
      <c r="E89" s="3"/>
    </row>
    <row r="90" spans="1:5">
      <c r="A90" s="129" t="s">
        <v>36</v>
      </c>
      <c r="B90" s="233"/>
      <c r="C90" s="233"/>
    </row>
    <row r="91" spans="1:5" ht="16.5" thickBot="1">
      <c r="A91" s="124" t="s">
        <v>192</v>
      </c>
      <c r="B91" s="302">
        <f>+' ER 2016'!C72</f>
        <v>23753000</v>
      </c>
      <c r="C91" s="233"/>
    </row>
    <row r="92" spans="1:5">
      <c r="A92" s="129" t="s">
        <v>193</v>
      </c>
      <c r="B92" s="257"/>
      <c r="C92" s="234">
        <f>+B91</f>
        <v>23753000</v>
      </c>
    </row>
    <row r="93" spans="1:5">
      <c r="A93" s="129"/>
      <c r="B93" s="233"/>
      <c r="C93" s="234"/>
    </row>
    <row r="94" spans="1:5">
      <c r="A94" s="129" t="s">
        <v>194</v>
      </c>
      <c r="B94" s="233"/>
      <c r="C94" s="233"/>
    </row>
    <row r="95" spans="1:5" ht="16.5" thickBot="1">
      <c r="A95" s="124" t="s">
        <v>195</v>
      </c>
      <c r="B95" s="302">
        <f>+'ESF 2015'!B66+43036000</f>
        <v>47891000</v>
      </c>
      <c r="C95" s="233"/>
    </row>
    <row r="96" spans="1:5">
      <c r="A96" s="129" t="s">
        <v>196</v>
      </c>
      <c r="B96" s="257"/>
      <c r="C96" s="234">
        <f>+B95</f>
        <v>47891000</v>
      </c>
    </row>
    <row r="97" spans="1:5">
      <c r="A97" s="321"/>
      <c r="B97" s="256"/>
      <c r="C97" s="261"/>
    </row>
    <row r="98" spans="1:5" s="11" customFormat="1" ht="16.5" thickBot="1">
      <c r="A98" s="319" t="s">
        <v>197</v>
      </c>
      <c r="B98" s="259"/>
      <c r="C98" s="259">
        <f>+C84+C92+C88+C96</f>
        <v>696965000</v>
      </c>
      <c r="D98" s="8"/>
      <c r="E98" s="8"/>
    </row>
    <row r="99" spans="1:5">
      <c r="A99" s="317"/>
      <c r="B99" s="260"/>
      <c r="C99" s="260"/>
    </row>
    <row r="100" spans="1:5" s="11" customFormat="1" ht="16.5" thickBot="1">
      <c r="A100" s="763" t="s">
        <v>198</v>
      </c>
      <c r="B100" s="764"/>
      <c r="C100" s="259">
        <f>+C79+C98</f>
        <v>859045000</v>
      </c>
      <c r="D100" s="8"/>
      <c r="E100" s="8"/>
    </row>
    <row r="101" spans="1:5" s="11" customFormat="1">
      <c r="A101" s="323"/>
      <c r="B101" s="262"/>
      <c r="C101" s="262"/>
      <c r="D101" s="8"/>
      <c r="E101" s="8"/>
    </row>
    <row r="102" spans="1:5" s="11" customFormat="1">
      <c r="A102" s="129"/>
      <c r="B102" s="234"/>
      <c r="C102" s="234"/>
      <c r="D102" s="8"/>
      <c r="E102" s="8"/>
    </row>
    <row r="103" spans="1:5">
      <c r="A103" s="246" t="s">
        <v>130</v>
      </c>
      <c r="B103" s="771" t="s">
        <v>131</v>
      </c>
      <c r="C103" s="771"/>
    </row>
    <row r="104" spans="1:5">
      <c r="A104" s="158" t="s">
        <v>132</v>
      </c>
      <c r="B104" s="770" t="s">
        <v>133</v>
      </c>
      <c r="C104" s="770"/>
    </row>
    <row r="105" spans="1:5">
      <c r="A105" s="153" t="s">
        <v>251</v>
      </c>
      <c r="B105" s="771" t="s">
        <v>134</v>
      </c>
      <c r="C105" s="771"/>
    </row>
  </sheetData>
  <mergeCells count="21">
    <mergeCell ref="A20:B20"/>
    <mergeCell ref="A23:C23"/>
    <mergeCell ref="A45:B45"/>
    <mergeCell ref="A79:B79"/>
    <mergeCell ref="A8:C8"/>
    <mergeCell ref="A1:C1"/>
    <mergeCell ref="A2:C2"/>
    <mergeCell ref="A4:C4"/>
    <mergeCell ref="A5:C5"/>
    <mergeCell ref="A7:C7"/>
    <mergeCell ref="A81:C81"/>
    <mergeCell ref="B103:C103"/>
    <mergeCell ref="B104:C104"/>
    <mergeCell ref="B105:C105"/>
    <mergeCell ref="A22:C22"/>
    <mergeCell ref="A54:C54"/>
    <mergeCell ref="A48:C48"/>
    <mergeCell ref="A49:C49"/>
    <mergeCell ref="A51:C51"/>
    <mergeCell ref="A52:C52"/>
    <mergeCell ref="A100:B100"/>
  </mergeCells>
  <pageMargins left="0.7" right="0.7" top="0.75" bottom="0.75" header="0.3" footer="0.3"/>
  <pageSetup scale="74" orientation="portrait" r:id="rId1"/>
  <rowBreaks count="2" manualBreakCount="2">
    <brk id="46" max="16383" man="1"/>
    <brk id="105" max="16383" man="1"/>
  </row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opLeftCell="A40" zoomScaleNormal="100" workbookViewId="0">
      <selection activeCell="A48" sqref="A48"/>
    </sheetView>
  </sheetViews>
  <sheetFormatPr baseColWidth="10" defaultColWidth="10.7109375" defaultRowHeight="15.75"/>
  <cols>
    <col min="1" max="1" width="57" style="3" customWidth="1"/>
    <col min="2" max="2" width="21" style="238" customWidth="1"/>
    <col min="3" max="3" width="20.5703125" style="238" customWidth="1"/>
    <col min="4" max="4" width="15.28515625" style="159" bestFit="1" customWidth="1"/>
    <col min="5" max="5" width="16.5703125" style="159" bestFit="1" customWidth="1"/>
    <col min="6" max="6" width="19" style="3" customWidth="1"/>
    <col min="7" max="256" width="11.42578125" style="3"/>
    <col min="257" max="257" width="58.85546875" style="3" customWidth="1"/>
    <col min="258" max="258" width="15.7109375" style="3" customWidth="1"/>
    <col min="259" max="259" width="16.5703125" style="3" customWidth="1"/>
    <col min="260" max="260" width="15.28515625" style="3" bestFit="1" customWidth="1"/>
    <col min="261" max="261" width="16.5703125" style="3" bestFit="1" customWidth="1"/>
    <col min="262" max="262" width="19" style="3" customWidth="1"/>
    <col min="263" max="512" width="11.42578125" style="3"/>
    <col min="513" max="513" width="58.85546875" style="3" customWidth="1"/>
    <col min="514" max="514" width="15.7109375" style="3" customWidth="1"/>
    <col min="515" max="515" width="16.5703125" style="3" customWidth="1"/>
    <col min="516" max="516" width="15.28515625" style="3" bestFit="1" customWidth="1"/>
    <col min="517" max="517" width="16.5703125" style="3" bestFit="1" customWidth="1"/>
    <col min="518" max="518" width="19" style="3" customWidth="1"/>
    <col min="519" max="768" width="11.42578125" style="3"/>
    <col min="769" max="769" width="58.85546875" style="3" customWidth="1"/>
    <col min="770" max="770" width="15.7109375" style="3" customWidth="1"/>
    <col min="771" max="771" width="16.5703125" style="3" customWidth="1"/>
    <col min="772" max="772" width="15.28515625" style="3" bestFit="1" customWidth="1"/>
    <col min="773" max="773" width="16.5703125" style="3" bestFit="1" customWidth="1"/>
    <col min="774" max="774" width="19" style="3" customWidth="1"/>
    <col min="775" max="1024" width="11.42578125" style="3"/>
    <col min="1025" max="1025" width="58.85546875" style="3" customWidth="1"/>
    <col min="1026" max="1026" width="15.7109375" style="3" customWidth="1"/>
    <col min="1027" max="1027" width="16.5703125" style="3" customWidth="1"/>
    <col min="1028" max="1028" width="15.28515625" style="3" bestFit="1" customWidth="1"/>
    <col min="1029" max="1029" width="16.5703125" style="3" bestFit="1" customWidth="1"/>
    <col min="1030" max="1030" width="19" style="3" customWidth="1"/>
    <col min="1031" max="1280" width="11.42578125" style="3"/>
    <col min="1281" max="1281" width="58.85546875" style="3" customWidth="1"/>
    <col min="1282" max="1282" width="15.7109375" style="3" customWidth="1"/>
    <col min="1283" max="1283" width="16.5703125" style="3" customWidth="1"/>
    <col min="1284" max="1284" width="15.28515625" style="3" bestFit="1" customWidth="1"/>
    <col min="1285" max="1285" width="16.5703125" style="3" bestFit="1" customWidth="1"/>
    <col min="1286" max="1286" width="19" style="3" customWidth="1"/>
    <col min="1287" max="1536" width="11.42578125" style="3"/>
    <col min="1537" max="1537" width="58.85546875" style="3" customWidth="1"/>
    <col min="1538" max="1538" width="15.7109375" style="3" customWidth="1"/>
    <col min="1539" max="1539" width="16.5703125" style="3" customWidth="1"/>
    <col min="1540" max="1540" width="15.28515625" style="3" bestFit="1" customWidth="1"/>
    <col min="1541" max="1541" width="16.5703125" style="3" bestFit="1" customWidth="1"/>
    <col min="1542" max="1542" width="19" style="3" customWidth="1"/>
    <col min="1543" max="1792" width="11.42578125" style="3"/>
    <col min="1793" max="1793" width="58.85546875" style="3" customWidth="1"/>
    <col min="1794" max="1794" width="15.7109375" style="3" customWidth="1"/>
    <col min="1795" max="1795" width="16.5703125" style="3" customWidth="1"/>
    <col min="1796" max="1796" width="15.28515625" style="3" bestFit="1" customWidth="1"/>
    <col min="1797" max="1797" width="16.5703125" style="3" bestFit="1" customWidth="1"/>
    <col min="1798" max="1798" width="19" style="3" customWidth="1"/>
    <col min="1799" max="2048" width="11.42578125" style="3"/>
    <col min="2049" max="2049" width="58.85546875" style="3" customWidth="1"/>
    <col min="2050" max="2050" width="15.7109375" style="3" customWidth="1"/>
    <col min="2051" max="2051" width="16.5703125" style="3" customWidth="1"/>
    <col min="2052" max="2052" width="15.28515625" style="3" bestFit="1" customWidth="1"/>
    <col min="2053" max="2053" width="16.5703125" style="3" bestFit="1" customWidth="1"/>
    <col min="2054" max="2054" width="19" style="3" customWidth="1"/>
    <col min="2055" max="2304" width="11.42578125" style="3"/>
    <col min="2305" max="2305" width="58.85546875" style="3" customWidth="1"/>
    <col min="2306" max="2306" width="15.7109375" style="3" customWidth="1"/>
    <col min="2307" max="2307" width="16.5703125" style="3" customWidth="1"/>
    <col min="2308" max="2308" width="15.28515625" style="3" bestFit="1" customWidth="1"/>
    <col min="2309" max="2309" width="16.5703125" style="3" bestFit="1" customWidth="1"/>
    <col min="2310" max="2310" width="19" style="3" customWidth="1"/>
    <col min="2311" max="2560" width="11.42578125" style="3"/>
    <col min="2561" max="2561" width="58.85546875" style="3" customWidth="1"/>
    <col min="2562" max="2562" width="15.7109375" style="3" customWidth="1"/>
    <col min="2563" max="2563" width="16.5703125" style="3" customWidth="1"/>
    <col min="2564" max="2564" width="15.28515625" style="3" bestFit="1" customWidth="1"/>
    <col min="2565" max="2565" width="16.5703125" style="3" bestFit="1" customWidth="1"/>
    <col min="2566" max="2566" width="19" style="3" customWidth="1"/>
    <col min="2567" max="2816" width="11.42578125" style="3"/>
    <col min="2817" max="2817" width="58.85546875" style="3" customWidth="1"/>
    <col min="2818" max="2818" width="15.7109375" style="3" customWidth="1"/>
    <col min="2819" max="2819" width="16.5703125" style="3" customWidth="1"/>
    <col min="2820" max="2820" width="15.28515625" style="3" bestFit="1" customWidth="1"/>
    <col min="2821" max="2821" width="16.5703125" style="3" bestFit="1" customWidth="1"/>
    <col min="2822" max="2822" width="19" style="3" customWidth="1"/>
    <col min="2823" max="3072" width="11.42578125" style="3"/>
    <col min="3073" max="3073" width="58.85546875" style="3" customWidth="1"/>
    <col min="3074" max="3074" width="15.7109375" style="3" customWidth="1"/>
    <col min="3075" max="3075" width="16.5703125" style="3" customWidth="1"/>
    <col min="3076" max="3076" width="15.28515625" style="3" bestFit="1" customWidth="1"/>
    <col min="3077" max="3077" width="16.5703125" style="3" bestFit="1" customWidth="1"/>
    <col min="3078" max="3078" width="19" style="3" customWidth="1"/>
    <col min="3079" max="3328" width="11.42578125" style="3"/>
    <col min="3329" max="3329" width="58.85546875" style="3" customWidth="1"/>
    <col min="3330" max="3330" width="15.7109375" style="3" customWidth="1"/>
    <col min="3331" max="3331" width="16.5703125" style="3" customWidth="1"/>
    <col min="3332" max="3332" width="15.28515625" style="3" bestFit="1" customWidth="1"/>
    <col min="3333" max="3333" width="16.5703125" style="3" bestFit="1" customWidth="1"/>
    <col min="3334" max="3334" width="19" style="3" customWidth="1"/>
    <col min="3335" max="3584" width="11.42578125" style="3"/>
    <col min="3585" max="3585" width="58.85546875" style="3" customWidth="1"/>
    <col min="3586" max="3586" width="15.7109375" style="3" customWidth="1"/>
    <col min="3587" max="3587" width="16.5703125" style="3" customWidth="1"/>
    <col min="3588" max="3588" width="15.28515625" style="3" bestFit="1" customWidth="1"/>
    <col min="3589" max="3589" width="16.5703125" style="3" bestFit="1" customWidth="1"/>
    <col min="3590" max="3590" width="19" style="3" customWidth="1"/>
    <col min="3591" max="3840" width="11.42578125" style="3"/>
    <col min="3841" max="3841" width="58.85546875" style="3" customWidth="1"/>
    <col min="3842" max="3842" width="15.7109375" style="3" customWidth="1"/>
    <col min="3843" max="3843" width="16.5703125" style="3" customWidth="1"/>
    <col min="3844" max="3844" width="15.28515625" style="3" bestFit="1" customWidth="1"/>
    <col min="3845" max="3845" width="16.5703125" style="3" bestFit="1" customWidth="1"/>
    <col min="3846" max="3846" width="19" style="3" customWidth="1"/>
    <col min="3847" max="4096" width="11.42578125" style="3"/>
    <col min="4097" max="4097" width="58.85546875" style="3" customWidth="1"/>
    <col min="4098" max="4098" width="15.7109375" style="3" customWidth="1"/>
    <col min="4099" max="4099" width="16.5703125" style="3" customWidth="1"/>
    <col min="4100" max="4100" width="15.28515625" style="3" bestFit="1" customWidth="1"/>
    <col min="4101" max="4101" width="16.5703125" style="3" bestFit="1" customWidth="1"/>
    <col min="4102" max="4102" width="19" style="3" customWidth="1"/>
    <col min="4103" max="4352" width="11.42578125" style="3"/>
    <col min="4353" max="4353" width="58.85546875" style="3" customWidth="1"/>
    <col min="4354" max="4354" width="15.7109375" style="3" customWidth="1"/>
    <col min="4355" max="4355" width="16.5703125" style="3" customWidth="1"/>
    <col min="4356" max="4356" width="15.28515625" style="3" bestFit="1" customWidth="1"/>
    <col min="4357" max="4357" width="16.5703125" style="3" bestFit="1" customWidth="1"/>
    <col min="4358" max="4358" width="19" style="3" customWidth="1"/>
    <col min="4359" max="4608" width="11.42578125" style="3"/>
    <col min="4609" max="4609" width="58.85546875" style="3" customWidth="1"/>
    <col min="4610" max="4610" width="15.7109375" style="3" customWidth="1"/>
    <col min="4611" max="4611" width="16.5703125" style="3" customWidth="1"/>
    <col min="4612" max="4612" width="15.28515625" style="3" bestFit="1" customWidth="1"/>
    <col min="4613" max="4613" width="16.5703125" style="3" bestFit="1" customWidth="1"/>
    <col min="4614" max="4614" width="19" style="3" customWidth="1"/>
    <col min="4615" max="4864" width="11.42578125" style="3"/>
    <col min="4865" max="4865" width="58.85546875" style="3" customWidth="1"/>
    <col min="4866" max="4866" width="15.7109375" style="3" customWidth="1"/>
    <col min="4867" max="4867" width="16.5703125" style="3" customWidth="1"/>
    <col min="4868" max="4868" width="15.28515625" style="3" bestFit="1" customWidth="1"/>
    <col min="4869" max="4869" width="16.5703125" style="3" bestFit="1" customWidth="1"/>
    <col min="4870" max="4870" width="19" style="3" customWidth="1"/>
    <col min="4871" max="5120" width="11.42578125" style="3"/>
    <col min="5121" max="5121" width="58.85546875" style="3" customWidth="1"/>
    <col min="5122" max="5122" width="15.7109375" style="3" customWidth="1"/>
    <col min="5123" max="5123" width="16.5703125" style="3" customWidth="1"/>
    <col min="5124" max="5124" width="15.28515625" style="3" bestFit="1" customWidth="1"/>
    <col min="5125" max="5125" width="16.5703125" style="3" bestFit="1" customWidth="1"/>
    <col min="5126" max="5126" width="19" style="3" customWidth="1"/>
    <col min="5127" max="5376" width="11.42578125" style="3"/>
    <col min="5377" max="5377" width="58.85546875" style="3" customWidth="1"/>
    <col min="5378" max="5378" width="15.7109375" style="3" customWidth="1"/>
    <col min="5379" max="5379" width="16.5703125" style="3" customWidth="1"/>
    <col min="5380" max="5380" width="15.28515625" style="3" bestFit="1" customWidth="1"/>
    <col min="5381" max="5381" width="16.5703125" style="3" bestFit="1" customWidth="1"/>
    <col min="5382" max="5382" width="19" style="3" customWidth="1"/>
    <col min="5383" max="5632" width="11.42578125" style="3"/>
    <col min="5633" max="5633" width="58.85546875" style="3" customWidth="1"/>
    <col min="5634" max="5634" width="15.7109375" style="3" customWidth="1"/>
    <col min="5635" max="5635" width="16.5703125" style="3" customWidth="1"/>
    <col min="5636" max="5636" width="15.28515625" style="3" bestFit="1" customWidth="1"/>
    <col min="5637" max="5637" width="16.5703125" style="3" bestFit="1" customWidth="1"/>
    <col min="5638" max="5638" width="19" style="3" customWidth="1"/>
    <col min="5639" max="5888" width="11.42578125" style="3"/>
    <col min="5889" max="5889" width="58.85546875" style="3" customWidth="1"/>
    <col min="5890" max="5890" width="15.7109375" style="3" customWidth="1"/>
    <col min="5891" max="5891" width="16.5703125" style="3" customWidth="1"/>
    <col min="5892" max="5892" width="15.28515625" style="3" bestFit="1" customWidth="1"/>
    <col min="5893" max="5893" width="16.5703125" style="3" bestFit="1" customWidth="1"/>
    <col min="5894" max="5894" width="19" style="3" customWidth="1"/>
    <col min="5895" max="6144" width="11.42578125" style="3"/>
    <col min="6145" max="6145" width="58.85546875" style="3" customWidth="1"/>
    <col min="6146" max="6146" width="15.7109375" style="3" customWidth="1"/>
    <col min="6147" max="6147" width="16.5703125" style="3" customWidth="1"/>
    <col min="6148" max="6148" width="15.28515625" style="3" bestFit="1" customWidth="1"/>
    <col min="6149" max="6149" width="16.5703125" style="3" bestFit="1" customWidth="1"/>
    <col min="6150" max="6150" width="19" style="3" customWidth="1"/>
    <col min="6151" max="6400" width="11.42578125" style="3"/>
    <col min="6401" max="6401" width="58.85546875" style="3" customWidth="1"/>
    <col min="6402" max="6402" width="15.7109375" style="3" customWidth="1"/>
    <col min="6403" max="6403" width="16.5703125" style="3" customWidth="1"/>
    <col min="6404" max="6404" width="15.28515625" style="3" bestFit="1" customWidth="1"/>
    <col min="6405" max="6405" width="16.5703125" style="3" bestFit="1" customWidth="1"/>
    <col min="6406" max="6406" width="19" style="3" customWidth="1"/>
    <col min="6407" max="6656" width="11.42578125" style="3"/>
    <col min="6657" max="6657" width="58.85546875" style="3" customWidth="1"/>
    <col min="6658" max="6658" width="15.7109375" style="3" customWidth="1"/>
    <col min="6659" max="6659" width="16.5703125" style="3" customWidth="1"/>
    <col min="6660" max="6660" width="15.28515625" style="3" bestFit="1" customWidth="1"/>
    <col min="6661" max="6661" width="16.5703125" style="3" bestFit="1" customWidth="1"/>
    <col min="6662" max="6662" width="19" style="3" customWidth="1"/>
    <col min="6663" max="6912" width="11.42578125" style="3"/>
    <col min="6913" max="6913" width="58.85546875" style="3" customWidth="1"/>
    <col min="6914" max="6914" width="15.7109375" style="3" customWidth="1"/>
    <col min="6915" max="6915" width="16.5703125" style="3" customWidth="1"/>
    <col min="6916" max="6916" width="15.28515625" style="3" bestFit="1" customWidth="1"/>
    <col min="6917" max="6917" width="16.5703125" style="3" bestFit="1" customWidth="1"/>
    <col min="6918" max="6918" width="19" style="3" customWidth="1"/>
    <col min="6919" max="7168" width="11.42578125" style="3"/>
    <col min="7169" max="7169" width="58.85546875" style="3" customWidth="1"/>
    <col min="7170" max="7170" width="15.7109375" style="3" customWidth="1"/>
    <col min="7171" max="7171" width="16.5703125" style="3" customWidth="1"/>
    <col min="7172" max="7172" width="15.28515625" style="3" bestFit="1" customWidth="1"/>
    <col min="7173" max="7173" width="16.5703125" style="3" bestFit="1" customWidth="1"/>
    <col min="7174" max="7174" width="19" style="3" customWidth="1"/>
    <col min="7175" max="7424" width="11.42578125" style="3"/>
    <col min="7425" max="7425" width="58.85546875" style="3" customWidth="1"/>
    <col min="7426" max="7426" width="15.7109375" style="3" customWidth="1"/>
    <col min="7427" max="7427" width="16.5703125" style="3" customWidth="1"/>
    <col min="7428" max="7428" width="15.28515625" style="3" bestFit="1" customWidth="1"/>
    <col min="7429" max="7429" width="16.5703125" style="3" bestFit="1" customWidth="1"/>
    <col min="7430" max="7430" width="19" style="3" customWidth="1"/>
    <col min="7431" max="7680" width="11.42578125" style="3"/>
    <col min="7681" max="7681" width="58.85546875" style="3" customWidth="1"/>
    <col min="7682" max="7682" width="15.7109375" style="3" customWidth="1"/>
    <col min="7683" max="7683" width="16.5703125" style="3" customWidth="1"/>
    <col min="7684" max="7684" width="15.28515625" style="3" bestFit="1" customWidth="1"/>
    <col min="7685" max="7685" width="16.5703125" style="3" bestFit="1" customWidth="1"/>
    <col min="7686" max="7686" width="19" style="3" customWidth="1"/>
    <col min="7687" max="7936" width="11.42578125" style="3"/>
    <col min="7937" max="7937" width="58.85546875" style="3" customWidth="1"/>
    <col min="7938" max="7938" width="15.7109375" style="3" customWidth="1"/>
    <col min="7939" max="7939" width="16.5703125" style="3" customWidth="1"/>
    <col min="7940" max="7940" width="15.28515625" style="3" bestFit="1" customWidth="1"/>
    <col min="7941" max="7941" width="16.5703125" style="3" bestFit="1" customWidth="1"/>
    <col min="7942" max="7942" width="19" style="3" customWidth="1"/>
    <col min="7943" max="8192" width="11.42578125" style="3"/>
    <col min="8193" max="8193" width="58.85546875" style="3" customWidth="1"/>
    <col min="8194" max="8194" width="15.7109375" style="3" customWidth="1"/>
    <col min="8195" max="8195" width="16.5703125" style="3" customWidth="1"/>
    <col min="8196" max="8196" width="15.28515625" style="3" bestFit="1" customWidth="1"/>
    <col min="8197" max="8197" width="16.5703125" style="3" bestFit="1" customWidth="1"/>
    <col min="8198" max="8198" width="19" style="3" customWidth="1"/>
    <col min="8199" max="8448" width="11.42578125" style="3"/>
    <col min="8449" max="8449" width="58.85546875" style="3" customWidth="1"/>
    <col min="8450" max="8450" width="15.7109375" style="3" customWidth="1"/>
    <col min="8451" max="8451" width="16.5703125" style="3" customWidth="1"/>
    <col min="8452" max="8452" width="15.28515625" style="3" bestFit="1" customWidth="1"/>
    <col min="8453" max="8453" width="16.5703125" style="3" bestFit="1" customWidth="1"/>
    <col min="8454" max="8454" width="19" style="3" customWidth="1"/>
    <col min="8455" max="8704" width="11.42578125" style="3"/>
    <col min="8705" max="8705" width="58.85546875" style="3" customWidth="1"/>
    <col min="8706" max="8706" width="15.7109375" style="3" customWidth="1"/>
    <col min="8707" max="8707" width="16.5703125" style="3" customWidth="1"/>
    <col min="8708" max="8708" width="15.28515625" style="3" bestFit="1" customWidth="1"/>
    <col min="8709" max="8709" width="16.5703125" style="3" bestFit="1" customWidth="1"/>
    <col min="8710" max="8710" width="19" style="3" customWidth="1"/>
    <col min="8711" max="8960" width="11.42578125" style="3"/>
    <col min="8961" max="8961" width="58.85546875" style="3" customWidth="1"/>
    <col min="8962" max="8962" width="15.7109375" style="3" customWidth="1"/>
    <col min="8963" max="8963" width="16.5703125" style="3" customWidth="1"/>
    <col min="8964" max="8964" width="15.28515625" style="3" bestFit="1" customWidth="1"/>
    <col min="8965" max="8965" width="16.5703125" style="3" bestFit="1" customWidth="1"/>
    <col min="8966" max="8966" width="19" style="3" customWidth="1"/>
    <col min="8967" max="9216" width="11.42578125" style="3"/>
    <col min="9217" max="9217" width="58.85546875" style="3" customWidth="1"/>
    <col min="9218" max="9218" width="15.7109375" style="3" customWidth="1"/>
    <col min="9219" max="9219" width="16.5703125" style="3" customWidth="1"/>
    <col min="9220" max="9220" width="15.28515625" style="3" bestFit="1" customWidth="1"/>
    <col min="9221" max="9221" width="16.5703125" style="3" bestFit="1" customWidth="1"/>
    <col min="9222" max="9222" width="19" style="3" customWidth="1"/>
    <col min="9223" max="9472" width="11.42578125" style="3"/>
    <col min="9473" max="9473" width="58.85546875" style="3" customWidth="1"/>
    <col min="9474" max="9474" width="15.7109375" style="3" customWidth="1"/>
    <col min="9475" max="9475" width="16.5703125" style="3" customWidth="1"/>
    <col min="9476" max="9476" width="15.28515625" style="3" bestFit="1" customWidth="1"/>
    <col min="9477" max="9477" width="16.5703125" style="3" bestFit="1" customWidth="1"/>
    <col min="9478" max="9478" width="19" style="3" customWidth="1"/>
    <col min="9479" max="9728" width="11.42578125" style="3"/>
    <col min="9729" max="9729" width="58.85546875" style="3" customWidth="1"/>
    <col min="9730" max="9730" width="15.7109375" style="3" customWidth="1"/>
    <col min="9731" max="9731" width="16.5703125" style="3" customWidth="1"/>
    <col min="9732" max="9732" width="15.28515625" style="3" bestFit="1" customWidth="1"/>
    <col min="9733" max="9733" width="16.5703125" style="3" bestFit="1" customWidth="1"/>
    <col min="9734" max="9734" width="19" style="3" customWidth="1"/>
    <col min="9735" max="9984" width="11.42578125" style="3"/>
    <col min="9985" max="9985" width="58.85546875" style="3" customWidth="1"/>
    <col min="9986" max="9986" width="15.7109375" style="3" customWidth="1"/>
    <col min="9987" max="9987" width="16.5703125" style="3" customWidth="1"/>
    <col min="9988" max="9988" width="15.28515625" style="3" bestFit="1" customWidth="1"/>
    <col min="9989" max="9989" width="16.5703125" style="3" bestFit="1" customWidth="1"/>
    <col min="9990" max="9990" width="19" style="3" customWidth="1"/>
    <col min="9991" max="10240" width="11.42578125" style="3"/>
    <col min="10241" max="10241" width="58.85546875" style="3" customWidth="1"/>
    <col min="10242" max="10242" width="15.7109375" style="3" customWidth="1"/>
    <col min="10243" max="10243" width="16.5703125" style="3" customWidth="1"/>
    <col min="10244" max="10244" width="15.28515625" style="3" bestFit="1" customWidth="1"/>
    <col min="10245" max="10245" width="16.5703125" style="3" bestFit="1" customWidth="1"/>
    <col min="10246" max="10246" width="19" style="3" customWidth="1"/>
    <col min="10247" max="10496" width="11.42578125" style="3"/>
    <col min="10497" max="10497" width="58.85546875" style="3" customWidth="1"/>
    <col min="10498" max="10498" width="15.7109375" style="3" customWidth="1"/>
    <col min="10499" max="10499" width="16.5703125" style="3" customWidth="1"/>
    <col min="10500" max="10500" width="15.28515625" style="3" bestFit="1" customWidth="1"/>
    <col min="10501" max="10501" width="16.5703125" style="3" bestFit="1" customWidth="1"/>
    <col min="10502" max="10502" width="19" style="3" customWidth="1"/>
    <col min="10503" max="10752" width="11.42578125" style="3"/>
    <col min="10753" max="10753" width="58.85546875" style="3" customWidth="1"/>
    <col min="10754" max="10754" width="15.7109375" style="3" customWidth="1"/>
    <col min="10755" max="10755" width="16.5703125" style="3" customWidth="1"/>
    <col min="10756" max="10756" width="15.28515625" style="3" bestFit="1" customWidth="1"/>
    <col min="10757" max="10757" width="16.5703125" style="3" bestFit="1" customWidth="1"/>
    <col min="10758" max="10758" width="19" style="3" customWidth="1"/>
    <col min="10759" max="11008" width="11.42578125" style="3"/>
    <col min="11009" max="11009" width="58.85546875" style="3" customWidth="1"/>
    <col min="11010" max="11010" width="15.7109375" style="3" customWidth="1"/>
    <col min="11011" max="11011" width="16.5703125" style="3" customWidth="1"/>
    <col min="11012" max="11012" width="15.28515625" style="3" bestFit="1" customWidth="1"/>
    <col min="11013" max="11013" width="16.5703125" style="3" bestFit="1" customWidth="1"/>
    <col min="11014" max="11014" width="19" style="3" customWidth="1"/>
    <col min="11015" max="11264" width="11.42578125" style="3"/>
    <col min="11265" max="11265" width="58.85546875" style="3" customWidth="1"/>
    <col min="11266" max="11266" width="15.7109375" style="3" customWidth="1"/>
    <col min="11267" max="11267" width="16.5703125" style="3" customWidth="1"/>
    <col min="11268" max="11268" width="15.28515625" style="3" bestFit="1" customWidth="1"/>
    <col min="11269" max="11269" width="16.5703125" style="3" bestFit="1" customWidth="1"/>
    <col min="11270" max="11270" width="19" style="3" customWidth="1"/>
    <col min="11271" max="11520" width="11.42578125" style="3"/>
    <col min="11521" max="11521" width="58.85546875" style="3" customWidth="1"/>
    <col min="11522" max="11522" width="15.7109375" style="3" customWidth="1"/>
    <col min="11523" max="11523" width="16.5703125" style="3" customWidth="1"/>
    <col min="11524" max="11524" width="15.28515625" style="3" bestFit="1" customWidth="1"/>
    <col min="11525" max="11525" width="16.5703125" style="3" bestFit="1" customWidth="1"/>
    <col min="11526" max="11526" width="19" style="3" customWidth="1"/>
    <col min="11527" max="11776" width="11.42578125" style="3"/>
    <col min="11777" max="11777" width="58.85546875" style="3" customWidth="1"/>
    <col min="11778" max="11778" width="15.7109375" style="3" customWidth="1"/>
    <col min="11779" max="11779" width="16.5703125" style="3" customWidth="1"/>
    <col min="11780" max="11780" width="15.28515625" style="3" bestFit="1" customWidth="1"/>
    <col min="11781" max="11781" width="16.5703125" style="3" bestFit="1" customWidth="1"/>
    <col min="11782" max="11782" width="19" style="3" customWidth="1"/>
    <col min="11783" max="12032" width="11.42578125" style="3"/>
    <col min="12033" max="12033" width="58.85546875" style="3" customWidth="1"/>
    <col min="12034" max="12034" width="15.7109375" style="3" customWidth="1"/>
    <col min="12035" max="12035" width="16.5703125" style="3" customWidth="1"/>
    <col min="12036" max="12036" width="15.28515625" style="3" bestFit="1" customWidth="1"/>
    <col min="12037" max="12037" width="16.5703125" style="3" bestFit="1" customWidth="1"/>
    <col min="12038" max="12038" width="19" style="3" customWidth="1"/>
    <col min="12039" max="12288" width="11.42578125" style="3"/>
    <col min="12289" max="12289" width="58.85546875" style="3" customWidth="1"/>
    <col min="12290" max="12290" width="15.7109375" style="3" customWidth="1"/>
    <col min="12291" max="12291" width="16.5703125" style="3" customWidth="1"/>
    <col min="12292" max="12292" width="15.28515625" style="3" bestFit="1" customWidth="1"/>
    <col min="12293" max="12293" width="16.5703125" style="3" bestFit="1" customWidth="1"/>
    <col min="12294" max="12294" width="19" style="3" customWidth="1"/>
    <col min="12295" max="12544" width="11.42578125" style="3"/>
    <col min="12545" max="12545" width="58.85546875" style="3" customWidth="1"/>
    <col min="12546" max="12546" width="15.7109375" style="3" customWidth="1"/>
    <col min="12547" max="12547" width="16.5703125" style="3" customWidth="1"/>
    <col min="12548" max="12548" width="15.28515625" style="3" bestFit="1" customWidth="1"/>
    <col min="12549" max="12549" width="16.5703125" style="3" bestFit="1" customWidth="1"/>
    <col min="12550" max="12550" width="19" style="3" customWidth="1"/>
    <col min="12551" max="12800" width="11.42578125" style="3"/>
    <col min="12801" max="12801" width="58.85546875" style="3" customWidth="1"/>
    <col min="12802" max="12802" width="15.7109375" style="3" customWidth="1"/>
    <col min="12803" max="12803" width="16.5703125" style="3" customWidth="1"/>
    <col min="12804" max="12804" width="15.28515625" style="3" bestFit="1" customWidth="1"/>
    <col min="12805" max="12805" width="16.5703125" style="3" bestFit="1" customWidth="1"/>
    <col min="12806" max="12806" width="19" style="3" customWidth="1"/>
    <col min="12807" max="13056" width="11.42578125" style="3"/>
    <col min="13057" max="13057" width="58.85546875" style="3" customWidth="1"/>
    <col min="13058" max="13058" width="15.7109375" style="3" customWidth="1"/>
    <col min="13059" max="13059" width="16.5703125" style="3" customWidth="1"/>
    <col min="13060" max="13060" width="15.28515625" style="3" bestFit="1" customWidth="1"/>
    <col min="13061" max="13061" width="16.5703125" style="3" bestFit="1" customWidth="1"/>
    <col min="13062" max="13062" width="19" style="3" customWidth="1"/>
    <col min="13063" max="13312" width="11.42578125" style="3"/>
    <col min="13313" max="13313" width="58.85546875" style="3" customWidth="1"/>
    <col min="13314" max="13314" width="15.7109375" style="3" customWidth="1"/>
    <col min="13315" max="13315" width="16.5703125" style="3" customWidth="1"/>
    <col min="13316" max="13316" width="15.28515625" style="3" bestFit="1" customWidth="1"/>
    <col min="13317" max="13317" width="16.5703125" style="3" bestFit="1" customWidth="1"/>
    <col min="13318" max="13318" width="19" style="3" customWidth="1"/>
    <col min="13319" max="13568" width="11.42578125" style="3"/>
    <col min="13569" max="13569" width="58.85546875" style="3" customWidth="1"/>
    <col min="13570" max="13570" width="15.7109375" style="3" customWidth="1"/>
    <col min="13571" max="13571" width="16.5703125" style="3" customWidth="1"/>
    <col min="13572" max="13572" width="15.28515625" style="3" bestFit="1" customWidth="1"/>
    <col min="13573" max="13573" width="16.5703125" style="3" bestFit="1" customWidth="1"/>
    <col min="13574" max="13574" width="19" style="3" customWidth="1"/>
    <col min="13575" max="13824" width="11.42578125" style="3"/>
    <col min="13825" max="13825" width="58.85546875" style="3" customWidth="1"/>
    <col min="13826" max="13826" width="15.7109375" style="3" customWidth="1"/>
    <col min="13827" max="13827" width="16.5703125" style="3" customWidth="1"/>
    <col min="13828" max="13828" width="15.28515625" style="3" bestFit="1" customWidth="1"/>
    <col min="13829" max="13829" width="16.5703125" style="3" bestFit="1" customWidth="1"/>
    <col min="13830" max="13830" width="19" style="3" customWidth="1"/>
    <col min="13831" max="14080" width="11.42578125" style="3"/>
    <col min="14081" max="14081" width="58.85546875" style="3" customWidth="1"/>
    <col min="14082" max="14082" width="15.7109375" style="3" customWidth="1"/>
    <col min="14083" max="14083" width="16.5703125" style="3" customWidth="1"/>
    <col min="14084" max="14084" width="15.28515625" style="3" bestFit="1" customWidth="1"/>
    <col min="14085" max="14085" width="16.5703125" style="3" bestFit="1" customWidth="1"/>
    <col min="14086" max="14086" width="19" style="3" customWidth="1"/>
    <col min="14087" max="14336" width="11.42578125" style="3"/>
    <col min="14337" max="14337" width="58.85546875" style="3" customWidth="1"/>
    <col min="14338" max="14338" width="15.7109375" style="3" customWidth="1"/>
    <col min="14339" max="14339" width="16.5703125" style="3" customWidth="1"/>
    <col min="14340" max="14340" width="15.28515625" style="3" bestFit="1" customWidth="1"/>
    <col min="14341" max="14341" width="16.5703125" style="3" bestFit="1" customWidth="1"/>
    <col min="14342" max="14342" width="19" style="3" customWidth="1"/>
    <col min="14343" max="14592" width="11.42578125" style="3"/>
    <col min="14593" max="14593" width="58.85546875" style="3" customWidth="1"/>
    <col min="14594" max="14594" width="15.7109375" style="3" customWidth="1"/>
    <col min="14595" max="14595" width="16.5703125" style="3" customWidth="1"/>
    <col min="14596" max="14596" width="15.28515625" style="3" bestFit="1" customWidth="1"/>
    <col min="14597" max="14597" width="16.5703125" style="3" bestFit="1" customWidth="1"/>
    <col min="14598" max="14598" width="19" style="3" customWidth="1"/>
    <col min="14599" max="14848" width="11.42578125" style="3"/>
    <col min="14849" max="14849" width="58.85546875" style="3" customWidth="1"/>
    <col min="14850" max="14850" width="15.7109375" style="3" customWidth="1"/>
    <col min="14851" max="14851" width="16.5703125" style="3" customWidth="1"/>
    <col min="14852" max="14852" width="15.28515625" style="3" bestFit="1" customWidth="1"/>
    <col min="14853" max="14853" width="16.5703125" style="3" bestFit="1" customWidth="1"/>
    <col min="14854" max="14854" width="19" style="3" customWidth="1"/>
    <col min="14855" max="15104" width="11.42578125" style="3"/>
    <col min="15105" max="15105" width="58.85546875" style="3" customWidth="1"/>
    <col min="15106" max="15106" width="15.7109375" style="3" customWidth="1"/>
    <col min="15107" max="15107" width="16.5703125" style="3" customWidth="1"/>
    <col min="15108" max="15108" width="15.28515625" style="3" bestFit="1" customWidth="1"/>
    <col min="15109" max="15109" width="16.5703125" style="3" bestFit="1" customWidth="1"/>
    <col min="15110" max="15110" width="19" style="3" customWidth="1"/>
    <col min="15111" max="15360" width="11.42578125" style="3"/>
    <col min="15361" max="15361" width="58.85546875" style="3" customWidth="1"/>
    <col min="15362" max="15362" width="15.7109375" style="3" customWidth="1"/>
    <col min="15363" max="15363" width="16.5703125" style="3" customWidth="1"/>
    <col min="15364" max="15364" width="15.28515625" style="3" bestFit="1" customWidth="1"/>
    <col min="15365" max="15365" width="16.5703125" style="3" bestFit="1" customWidth="1"/>
    <col min="15366" max="15366" width="19" style="3" customWidth="1"/>
    <col min="15367" max="15616" width="11.42578125" style="3"/>
    <col min="15617" max="15617" width="58.85546875" style="3" customWidth="1"/>
    <col min="15618" max="15618" width="15.7109375" style="3" customWidth="1"/>
    <col min="15619" max="15619" width="16.5703125" style="3" customWidth="1"/>
    <col min="15620" max="15620" width="15.28515625" style="3" bestFit="1" customWidth="1"/>
    <col min="15621" max="15621" width="16.5703125" style="3" bestFit="1" customWidth="1"/>
    <col min="15622" max="15622" width="19" style="3" customWidth="1"/>
    <col min="15623" max="15872" width="11.42578125" style="3"/>
    <col min="15873" max="15873" width="58.85546875" style="3" customWidth="1"/>
    <col min="15874" max="15874" width="15.7109375" style="3" customWidth="1"/>
    <col min="15875" max="15875" width="16.5703125" style="3" customWidth="1"/>
    <col min="15876" max="15876" width="15.28515625" style="3" bestFit="1" customWidth="1"/>
    <col min="15877" max="15877" width="16.5703125" style="3" bestFit="1" customWidth="1"/>
    <col min="15878" max="15878" width="19" style="3" customWidth="1"/>
    <col min="15879" max="16128" width="11.42578125" style="3"/>
    <col min="16129" max="16129" width="58.85546875" style="3" customWidth="1"/>
    <col min="16130" max="16130" width="15.7109375" style="3" customWidth="1"/>
    <col min="16131" max="16131" width="16.5703125" style="3" customWidth="1"/>
    <col min="16132" max="16132" width="15.28515625" style="3" bestFit="1" customWidth="1"/>
    <col min="16133" max="16133" width="16.5703125" style="3" bestFit="1" customWidth="1"/>
    <col min="16134" max="16134" width="19" style="3" customWidth="1"/>
    <col min="16135" max="16384" width="11.42578125" style="3"/>
  </cols>
  <sheetData>
    <row r="1" spans="1:5" ht="19.5" customHeight="1">
      <c r="A1" s="783" t="s">
        <v>85</v>
      </c>
      <c r="B1" s="784"/>
      <c r="C1" s="785"/>
      <c r="D1" s="192"/>
    </row>
    <row r="2" spans="1:5">
      <c r="A2" s="736" t="s">
        <v>86</v>
      </c>
      <c r="B2" s="736"/>
      <c r="C2" s="736"/>
      <c r="D2" s="192"/>
    </row>
    <row r="3" spans="1:5">
      <c r="A3" s="228"/>
      <c r="B3" s="236"/>
      <c r="C3" s="236"/>
    </row>
    <row r="4" spans="1:5">
      <c r="A4" s="650" t="s">
        <v>209</v>
      </c>
      <c r="B4" s="650"/>
      <c r="C4" s="650"/>
    </row>
    <row r="5" spans="1:5">
      <c r="A5" s="228"/>
      <c r="B5" s="197"/>
      <c r="C5" s="197"/>
    </row>
    <row r="6" spans="1:5">
      <c r="A6" s="650" t="s">
        <v>210</v>
      </c>
      <c r="B6" s="650"/>
      <c r="C6" s="650"/>
    </row>
    <row r="7" spans="1:5">
      <c r="A7" s="124"/>
      <c r="B7" s="237"/>
      <c r="C7" s="237"/>
    </row>
    <row r="8" spans="1:5">
      <c r="A8" s="251" t="s">
        <v>3</v>
      </c>
      <c r="B8" s="251"/>
      <c r="C8" s="237"/>
    </row>
    <row r="9" spans="1:5">
      <c r="A9" s="127" t="s">
        <v>252</v>
      </c>
      <c r="B9" s="237">
        <v>285142000</v>
      </c>
      <c r="C9" s="237"/>
    </row>
    <row r="10" spans="1:5" ht="16.5" thickBot="1">
      <c r="A10" s="127" t="s">
        <v>211</v>
      </c>
      <c r="B10" s="312">
        <v>59000000</v>
      </c>
      <c r="C10" s="237"/>
    </row>
    <row r="11" spans="1:5">
      <c r="A11" s="129" t="s">
        <v>91</v>
      </c>
      <c r="B11" s="311"/>
      <c r="C11" s="236">
        <f>+B10+B9</f>
        <v>344142000</v>
      </c>
      <c r="D11" s="172"/>
      <c r="E11" s="172"/>
    </row>
    <row r="12" spans="1:5">
      <c r="A12" s="124"/>
      <c r="B12" s="237"/>
      <c r="C12" s="237"/>
    </row>
    <row r="13" spans="1:5">
      <c r="A13" s="765" t="s">
        <v>92</v>
      </c>
      <c r="B13" s="765"/>
      <c r="C13" s="765"/>
    </row>
    <row r="14" spans="1:5">
      <c r="A14" s="235" t="s">
        <v>253</v>
      </c>
      <c r="B14" s="237"/>
      <c r="C14" s="237"/>
    </row>
    <row r="15" spans="1:5">
      <c r="A15" s="198" t="s">
        <v>96</v>
      </c>
      <c r="B15" s="237">
        <v>97524000</v>
      </c>
      <c r="C15" s="237"/>
    </row>
    <row r="16" spans="1:5">
      <c r="A16" s="198" t="s">
        <v>97</v>
      </c>
      <c r="B16" s="237">
        <v>29804000</v>
      </c>
      <c r="C16" s="237"/>
    </row>
    <row r="17" spans="1:6">
      <c r="A17" s="198" t="s">
        <v>98</v>
      </c>
      <c r="B17" s="237">
        <v>12173000</v>
      </c>
      <c r="C17" s="237"/>
    </row>
    <row r="18" spans="1:6">
      <c r="A18" s="198" t="s">
        <v>99</v>
      </c>
      <c r="B18" s="237">
        <v>17658000</v>
      </c>
      <c r="C18" s="237"/>
    </row>
    <row r="19" spans="1:6">
      <c r="A19" s="198" t="s">
        <v>102</v>
      </c>
      <c r="B19" s="237">
        <v>74879000</v>
      </c>
      <c r="C19" s="237"/>
    </row>
    <row r="20" spans="1:6">
      <c r="A20" s="198" t="s">
        <v>103</v>
      </c>
      <c r="B20" s="237">
        <v>10862000</v>
      </c>
      <c r="C20" s="237"/>
    </row>
    <row r="21" spans="1:6" ht="16.5" thickBot="1">
      <c r="A21" s="198" t="s">
        <v>109</v>
      </c>
      <c r="B21" s="312">
        <v>487000</v>
      </c>
      <c r="C21" s="237"/>
    </row>
    <row r="22" spans="1:6">
      <c r="A22" s="235" t="s">
        <v>110</v>
      </c>
      <c r="B22" s="311"/>
      <c r="C22" s="236">
        <f>SUM(B15:B21)</f>
        <v>243387000</v>
      </c>
      <c r="D22" s="193"/>
      <c r="F22" s="5"/>
    </row>
    <row r="23" spans="1:6">
      <c r="A23" s="313"/>
      <c r="B23" s="314"/>
      <c r="C23" s="314"/>
    </row>
    <row r="24" spans="1:6" ht="16.5" thickBot="1">
      <c r="A24" s="787" t="s">
        <v>111</v>
      </c>
      <c r="B24" s="787"/>
      <c r="C24" s="316">
        <f>C11-C22</f>
        <v>100755000</v>
      </c>
    </row>
    <row r="25" spans="1:6">
      <c r="A25" s="315"/>
      <c r="B25" s="311"/>
      <c r="C25" s="311"/>
    </row>
    <row r="26" spans="1:6">
      <c r="A26" s="766" t="s">
        <v>112</v>
      </c>
      <c r="B26" s="767"/>
      <c r="C26" s="768"/>
    </row>
    <row r="27" spans="1:6">
      <c r="A27" s="235" t="s">
        <v>212</v>
      </c>
      <c r="B27" s="237"/>
      <c r="C27" s="237"/>
    </row>
    <row r="28" spans="1:6">
      <c r="A28" s="229" t="s">
        <v>114</v>
      </c>
      <c r="B28" s="237">
        <v>13560000</v>
      </c>
      <c r="C28" s="237"/>
    </row>
    <row r="29" spans="1:6">
      <c r="A29" s="229" t="s">
        <v>117</v>
      </c>
      <c r="B29" s="237">
        <v>2400000</v>
      </c>
      <c r="C29" s="237"/>
    </row>
    <row r="30" spans="1:6">
      <c r="A30" s="229" t="s">
        <v>118</v>
      </c>
      <c r="B30" s="237">
        <v>1107000</v>
      </c>
      <c r="C30" s="237"/>
    </row>
    <row r="31" spans="1:6" ht="16.5" thickBot="1">
      <c r="A31" s="229" t="s">
        <v>120</v>
      </c>
      <c r="B31" s="312">
        <v>11476000</v>
      </c>
      <c r="C31" s="237"/>
    </row>
    <row r="32" spans="1:6">
      <c r="A32" s="235" t="s">
        <v>213</v>
      </c>
      <c r="B32" s="311"/>
      <c r="C32" s="236">
        <f>+SUM(B28:B31)</f>
        <v>28543000</v>
      </c>
    </row>
    <row r="33" spans="1:6">
      <c r="A33" s="313"/>
      <c r="B33" s="314"/>
      <c r="C33" s="314"/>
    </row>
    <row r="34" spans="1:6" ht="16.5" thickBot="1">
      <c r="A34" s="763" t="s">
        <v>124</v>
      </c>
      <c r="B34" s="764"/>
      <c r="C34" s="316">
        <f>+C32</f>
        <v>28543000</v>
      </c>
    </row>
    <row r="35" spans="1:6">
      <c r="A35" s="317"/>
      <c r="B35" s="318"/>
      <c r="C35" s="318"/>
      <c r="E35" s="195"/>
      <c r="F35" s="5"/>
    </row>
    <row r="36" spans="1:6" ht="16.5" thickBot="1">
      <c r="A36" s="763" t="s">
        <v>7</v>
      </c>
      <c r="B36" s="764"/>
      <c r="C36" s="316">
        <f>+C24-C34</f>
        <v>72212000</v>
      </c>
    </row>
    <row r="37" spans="1:6">
      <c r="A37" s="360"/>
      <c r="B37" s="311"/>
      <c r="C37" s="324"/>
      <c r="E37" s="195"/>
    </row>
    <row r="38" spans="1:6">
      <c r="A38" s="766" t="s">
        <v>8</v>
      </c>
      <c r="B38" s="767"/>
      <c r="C38" s="768"/>
    </row>
    <row r="39" spans="1:6" ht="16.5" thickBot="1">
      <c r="A39" s="127" t="s">
        <v>125</v>
      </c>
      <c r="B39" s="312">
        <v>25000</v>
      </c>
      <c r="C39" s="236"/>
    </row>
    <row r="40" spans="1:6">
      <c r="A40" s="235" t="s">
        <v>214</v>
      </c>
      <c r="B40" s="311"/>
      <c r="C40" s="236">
        <f>+B39</f>
        <v>25000</v>
      </c>
    </row>
    <row r="41" spans="1:6">
      <c r="A41" s="235"/>
      <c r="B41" s="237"/>
      <c r="C41" s="236"/>
    </row>
    <row r="42" spans="1:6">
      <c r="A42" s="129" t="s">
        <v>9</v>
      </c>
      <c r="B42" s="237"/>
      <c r="C42" s="237"/>
    </row>
    <row r="43" spans="1:6" ht="16.5" thickBot="1">
      <c r="A43" s="124" t="s">
        <v>215</v>
      </c>
      <c r="B43" s="312">
        <v>3456000</v>
      </c>
      <c r="C43" s="237"/>
    </row>
    <row r="44" spans="1:6">
      <c r="A44" s="235" t="s">
        <v>126</v>
      </c>
      <c r="B44" s="311"/>
      <c r="C44" s="236">
        <f>+B43</f>
        <v>3456000</v>
      </c>
    </row>
    <row r="45" spans="1:6">
      <c r="A45" s="313"/>
      <c r="B45" s="314"/>
      <c r="C45" s="314"/>
    </row>
    <row r="46" spans="1:6" ht="16.5" thickBot="1">
      <c r="A46" s="319" t="s">
        <v>315</v>
      </c>
      <c r="B46" s="320"/>
      <c r="C46" s="316">
        <f>+C36+C40-C44</f>
        <v>68781000</v>
      </c>
    </row>
    <row r="47" spans="1:6">
      <c r="A47" s="315"/>
      <c r="B47" s="311"/>
      <c r="C47" s="311"/>
    </row>
    <row r="48" spans="1:6">
      <c r="A48" s="337" t="s">
        <v>353</v>
      </c>
      <c r="B48" s="311"/>
      <c r="C48" s="311"/>
    </row>
    <row r="49" spans="1:6">
      <c r="A49" s="229" t="s">
        <v>128</v>
      </c>
      <c r="B49" s="237">
        <f>+C46*25%-250</f>
        <v>17195000</v>
      </c>
      <c r="C49" s="3"/>
    </row>
    <row r="50" spans="1:6" ht="16.5" thickBot="1">
      <c r="A50" s="229" t="s">
        <v>129</v>
      </c>
      <c r="B50" s="312">
        <v>3768000</v>
      </c>
      <c r="C50" s="3"/>
    </row>
    <row r="51" spans="1:6">
      <c r="A51" s="337" t="s">
        <v>257</v>
      </c>
      <c r="B51" s="318"/>
      <c r="C51" s="314">
        <f>+B49+B50</f>
        <v>20963000</v>
      </c>
    </row>
    <row r="52" spans="1:6">
      <c r="A52" s="377"/>
      <c r="B52" s="378"/>
      <c r="C52" s="318"/>
    </row>
    <row r="53" spans="1:6" ht="16.5" thickBot="1">
      <c r="A53" s="763" t="s">
        <v>127</v>
      </c>
      <c r="B53" s="764"/>
      <c r="C53" s="316">
        <f>+C46-B49-B50</f>
        <v>47818000</v>
      </c>
      <c r="D53" s="172"/>
      <c r="F53" s="196"/>
    </row>
    <row r="54" spans="1:6">
      <c r="A54" s="315"/>
      <c r="B54" s="311"/>
      <c r="C54" s="311"/>
    </row>
    <row r="55" spans="1:6">
      <c r="A55" s="124"/>
      <c r="B55" s="237"/>
      <c r="C55" s="237"/>
    </row>
    <row r="56" spans="1:6">
      <c r="A56" s="124"/>
      <c r="B56" s="237"/>
      <c r="C56" s="237"/>
    </row>
    <row r="57" spans="1:6">
      <c r="A57" s="124"/>
      <c r="B57" s="237"/>
      <c r="C57" s="237"/>
    </row>
    <row r="58" spans="1:6">
      <c r="A58" s="250" t="s">
        <v>130</v>
      </c>
      <c r="B58" s="786" t="s">
        <v>131</v>
      </c>
      <c r="C58" s="786"/>
    </row>
    <row r="59" spans="1:6">
      <c r="A59" s="199" t="s">
        <v>132</v>
      </c>
      <c r="B59" s="780" t="s">
        <v>133</v>
      </c>
      <c r="C59" s="780"/>
    </row>
    <row r="60" spans="1:6">
      <c r="A60" s="200" t="s">
        <v>251</v>
      </c>
      <c r="B60" s="771" t="s">
        <v>134</v>
      </c>
      <c r="C60" s="771"/>
    </row>
    <row r="61" spans="1:6">
      <c r="A61" s="13"/>
      <c r="B61" s="781"/>
      <c r="C61" s="781"/>
    </row>
    <row r="62" spans="1:6" s="159" customFormat="1">
      <c r="A62" s="11"/>
      <c r="B62" s="782"/>
      <c r="C62" s="782"/>
      <c r="F62" s="3"/>
    </row>
    <row r="63" spans="1:6" s="159" customFormat="1">
      <c r="A63" s="3"/>
      <c r="B63" s="239"/>
      <c r="C63" s="239"/>
      <c r="F63" s="3"/>
    </row>
    <row r="64" spans="1:6" s="159" customFormat="1">
      <c r="A64" s="3"/>
      <c r="B64" s="238"/>
      <c r="C64" s="238"/>
      <c r="F64" s="3"/>
    </row>
    <row r="65" spans="1:6" s="159" customFormat="1">
      <c r="A65" s="3"/>
      <c r="B65" s="239"/>
      <c r="C65" s="239"/>
      <c r="F65" s="3"/>
    </row>
    <row r="66" spans="1:6" s="159" customFormat="1">
      <c r="A66" s="3"/>
      <c r="B66" s="238"/>
      <c r="C66" s="238"/>
      <c r="F66" s="3"/>
    </row>
  </sheetData>
  <mergeCells count="16">
    <mergeCell ref="B59:C59"/>
    <mergeCell ref="B60:C60"/>
    <mergeCell ref="B61:C61"/>
    <mergeCell ref="B62:C62"/>
    <mergeCell ref="A1:C1"/>
    <mergeCell ref="A2:C2"/>
    <mergeCell ref="A4:C4"/>
    <mergeCell ref="A6:C6"/>
    <mergeCell ref="B58:C58"/>
    <mergeCell ref="A13:C13"/>
    <mergeCell ref="A24:B24"/>
    <mergeCell ref="A26:C26"/>
    <mergeCell ref="A34:B34"/>
    <mergeCell ref="A36:B36"/>
    <mergeCell ref="A38:C38"/>
    <mergeCell ref="A53:B53"/>
  </mergeCells>
  <printOptions horizontalCentered="1"/>
  <pageMargins left="0.70866141732283472" right="0.70866141732283472" top="0.74803149606299213" bottom="0.74803149606299213" header="0" footer="0"/>
  <pageSetup scale="75" orientation="portrait" r:id="rId1"/>
  <rowBreaks count="1" manualBreakCount="1">
    <brk id="60" max="16383" man="1"/>
  </rowBreaks>
  <colBreaks count="1" manualBreakCount="1">
    <brk id="3" max="1048575"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8"/>
  <sheetViews>
    <sheetView zoomScaleNormal="100" zoomScaleSheetLayoutView="90" workbookViewId="0">
      <selection activeCell="E65" sqref="E65"/>
    </sheetView>
  </sheetViews>
  <sheetFormatPr baseColWidth="10" defaultColWidth="10.7109375" defaultRowHeight="15.75"/>
  <cols>
    <col min="1" max="1" width="71.42578125" style="3" customWidth="1"/>
    <col min="2" max="2" width="22" style="238" customWidth="1"/>
    <col min="3" max="3" width="17.7109375" style="390" customWidth="1"/>
    <col min="4" max="4" width="14" style="172" customWidth="1"/>
    <col min="5" max="5" width="16.5703125" style="159" bestFit="1" customWidth="1"/>
    <col min="6" max="6" width="17.7109375" style="159" customWidth="1"/>
    <col min="7" max="256" width="11.42578125" style="3"/>
    <col min="257" max="257" width="51.5703125" style="3" customWidth="1"/>
    <col min="258" max="258" width="23.85546875" style="3" customWidth="1"/>
    <col min="259" max="259" width="22.7109375" style="3" customWidth="1"/>
    <col min="260" max="260" width="14" style="3" customWidth="1"/>
    <col min="261" max="261" width="16.5703125" style="3" bestFit="1" customWidth="1"/>
    <col min="262" max="262" width="17.7109375" style="3" customWidth="1"/>
    <col min="263" max="512" width="11.42578125" style="3"/>
    <col min="513" max="513" width="51.5703125" style="3" customWidth="1"/>
    <col min="514" max="514" width="23.85546875" style="3" customWidth="1"/>
    <col min="515" max="515" width="22.7109375" style="3" customWidth="1"/>
    <col min="516" max="516" width="14" style="3" customWidth="1"/>
    <col min="517" max="517" width="16.5703125" style="3" bestFit="1" customWidth="1"/>
    <col min="518" max="518" width="17.7109375" style="3" customWidth="1"/>
    <col min="519" max="768" width="11.42578125" style="3"/>
    <col min="769" max="769" width="51.5703125" style="3" customWidth="1"/>
    <col min="770" max="770" width="23.85546875" style="3" customWidth="1"/>
    <col min="771" max="771" width="22.7109375" style="3" customWidth="1"/>
    <col min="772" max="772" width="14" style="3" customWidth="1"/>
    <col min="773" max="773" width="16.5703125" style="3" bestFit="1" customWidth="1"/>
    <col min="774" max="774" width="17.7109375" style="3" customWidth="1"/>
    <col min="775" max="1024" width="11.42578125" style="3"/>
    <col min="1025" max="1025" width="51.5703125" style="3" customWidth="1"/>
    <col min="1026" max="1026" width="23.85546875" style="3" customWidth="1"/>
    <col min="1027" max="1027" width="22.7109375" style="3" customWidth="1"/>
    <col min="1028" max="1028" width="14" style="3" customWidth="1"/>
    <col min="1029" max="1029" width="16.5703125" style="3" bestFit="1" customWidth="1"/>
    <col min="1030" max="1030" width="17.7109375" style="3" customWidth="1"/>
    <col min="1031" max="1280" width="11.42578125" style="3"/>
    <col min="1281" max="1281" width="51.5703125" style="3" customWidth="1"/>
    <col min="1282" max="1282" width="23.85546875" style="3" customWidth="1"/>
    <col min="1283" max="1283" width="22.7109375" style="3" customWidth="1"/>
    <col min="1284" max="1284" width="14" style="3" customWidth="1"/>
    <col min="1285" max="1285" width="16.5703125" style="3" bestFit="1" customWidth="1"/>
    <col min="1286" max="1286" width="17.7109375" style="3" customWidth="1"/>
    <col min="1287" max="1536" width="11.42578125" style="3"/>
    <col min="1537" max="1537" width="51.5703125" style="3" customWidth="1"/>
    <col min="1538" max="1538" width="23.85546875" style="3" customWidth="1"/>
    <col min="1539" max="1539" width="22.7109375" style="3" customWidth="1"/>
    <col min="1540" max="1540" width="14" style="3" customWidth="1"/>
    <col min="1541" max="1541" width="16.5703125" style="3" bestFit="1" customWidth="1"/>
    <col min="1542" max="1542" width="17.7109375" style="3" customWidth="1"/>
    <col min="1543" max="1792" width="11.42578125" style="3"/>
    <col min="1793" max="1793" width="51.5703125" style="3" customWidth="1"/>
    <col min="1794" max="1794" width="23.85546875" style="3" customWidth="1"/>
    <col min="1795" max="1795" width="22.7109375" style="3" customWidth="1"/>
    <col min="1796" max="1796" width="14" style="3" customWidth="1"/>
    <col min="1797" max="1797" width="16.5703125" style="3" bestFit="1" customWidth="1"/>
    <col min="1798" max="1798" width="17.7109375" style="3" customWidth="1"/>
    <col min="1799" max="2048" width="11.42578125" style="3"/>
    <col min="2049" max="2049" width="51.5703125" style="3" customWidth="1"/>
    <col min="2050" max="2050" width="23.85546875" style="3" customWidth="1"/>
    <col min="2051" max="2051" width="22.7109375" style="3" customWidth="1"/>
    <col min="2052" max="2052" width="14" style="3" customWidth="1"/>
    <col min="2053" max="2053" width="16.5703125" style="3" bestFit="1" customWidth="1"/>
    <col min="2054" max="2054" width="17.7109375" style="3" customWidth="1"/>
    <col min="2055" max="2304" width="11.42578125" style="3"/>
    <col min="2305" max="2305" width="51.5703125" style="3" customWidth="1"/>
    <col min="2306" max="2306" width="23.85546875" style="3" customWidth="1"/>
    <col min="2307" max="2307" width="22.7109375" style="3" customWidth="1"/>
    <col min="2308" max="2308" width="14" style="3" customWidth="1"/>
    <col min="2309" max="2309" width="16.5703125" style="3" bestFit="1" customWidth="1"/>
    <col min="2310" max="2310" width="17.7109375" style="3" customWidth="1"/>
    <col min="2311" max="2560" width="11.42578125" style="3"/>
    <col min="2561" max="2561" width="51.5703125" style="3" customWidth="1"/>
    <col min="2562" max="2562" width="23.85546875" style="3" customWidth="1"/>
    <col min="2563" max="2563" width="22.7109375" style="3" customWidth="1"/>
    <col min="2564" max="2564" width="14" style="3" customWidth="1"/>
    <col min="2565" max="2565" width="16.5703125" style="3" bestFit="1" customWidth="1"/>
    <col min="2566" max="2566" width="17.7109375" style="3" customWidth="1"/>
    <col min="2567" max="2816" width="11.42578125" style="3"/>
    <col min="2817" max="2817" width="51.5703125" style="3" customWidth="1"/>
    <col min="2818" max="2818" width="23.85546875" style="3" customWidth="1"/>
    <col min="2819" max="2819" width="22.7109375" style="3" customWidth="1"/>
    <col min="2820" max="2820" width="14" style="3" customWidth="1"/>
    <col min="2821" max="2821" width="16.5703125" style="3" bestFit="1" customWidth="1"/>
    <col min="2822" max="2822" width="17.7109375" style="3" customWidth="1"/>
    <col min="2823" max="3072" width="11.42578125" style="3"/>
    <col min="3073" max="3073" width="51.5703125" style="3" customWidth="1"/>
    <col min="3074" max="3074" width="23.85546875" style="3" customWidth="1"/>
    <col min="3075" max="3075" width="22.7109375" style="3" customWidth="1"/>
    <col min="3076" max="3076" width="14" style="3" customWidth="1"/>
    <col min="3077" max="3077" width="16.5703125" style="3" bestFit="1" customWidth="1"/>
    <col min="3078" max="3078" width="17.7109375" style="3" customWidth="1"/>
    <col min="3079" max="3328" width="11.42578125" style="3"/>
    <col min="3329" max="3329" width="51.5703125" style="3" customWidth="1"/>
    <col min="3330" max="3330" width="23.85546875" style="3" customWidth="1"/>
    <col min="3331" max="3331" width="22.7109375" style="3" customWidth="1"/>
    <col min="3332" max="3332" width="14" style="3" customWidth="1"/>
    <col min="3333" max="3333" width="16.5703125" style="3" bestFit="1" customWidth="1"/>
    <col min="3334" max="3334" width="17.7109375" style="3" customWidth="1"/>
    <col min="3335" max="3584" width="11.42578125" style="3"/>
    <col min="3585" max="3585" width="51.5703125" style="3" customWidth="1"/>
    <col min="3586" max="3586" width="23.85546875" style="3" customWidth="1"/>
    <col min="3587" max="3587" width="22.7109375" style="3" customWidth="1"/>
    <col min="3588" max="3588" width="14" style="3" customWidth="1"/>
    <col min="3589" max="3589" width="16.5703125" style="3" bestFit="1" customWidth="1"/>
    <col min="3590" max="3590" width="17.7109375" style="3" customWidth="1"/>
    <col min="3591" max="3840" width="11.42578125" style="3"/>
    <col min="3841" max="3841" width="51.5703125" style="3" customWidth="1"/>
    <col min="3842" max="3842" width="23.85546875" style="3" customWidth="1"/>
    <col min="3843" max="3843" width="22.7109375" style="3" customWidth="1"/>
    <col min="3844" max="3844" width="14" style="3" customWidth="1"/>
    <col min="3845" max="3845" width="16.5703125" style="3" bestFit="1" customWidth="1"/>
    <col min="3846" max="3846" width="17.7109375" style="3" customWidth="1"/>
    <col min="3847" max="4096" width="11.42578125" style="3"/>
    <col min="4097" max="4097" width="51.5703125" style="3" customWidth="1"/>
    <col min="4098" max="4098" width="23.85546875" style="3" customWidth="1"/>
    <col min="4099" max="4099" width="22.7109375" style="3" customWidth="1"/>
    <col min="4100" max="4100" width="14" style="3" customWidth="1"/>
    <col min="4101" max="4101" width="16.5703125" style="3" bestFit="1" customWidth="1"/>
    <col min="4102" max="4102" width="17.7109375" style="3" customWidth="1"/>
    <col min="4103" max="4352" width="11.42578125" style="3"/>
    <col min="4353" max="4353" width="51.5703125" style="3" customWidth="1"/>
    <col min="4354" max="4354" width="23.85546875" style="3" customWidth="1"/>
    <col min="4355" max="4355" width="22.7109375" style="3" customWidth="1"/>
    <col min="4356" max="4356" width="14" style="3" customWidth="1"/>
    <col min="4357" max="4357" width="16.5703125" style="3" bestFit="1" customWidth="1"/>
    <col min="4358" max="4358" width="17.7109375" style="3" customWidth="1"/>
    <col min="4359" max="4608" width="11.42578125" style="3"/>
    <col min="4609" max="4609" width="51.5703125" style="3" customWidth="1"/>
    <col min="4610" max="4610" width="23.85546875" style="3" customWidth="1"/>
    <col min="4611" max="4611" width="22.7109375" style="3" customWidth="1"/>
    <col min="4612" max="4612" width="14" style="3" customWidth="1"/>
    <col min="4613" max="4613" width="16.5703125" style="3" bestFit="1" customWidth="1"/>
    <col min="4614" max="4614" width="17.7109375" style="3" customWidth="1"/>
    <col min="4615" max="4864" width="11.42578125" style="3"/>
    <col min="4865" max="4865" width="51.5703125" style="3" customWidth="1"/>
    <col min="4866" max="4866" width="23.85546875" style="3" customWidth="1"/>
    <col min="4867" max="4867" width="22.7109375" style="3" customWidth="1"/>
    <col min="4868" max="4868" width="14" style="3" customWidth="1"/>
    <col min="4869" max="4869" width="16.5703125" style="3" bestFit="1" customWidth="1"/>
    <col min="4870" max="4870" width="17.7109375" style="3" customWidth="1"/>
    <col min="4871" max="5120" width="11.42578125" style="3"/>
    <col min="5121" max="5121" width="51.5703125" style="3" customWidth="1"/>
    <col min="5122" max="5122" width="23.85546875" style="3" customWidth="1"/>
    <col min="5123" max="5123" width="22.7109375" style="3" customWidth="1"/>
    <col min="5124" max="5124" width="14" style="3" customWidth="1"/>
    <col min="5125" max="5125" width="16.5703125" style="3" bestFit="1" customWidth="1"/>
    <col min="5126" max="5126" width="17.7109375" style="3" customWidth="1"/>
    <col min="5127" max="5376" width="11.42578125" style="3"/>
    <col min="5377" max="5377" width="51.5703125" style="3" customWidth="1"/>
    <col min="5378" max="5378" width="23.85546875" style="3" customWidth="1"/>
    <col min="5379" max="5379" width="22.7109375" style="3" customWidth="1"/>
    <col min="5380" max="5380" width="14" style="3" customWidth="1"/>
    <col min="5381" max="5381" width="16.5703125" style="3" bestFit="1" customWidth="1"/>
    <col min="5382" max="5382" width="17.7109375" style="3" customWidth="1"/>
    <col min="5383" max="5632" width="11.42578125" style="3"/>
    <col min="5633" max="5633" width="51.5703125" style="3" customWidth="1"/>
    <col min="5634" max="5634" width="23.85546875" style="3" customWidth="1"/>
    <col min="5635" max="5635" width="22.7109375" style="3" customWidth="1"/>
    <col min="5636" max="5636" width="14" style="3" customWidth="1"/>
    <col min="5637" max="5637" width="16.5703125" style="3" bestFit="1" customWidth="1"/>
    <col min="5638" max="5638" width="17.7109375" style="3" customWidth="1"/>
    <col min="5639" max="5888" width="11.42578125" style="3"/>
    <col min="5889" max="5889" width="51.5703125" style="3" customWidth="1"/>
    <col min="5890" max="5890" width="23.85546875" style="3" customWidth="1"/>
    <col min="5891" max="5891" width="22.7109375" style="3" customWidth="1"/>
    <col min="5892" max="5892" width="14" style="3" customWidth="1"/>
    <col min="5893" max="5893" width="16.5703125" style="3" bestFit="1" customWidth="1"/>
    <col min="5894" max="5894" width="17.7109375" style="3" customWidth="1"/>
    <col min="5895" max="6144" width="11.42578125" style="3"/>
    <col min="6145" max="6145" width="51.5703125" style="3" customWidth="1"/>
    <col min="6146" max="6146" width="23.85546875" style="3" customWidth="1"/>
    <col min="6147" max="6147" width="22.7109375" style="3" customWidth="1"/>
    <col min="6148" max="6148" width="14" style="3" customWidth="1"/>
    <col min="6149" max="6149" width="16.5703125" style="3" bestFit="1" customWidth="1"/>
    <col min="6150" max="6150" width="17.7109375" style="3" customWidth="1"/>
    <col min="6151" max="6400" width="11.42578125" style="3"/>
    <col min="6401" max="6401" width="51.5703125" style="3" customWidth="1"/>
    <col min="6402" max="6402" width="23.85546875" style="3" customWidth="1"/>
    <col min="6403" max="6403" width="22.7109375" style="3" customWidth="1"/>
    <col min="6404" max="6404" width="14" style="3" customWidth="1"/>
    <col min="6405" max="6405" width="16.5703125" style="3" bestFit="1" customWidth="1"/>
    <col min="6406" max="6406" width="17.7109375" style="3" customWidth="1"/>
    <col min="6407" max="6656" width="11.42578125" style="3"/>
    <col min="6657" max="6657" width="51.5703125" style="3" customWidth="1"/>
    <col min="6658" max="6658" width="23.85546875" style="3" customWidth="1"/>
    <col min="6659" max="6659" width="22.7109375" style="3" customWidth="1"/>
    <col min="6660" max="6660" width="14" style="3" customWidth="1"/>
    <col min="6661" max="6661" width="16.5703125" style="3" bestFit="1" customWidth="1"/>
    <col min="6662" max="6662" width="17.7109375" style="3" customWidth="1"/>
    <col min="6663" max="6912" width="11.42578125" style="3"/>
    <col min="6913" max="6913" width="51.5703125" style="3" customWidth="1"/>
    <col min="6914" max="6914" width="23.85546875" style="3" customWidth="1"/>
    <col min="6915" max="6915" width="22.7109375" style="3" customWidth="1"/>
    <col min="6916" max="6916" width="14" style="3" customWidth="1"/>
    <col min="6917" max="6917" width="16.5703125" style="3" bestFit="1" customWidth="1"/>
    <col min="6918" max="6918" width="17.7109375" style="3" customWidth="1"/>
    <col min="6919" max="7168" width="11.42578125" style="3"/>
    <col min="7169" max="7169" width="51.5703125" style="3" customWidth="1"/>
    <col min="7170" max="7170" width="23.85546875" style="3" customWidth="1"/>
    <col min="7171" max="7171" width="22.7109375" style="3" customWidth="1"/>
    <col min="7172" max="7172" width="14" style="3" customWidth="1"/>
    <col min="7173" max="7173" width="16.5703125" style="3" bestFit="1" customWidth="1"/>
    <col min="7174" max="7174" width="17.7109375" style="3" customWidth="1"/>
    <col min="7175" max="7424" width="11.42578125" style="3"/>
    <col min="7425" max="7425" width="51.5703125" style="3" customWidth="1"/>
    <col min="7426" max="7426" width="23.85546875" style="3" customWidth="1"/>
    <col min="7427" max="7427" width="22.7109375" style="3" customWidth="1"/>
    <col min="7428" max="7428" width="14" style="3" customWidth="1"/>
    <col min="7429" max="7429" width="16.5703125" style="3" bestFit="1" customWidth="1"/>
    <col min="7430" max="7430" width="17.7109375" style="3" customWidth="1"/>
    <col min="7431" max="7680" width="11.42578125" style="3"/>
    <col min="7681" max="7681" width="51.5703125" style="3" customWidth="1"/>
    <col min="7682" max="7682" width="23.85546875" style="3" customWidth="1"/>
    <col min="7683" max="7683" width="22.7109375" style="3" customWidth="1"/>
    <col min="7684" max="7684" width="14" style="3" customWidth="1"/>
    <col min="7685" max="7685" width="16.5703125" style="3" bestFit="1" customWidth="1"/>
    <col min="7686" max="7686" width="17.7109375" style="3" customWidth="1"/>
    <col min="7687" max="7936" width="11.42578125" style="3"/>
    <col min="7937" max="7937" width="51.5703125" style="3" customWidth="1"/>
    <col min="7938" max="7938" width="23.85546875" style="3" customWidth="1"/>
    <col min="7939" max="7939" width="22.7109375" style="3" customWidth="1"/>
    <col min="7940" max="7940" width="14" style="3" customWidth="1"/>
    <col min="7941" max="7941" width="16.5703125" style="3" bestFit="1" customWidth="1"/>
    <col min="7942" max="7942" width="17.7109375" style="3" customWidth="1"/>
    <col min="7943" max="8192" width="11.42578125" style="3"/>
    <col min="8193" max="8193" width="51.5703125" style="3" customWidth="1"/>
    <col min="8194" max="8194" width="23.85546875" style="3" customWidth="1"/>
    <col min="8195" max="8195" width="22.7109375" style="3" customWidth="1"/>
    <col min="8196" max="8196" width="14" style="3" customWidth="1"/>
    <col min="8197" max="8197" width="16.5703125" style="3" bestFit="1" customWidth="1"/>
    <col min="8198" max="8198" width="17.7109375" style="3" customWidth="1"/>
    <col min="8199" max="8448" width="11.42578125" style="3"/>
    <col min="8449" max="8449" width="51.5703125" style="3" customWidth="1"/>
    <col min="8450" max="8450" width="23.85546875" style="3" customWidth="1"/>
    <col min="8451" max="8451" width="22.7109375" style="3" customWidth="1"/>
    <col min="8452" max="8452" width="14" style="3" customWidth="1"/>
    <col min="8453" max="8453" width="16.5703125" style="3" bestFit="1" customWidth="1"/>
    <col min="8454" max="8454" width="17.7109375" style="3" customWidth="1"/>
    <col min="8455" max="8704" width="11.42578125" style="3"/>
    <col min="8705" max="8705" width="51.5703125" style="3" customWidth="1"/>
    <col min="8706" max="8706" width="23.85546875" style="3" customWidth="1"/>
    <col min="8707" max="8707" width="22.7109375" style="3" customWidth="1"/>
    <col min="8708" max="8708" width="14" style="3" customWidth="1"/>
    <col min="8709" max="8709" width="16.5703125" style="3" bestFit="1" customWidth="1"/>
    <col min="8710" max="8710" width="17.7109375" style="3" customWidth="1"/>
    <col min="8711" max="8960" width="11.42578125" style="3"/>
    <col min="8961" max="8961" width="51.5703125" style="3" customWidth="1"/>
    <col min="8962" max="8962" width="23.85546875" style="3" customWidth="1"/>
    <col min="8963" max="8963" width="22.7109375" style="3" customWidth="1"/>
    <col min="8964" max="8964" width="14" style="3" customWidth="1"/>
    <col min="8965" max="8965" width="16.5703125" style="3" bestFit="1" customWidth="1"/>
    <col min="8966" max="8966" width="17.7109375" style="3" customWidth="1"/>
    <col min="8967" max="9216" width="11.42578125" style="3"/>
    <col min="9217" max="9217" width="51.5703125" style="3" customWidth="1"/>
    <col min="9218" max="9218" width="23.85546875" style="3" customWidth="1"/>
    <col min="9219" max="9219" width="22.7109375" style="3" customWidth="1"/>
    <col min="9220" max="9220" width="14" style="3" customWidth="1"/>
    <col min="9221" max="9221" width="16.5703125" style="3" bestFit="1" customWidth="1"/>
    <col min="9222" max="9222" width="17.7109375" style="3" customWidth="1"/>
    <col min="9223" max="9472" width="11.42578125" style="3"/>
    <col min="9473" max="9473" width="51.5703125" style="3" customWidth="1"/>
    <col min="9474" max="9474" width="23.85546875" style="3" customWidth="1"/>
    <col min="9475" max="9475" width="22.7109375" style="3" customWidth="1"/>
    <col min="9476" max="9476" width="14" style="3" customWidth="1"/>
    <col min="9477" max="9477" width="16.5703125" style="3" bestFit="1" customWidth="1"/>
    <col min="9478" max="9478" width="17.7109375" style="3" customWidth="1"/>
    <col min="9479" max="9728" width="11.42578125" style="3"/>
    <col min="9729" max="9729" width="51.5703125" style="3" customWidth="1"/>
    <col min="9730" max="9730" width="23.85546875" style="3" customWidth="1"/>
    <col min="9731" max="9731" width="22.7109375" style="3" customWidth="1"/>
    <col min="9732" max="9732" width="14" style="3" customWidth="1"/>
    <col min="9733" max="9733" width="16.5703125" style="3" bestFit="1" customWidth="1"/>
    <col min="9734" max="9734" width="17.7109375" style="3" customWidth="1"/>
    <col min="9735" max="9984" width="11.42578125" style="3"/>
    <col min="9985" max="9985" width="51.5703125" style="3" customWidth="1"/>
    <col min="9986" max="9986" width="23.85546875" style="3" customWidth="1"/>
    <col min="9987" max="9987" width="22.7109375" style="3" customWidth="1"/>
    <col min="9988" max="9988" width="14" style="3" customWidth="1"/>
    <col min="9989" max="9989" width="16.5703125" style="3" bestFit="1" customWidth="1"/>
    <col min="9990" max="9990" width="17.7109375" style="3" customWidth="1"/>
    <col min="9991" max="10240" width="11.42578125" style="3"/>
    <col min="10241" max="10241" width="51.5703125" style="3" customWidth="1"/>
    <col min="10242" max="10242" width="23.85546875" style="3" customWidth="1"/>
    <col min="10243" max="10243" width="22.7109375" style="3" customWidth="1"/>
    <col min="10244" max="10244" width="14" style="3" customWidth="1"/>
    <col min="10245" max="10245" width="16.5703125" style="3" bestFit="1" customWidth="1"/>
    <col min="10246" max="10246" width="17.7109375" style="3" customWidth="1"/>
    <col min="10247" max="10496" width="11.42578125" style="3"/>
    <col min="10497" max="10497" width="51.5703125" style="3" customWidth="1"/>
    <col min="10498" max="10498" width="23.85546875" style="3" customWidth="1"/>
    <col min="10499" max="10499" width="22.7109375" style="3" customWidth="1"/>
    <col min="10500" max="10500" width="14" style="3" customWidth="1"/>
    <col min="10501" max="10501" width="16.5703125" style="3" bestFit="1" customWidth="1"/>
    <col min="10502" max="10502" width="17.7109375" style="3" customWidth="1"/>
    <col min="10503" max="10752" width="11.42578125" style="3"/>
    <col min="10753" max="10753" width="51.5703125" style="3" customWidth="1"/>
    <col min="10754" max="10754" width="23.85546875" style="3" customWidth="1"/>
    <col min="10755" max="10755" width="22.7109375" style="3" customWidth="1"/>
    <col min="10756" max="10756" width="14" style="3" customWidth="1"/>
    <col min="10757" max="10757" width="16.5703125" style="3" bestFit="1" customWidth="1"/>
    <col min="10758" max="10758" width="17.7109375" style="3" customWidth="1"/>
    <col min="10759" max="11008" width="11.42578125" style="3"/>
    <col min="11009" max="11009" width="51.5703125" style="3" customWidth="1"/>
    <col min="11010" max="11010" width="23.85546875" style="3" customWidth="1"/>
    <col min="11011" max="11011" width="22.7109375" style="3" customWidth="1"/>
    <col min="11012" max="11012" width="14" style="3" customWidth="1"/>
    <col min="11013" max="11013" width="16.5703125" style="3" bestFit="1" customWidth="1"/>
    <col min="11014" max="11014" width="17.7109375" style="3" customWidth="1"/>
    <col min="11015" max="11264" width="11.42578125" style="3"/>
    <col min="11265" max="11265" width="51.5703125" style="3" customWidth="1"/>
    <col min="11266" max="11266" width="23.85546875" style="3" customWidth="1"/>
    <col min="11267" max="11267" width="22.7109375" style="3" customWidth="1"/>
    <col min="11268" max="11268" width="14" style="3" customWidth="1"/>
    <col min="11269" max="11269" width="16.5703125" style="3" bestFit="1" customWidth="1"/>
    <col min="11270" max="11270" width="17.7109375" style="3" customWidth="1"/>
    <col min="11271" max="11520" width="11.42578125" style="3"/>
    <col min="11521" max="11521" width="51.5703125" style="3" customWidth="1"/>
    <col min="11522" max="11522" width="23.85546875" style="3" customWidth="1"/>
    <col min="11523" max="11523" width="22.7109375" style="3" customWidth="1"/>
    <col min="11524" max="11524" width="14" style="3" customWidth="1"/>
    <col min="11525" max="11525" width="16.5703125" style="3" bestFit="1" customWidth="1"/>
    <col min="11526" max="11526" width="17.7109375" style="3" customWidth="1"/>
    <col min="11527" max="11776" width="11.42578125" style="3"/>
    <col min="11777" max="11777" width="51.5703125" style="3" customWidth="1"/>
    <col min="11778" max="11778" width="23.85546875" style="3" customWidth="1"/>
    <col min="11779" max="11779" width="22.7109375" style="3" customWidth="1"/>
    <col min="11780" max="11780" width="14" style="3" customWidth="1"/>
    <col min="11781" max="11781" width="16.5703125" style="3" bestFit="1" customWidth="1"/>
    <col min="11782" max="11782" width="17.7109375" style="3" customWidth="1"/>
    <col min="11783" max="12032" width="11.42578125" style="3"/>
    <col min="12033" max="12033" width="51.5703125" style="3" customWidth="1"/>
    <col min="12034" max="12034" width="23.85546875" style="3" customWidth="1"/>
    <col min="12035" max="12035" width="22.7109375" style="3" customWidth="1"/>
    <col min="12036" max="12036" width="14" style="3" customWidth="1"/>
    <col min="12037" max="12037" width="16.5703125" style="3" bestFit="1" customWidth="1"/>
    <col min="12038" max="12038" width="17.7109375" style="3" customWidth="1"/>
    <col min="12039" max="12288" width="11.42578125" style="3"/>
    <col min="12289" max="12289" width="51.5703125" style="3" customWidth="1"/>
    <col min="12290" max="12290" width="23.85546875" style="3" customWidth="1"/>
    <col min="12291" max="12291" width="22.7109375" style="3" customWidth="1"/>
    <col min="12292" max="12292" width="14" style="3" customWidth="1"/>
    <col min="12293" max="12293" width="16.5703125" style="3" bestFit="1" customWidth="1"/>
    <col min="12294" max="12294" width="17.7109375" style="3" customWidth="1"/>
    <col min="12295" max="12544" width="11.42578125" style="3"/>
    <col min="12545" max="12545" width="51.5703125" style="3" customWidth="1"/>
    <col min="12546" max="12546" width="23.85546875" style="3" customWidth="1"/>
    <col min="12547" max="12547" width="22.7109375" style="3" customWidth="1"/>
    <col min="12548" max="12548" width="14" style="3" customWidth="1"/>
    <col min="12549" max="12549" width="16.5703125" style="3" bestFit="1" customWidth="1"/>
    <col min="12550" max="12550" width="17.7109375" style="3" customWidth="1"/>
    <col min="12551" max="12800" width="11.42578125" style="3"/>
    <col min="12801" max="12801" width="51.5703125" style="3" customWidth="1"/>
    <col min="12802" max="12802" width="23.85546875" style="3" customWidth="1"/>
    <col min="12803" max="12803" width="22.7109375" style="3" customWidth="1"/>
    <col min="12804" max="12804" width="14" style="3" customWidth="1"/>
    <col min="12805" max="12805" width="16.5703125" style="3" bestFit="1" customWidth="1"/>
    <col min="12806" max="12806" width="17.7109375" style="3" customWidth="1"/>
    <col min="12807" max="13056" width="11.42578125" style="3"/>
    <col min="13057" max="13057" width="51.5703125" style="3" customWidth="1"/>
    <col min="13058" max="13058" width="23.85546875" style="3" customWidth="1"/>
    <col min="13059" max="13059" width="22.7109375" style="3" customWidth="1"/>
    <col min="13060" max="13060" width="14" style="3" customWidth="1"/>
    <col min="13061" max="13061" width="16.5703125" style="3" bestFit="1" customWidth="1"/>
    <col min="13062" max="13062" width="17.7109375" style="3" customWidth="1"/>
    <col min="13063" max="13312" width="11.42578125" style="3"/>
    <col min="13313" max="13313" width="51.5703125" style="3" customWidth="1"/>
    <col min="13314" max="13314" width="23.85546875" style="3" customWidth="1"/>
    <col min="13315" max="13315" width="22.7109375" style="3" customWidth="1"/>
    <col min="13316" max="13316" width="14" style="3" customWidth="1"/>
    <col min="13317" max="13317" width="16.5703125" style="3" bestFit="1" customWidth="1"/>
    <col min="13318" max="13318" width="17.7109375" style="3" customWidth="1"/>
    <col min="13319" max="13568" width="11.42578125" style="3"/>
    <col min="13569" max="13569" width="51.5703125" style="3" customWidth="1"/>
    <col min="13570" max="13570" width="23.85546875" style="3" customWidth="1"/>
    <col min="13571" max="13571" width="22.7109375" style="3" customWidth="1"/>
    <col min="13572" max="13572" width="14" style="3" customWidth="1"/>
    <col min="13573" max="13573" width="16.5703125" style="3" bestFit="1" customWidth="1"/>
    <col min="13574" max="13574" width="17.7109375" style="3" customWidth="1"/>
    <col min="13575" max="13824" width="11.42578125" style="3"/>
    <col min="13825" max="13825" width="51.5703125" style="3" customWidth="1"/>
    <col min="13826" max="13826" width="23.85546875" style="3" customWidth="1"/>
    <col min="13827" max="13827" width="22.7109375" style="3" customWidth="1"/>
    <col min="13828" max="13828" width="14" style="3" customWidth="1"/>
    <col min="13829" max="13829" width="16.5703125" style="3" bestFit="1" customWidth="1"/>
    <col min="13830" max="13830" width="17.7109375" style="3" customWidth="1"/>
    <col min="13831" max="14080" width="11.42578125" style="3"/>
    <col min="14081" max="14081" width="51.5703125" style="3" customWidth="1"/>
    <col min="14082" max="14082" width="23.85546875" style="3" customWidth="1"/>
    <col min="14083" max="14083" width="22.7109375" style="3" customWidth="1"/>
    <col min="14084" max="14084" width="14" style="3" customWidth="1"/>
    <col min="14085" max="14085" width="16.5703125" style="3" bestFit="1" customWidth="1"/>
    <col min="14086" max="14086" width="17.7109375" style="3" customWidth="1"/>
    <col min="14087" max="14336" width="11.42578125" style="3"/>
    <col min="14337" max="14337" width="51.5703125" style="3" customWidth="1"/>
    <col min="14338" max="14338" width="23.85546875" style="3" customWidth="1"/>
    <col min="14339" max="14339" width="22.7109375" style="3" customWidth="1"/>
    <col min="14340" max="14340" width="14" style="3" customWidth="1"/>
    <col min="14341" max="14341" width="16.5703125" style="3" bestFit="1" customWidth="1"/>
    <col min="14342" max="14342" width="17.7109375" style="3" customWidth="1"/>
    <col min="14343" max="14592" width="11.42578125" style="3"/>
    <col min="14593" max="14593" width="51.5703125" style="3" customWidth="1"/>
    <col min="14594" max="14594" width="23.85546875" style="3" customWidth="1"/>
    <col min="14595" max="14595" width="22.7109375" style="3" customWidth="1"/>
    <col min="14596" max="14596" width="14" style="3" customWidth="1"/>
    <col min="14597" max="14597" width="16.5703125" style="3" bestFit="1" customWidth="1"/>
    <col min="14598" max="14598" width="17.7109375" style="3" customWidth="1"/>
    <col min="14599" max="14848" width="11.42578125" style="3"/>
    <col min="14849" max="14849" width="51.5703125" style="3" customWidth="1"/>
    <col min="14850" max="14850" width="23.85546875" style="3" customWidth="1"/>
    <col min="14851" max="14851" width="22.7109375" style="3" customWidth="1"/>
    <col min="14852" max="14852" width="14" style="3" customWidth="1"/>
    <col min="14853" max="14853" width="16.5703125" style="3" bestFit="1" customWidth="1"/>
    <col min="14854" max="14854" width="17.7109375" style="3" customWidth="1"/>
    <col min="14855" max="15104" width="11.42578125" style="3"/>
    <col min="15105" max="15105" width="51.5703125" style="3" customWidth="1"/>
    <col min="15106" max="15106" width="23.85546875" style="3" customWidth="1"/>
    <col min="15107" max="15107" width="22.7109375" style="3" customWidth="1"/>
    <col min="15108" max="15108" width="14" style="3" customWidth="1"/>
    <col min="15109" max="15109" width="16.5703125" style="3" bestFit="1" customWidth="1"/>
    <col min="15110" max="15110" width="17.7109375" style="3" customWidth="1"/>
    <col min="15111" max="15360" width="11.42578125" style="3"/>
    <col min="15361" max="15361" width="51.5703125" style="3" customWidth="1"/>
    <col min="15362" max="15362" width="23.85546875" style="3" customWidth="1"/>
    <col min="15363" max="15363" width="22.7109375" style="3" customWidth="1"/>
    <col min="15364" max="15364" width="14" style="3" customWidth="1"/>
    <col min="15365" max="15365" width="16.5703125" style="3" bestFit="1" customWidth="1"/>
    <col min="15366" max="15366" width="17.7109375" style="3" customWidth="1"/>
    <col min="15367" max="15616" width="11.42578125" style="3"/>
    <col min="15617" max="15617" width="51.5703125" style="3" customWidth="1"/>
    <col min="15618" max="15618" width="23.85546875" style="3" customWidth="1"/>
    <col min="15619" max="15619" width="22.7109375" style="3" customWidth="1"/>
    <col min="15620" max="15620" width="14" style="3" customWidth="1"/>
    <col min="15621" max="15621" width="16.5703125" style="3" bestFit="1" customWidth="1"/>
    <col min="15622" max="15622" width="17.7109375" style="3" customWidth="1"/>
    <col min="15623" max="15872" width="11.42578125" style="3"/>
    <col min="15873" max="15873" width="51.5703125" style="3" customWidth="1"/>
    <col min="15874" max="15874" width="23.85546875" style="3" customWidth="1"/>
    <col min="15875" max="15875" width="22.7109375" style="3" customWidth="1"/>
    <col min="15876" max="15876" width="14" style="3" customWidth="1"/>
    <col min="15877" max="15877" width="16.5703125" style="3" bestFit="1" customWidth="1"/>
    <col min="15878" max="15878" width="17.7109375" style="3" customWidth="1"/>
    <col min="15879" max="16128" width="11.42578125" style="3"/>
    <col min="16129" max="16129" width="51.5703125" style="3" customWidth="1"/>
    <col min="16130" max="16130" width="23.85546875" style="3" customWidth="1"/>
    <col min="16131" max="16131" width="22.7109375" style="3" customWidth="1"/>
    <col min="16132" max="16132" width="14" style="3" customWidth="1"/>
    <col min="16133" max="16133" width="16.5703125" style="3" bestFit="1" customWidth="1"/>
    <col min="16134" max="16134" width="17.7109375" style="3" customWidth="1"/>
    <col min="16135" max="16384" width="11.42578125" style="3"/>
  </cols>
  <sheetData>
    <row r="1" spans="1:6" s="172" customFormat="1" ht="12.75" customHeight="1">
      <c r="A1" s="735" t="s">
        <v>85</v>
      </c>
      <c r="B1" s="735"/>
      <c r="C1" s="735"/>
      <c r="E1" s="159"/>
      <c r="F1" s="159"/>
    </row>
    <row r="2" spans="1:6" s="172" customFormat="1">
      <c r="A2" s="736" t="s">
        <v>86</v>
      </c>
      <c r="B2" s="736"/>
      <c r="C2" s="736"/>
      <c r="E2" s="159"/>
      <c r="F2" s="159"/>
    </row>
    <row r="3" spans="1:6" s="172" customFormat="1">
      <c r="A3" s="201"/>
      <c r="B3" s="395"/>
      <c r="C3" s="412"/>
      <c r="E3" s="159"/>
      <c r="F3" s="159"/>
    </row>
    <row r="4" spans="1:6" s="172" customFormat="1">
      <c r="A4" s="650" t="s">
        <v>135</v>
      </c>
      <c r="B4" s="650"/>
      <c r="C4" s="650"/>
      <c r="E4" s="159"/>
      <c r="F4" s="159"/>
    </row>
    <row r="5" spans="1:6" s="172" customFormat="1">
      <c r="A5" s="650" t="s">
        <v>216</v>
      </c>
      <c r="B5" s="650"/>
      <c r="C5" s="650"/>
      <c r="E5" s="159"/>
      <c r="F5" s="159"/>
    </row>
    <row r="6" spans="1:6" s="172" customFormat="1">
      <c r="A6" s="228"/>
      <c r="B6" s="395"/>
      <c r="C6" s="412"/>
      <c r="E6" s="159"/>
      <c r="F6" s="159"/>
    </row>
    <row r="7" spans="1:6" s="172" customFormat="1">
      <c r="A7" s="650" t="s">
        <v>137</v>
      </c>
      <c r="B7" s="650"/>
      <c r="C7" s="650"/>
      <c r="E7" s="159"/>
      <c r="F7" s="159"/>
    </row>
    <row r="8" spans="1:6" s="172" customFormat="1">
      <c r="A8" s="765" t="s">
        <v>138</v>
      </c>
      <c r="B8" s="765"/>
      <c r="C8" s="765"/>
      <c r="E8" s="159"/>
      <c r="F8" s="159"/>
    </row>
    <row r="9" spans="1:6" s="172" customFormat="1">
      <c r="A9" s="228"/>
      <c r="B9" s="419"/>
      <c r="C9" s="421"/>
      <c r="E9" s="159"/>
      <c r="F9" s="159"/>
    </row>
    <row r="10" spans="1:6" s="172" customFormat="1">
      <c r="A10" s="129" t="s">
        <v>139</v>
      </c>
      <c r="B10" s="396"/>
      <c r="C10" s="390"/>
      <c r="E10" s="249"/>
      <c r="F10" s="159"/>
    </row>
    <row r="11" spans="1:6" s="172" customFormat="1" ht="16.5" thickBot="1">
      <c r="A11" s="124" t="s">
        <v>217</v>
      </c>
      <c r="B11" s="397">
        <v>3065000</v>
      </c>
      <c r="C11" s="390"/>
      <c r="E11" s="249"/>
      <c r="F11" s="159"/>
    </row>
    <row r="12" spans="1:6" s="172" customFormat="1">
      <c r="A12" s="129" t="s">
        <v>142</v>
      </c>
      <c r="B12" s="398"/>
      <c r="C12" s="412">
        <f>B11</f>
        <v>3065000</v>
      </c>
      <c r="E12" s="249" t="s">
        <v>143</v>
      </c>
      <c r="F12" s="159"/>
    </row>
    <row r="13" spans="1:6" s="172" customFormat="1">
      <c r="A13" s="129"/>
      <c r="B13" s="396"/>
      <c r="C13" s="390"/>
      <c r="E13" s="249" t="s">
        <v>143</v>
      </c>
      <c r="F13" s="159"/>
    </row>
    <row r="14" spans="1:6" s="172" customFormat="1">
      <c r="A14" s="129" t="s">
        <v>144</v>
      </c>
      <c r="B14" s="396"/>
      <c r="C14" s="390"/>
      <c r="E14" s="249" t="s">
        <v>143</v>
      </c>
      <c r="F14" s="159"/>
    </row>
    <row r="15" spans="1:6" s="172" customFormat="1">
      <c r="A15" s="124" t="s">
        <v>145</v>
      </c>
      <c r="B15" s="396">
        <f>35816000+2029000</f>
        <v>37845000</v>
      </c>
      <c r="C15" s="390"/>
      <c r="E15" s="249"/>
      <c r="F15" s="159"/>
    </row>
    <row r="16" spans="1:6" s="172" customFormat="1" ht="16.5" thickBot="1">
      <c r="A16" s="124" t="s">
        <v>218</v>
      </c>
      <c r="B16" s="397">
        <v>6241000</v>
      </c>
      <c r="C16" s="390"/>
      <c r="E16" s="249"/>
      <c r="F16" s="159"/>
    </row>
    <row r="17" spans="1:6" s="172" customFormat="1">
      <c r="A17" s="129" t="s">
        <v>148</v>
      </c>
      <c r="B17" s="398"/>
      <c r="C17" s="412">
        <f>+B15+B16</f>
        <v>44086000</v>
      </c>
      <c r="E17" s="249"/>
      <c r="F17" s="159"/>
    </row>
    <row r="18" spans="1:6" s="172" customFormat="1">
      <c r="A18" s="321"/>
      <c r="B18" s="399"/>
      <c r="C18" s="390"/>
      <c r="E18" s="249"/>
      <c r="F18" s="159"/>
    </row>
    <row r="19" spans="1:6" s="172" customFormat="1" ht="16.5" thickBot="1">
      <c r="A19" s="319" t="s">
        <v>149</v>
      </c>
      <c r="B19" s="400"/>
      <c r="C19" s="417">
        <f>+C12+C17</f>
        <v>47151000</v>
      </c>
      <c r="E19" s="249" t="s">
        <v>143</v>
      </c>
      <c r="F19" s="159"/>
    </row>
    <row r="20" spans="1:6">
      <c r="A20" s="315"/>
      <c r="B20" s="398"/>
      <c r="E20" s="249" t="s">
        <v>143</v>
      </c>
    </row>
    <row r="21" spans="1:6" s="172" customFormat="1">
      <c r="A21" s="650" t="s">
        <v>150</v>
      </c>
      <c r="B21" s="650"/>
      <c r="C21" s="650"/>
      <c r="E21" s="249" t="s">
        <v>143</v>
      </c>
      <c r="F21" s="159"/>
    </row>
    <row r="22" spans="1:6">
      <c r="A22" s="235" t="s">
        <v>151</v>
      </c>
      <c r="B22" s="395"/>
      <c r="C22" s="412"/>
      <c r="E22" s="249" t="s">
        <v>143</v>
      </c>
    </row>
    <row r="23" spans="1:6">
      <c r="A23" s="129" t="s">
        <v>158</v>
      </c>
      <c r="B23" s="402"/>
      <c r="C23" s="412"/>
      <c r="E23" s="249"/>
    </row>
    <row r="24" spans="1:6" ht="16.5" thickBot="1">
      <c r="A24" s="124" t="s">
        <v>159</v>
      </c>
      <c r="B24" s="397">
        <v>751100000</v>
      </c>
      <c r="C24" s="412"/>
      <c r="E24" s="249"/>
    </row>
    <row r="25" spans="1:6">
      <c r="A25" s="129" t="s">
        <v>161</v>
      </c>
      <c r="B25" s="398"/>
      <c r="C25" s="412">
        <f>+B24</f>
        <v>751100000</v>
      </c>
      <c r="E25" s="249"/>
    </row>
    <row r="26" spans="1:6">
      <c r="A26" s="313"/>
      <c r="B26" s="399"/>
    </row>
    <row r="27" spans="1:6" ht="16.5" thickBot="1">
      <c r="A27" s="319" t="s">
        <v>165</v>
      </c>
      <c r="B27" s="400"/>
      <c r="C27" s="417">
        <f>+C25</f>
        <v>751100000</v>
      </c>
    </row>
    <row r="28" spans="1:6">
      <c r="A28" s="317"/>
      <c r="B28" s="420"/>
    </row>
    <row r="29" spans="1:6" s="11" customFormat="1" ht="16.5" thickBot="1">
      <c r="A29" s="763" t="s">
        <v>166</v>
      </c>
      <c r="B29" s="764"/>
      <c r="C29" s="417">
        <f>+C19+C27</f>
        <v>798251000</v>
      </c>
      <c r="D29" s="194"/>
      <c r="E29" s="195"/>
      <c r="F29" s="195"/>
    </row>
    <row r="30" spans="1:6">
      <c r="A30" s="315"/>
      <c r="B30" s="398"/>
    </row>
    <row r="31" spans="1:6">
      <c r="A31" s="760" t="s">
        <v>167</v>
      </c>
      <c r="B31" s="760"/>
      <c r="C31" s="760"/>
    </row>
    <row r="32" spans="1:6">
      <c r="A32" s="177"/>
      <c r="B32" s="395"/>
      <c r="C32" s="412"/>
    </row>
    <row r="33" spans="1:6">
      <c r="A33" s="129" t="s">
        <v>170</v>
      </c>
      <c r="B33" s="396"/>
    </row>
    <row r="34" spans="1:6">
      <c r="A34" s="124" t="s">
        <v>172</v>
      </c>
      <c r="B34" s="396">
        <v>135000</v>
      </c>
    </row>
    <row r="35" spans="1:6">
      <c r="A35" s="124" t="s">
        <v>219</v>
      </c>
      <c r="B35" s="396">
        <v>23000</v>
      </c>
    </row>
    <row r="36" spans="1:6" ht="16.5" thickBot="1">
      <c r="A36" s="124" t="s">
        <v>174</v>
      </c>
      <c r="B36" s="397">
        <v>103918000</v>
      </c>
    </row>
    <row r="37" spans="1:6">
      <c r="A37" s="129" t="s">
        <v>220</v>
      </c>
      <c r="B37" s="398"/>
      <c r="C37" s="412">
        <f>+SUM(B34:B36)</f>
        <v>104076000</v>
      </c>
    </row>
    <row r="38" spans="1:6">
      <c r="A38" s="129"/>
      <c r="B38" s="396"/>
      <c r="C38" s="412"/>
    </row>
    <row r="39" spans="1:6">
      <c r="A39" s="129" t="s">
        <v>181</v>
      </c>
      <c r="B39" s="406"/>
      <c r="C39" s="415"/>
    </row>
    <row r="40" spans="1:6">
      <c r="A40" s="124" t="s">
        <v>182</v>
      </c>
      <c r="B40" s="406">
        <f>+'ER 2015'!B49</f>
        <v>17195000</v>
      </c>
      <c r="C40" s="415"/>
    </row>
    <row r="41" spans="1:6" ht="16.5" thickBot="1">
      <c r="A41" s="124" t="s">
        <v>129</v>
      </c>
      <c r="B41" s="407">
        <f>+'ER 2015'!B50</f>
        <v>3768000</v>
      </c>
      <c r="C41" s="415"/>
    </row>
    <row r="42" spans="1:6">
      <c r="A42" s="129" t="s">
        <v>183</v>
      </c>
      <c r="B42" s="408"/>
      <c r="C42" s="416">
        <f>+B40+B41</f>
        <v>20963000</v>
      </c>
    </row>
    <row r="43" spans="1:6">
      <c r="A43" s="321"/>
      <c r="B43" s="399"/>
      <c r="C43" s="412"/>
    </row>
    <row r="44" spans="1:6" s="11" customFormat="1" ht="16.5" thickBot="1">
      <c r="A44" s="763" t="s">
        <v>184</v>
      </c>
      <c r="B44" s="764"/>
      <c r="C44" s="417">
        <f>+C37+C42</f>
        <v>125039000</v>
      </c>
      <c r="D44" s="194"/>
      <c r="E44" s="195"/>
      <c r="F44" s="195"/>
    </row>
    <row r="45" spans="1:6">
      <c r="A45" s="315"/>
      <c r="B45" s="398"/>
    </row>
    <row r="46" spans="1:6">
      <c r="A46" s="735" t="s">
        <v>85</v>
      </c>
      <c r="B46" s="735"/>
      <c r="C46" s="735"/>
    </row>
    <row r="47" spans="1:6">
      <c r="A47" s="736" t="s">
        <v>86</v>
      </c>
      <c r="B47" s="736"/>
      <c r="C47" s="736"/>
    </row>
    <row r="48" spans="1:6">
      <c r="A48" s="650" t="s">
        <v>135</v>
      </c>
      <c r="B48" s="650"/>
      <c r="C48" s="650"/>
    </row>
    <row r="49" spans="1:6">
      <c r="A49" s="650" t="s">
        <v>216</v>
      </c>
      <c r="B49" s="650"/>
      <c r="C49" s="650"/>
    </row>
    <row r="50" spans="1:6">
      <c r="A50" s="124"/>
      <c r="B50" s="396"/>
    </row>
    <row r="51" spans="1:6">
      <c r="A51" s="650" t="s">
        <v>185</v>
      </c>
      <c r="B51" s="650"/>
      <c r="C51" s="650"/>
    </row>
    <row r="52" spans="1:6">
      <c r="A52" s="228"/>
      <c r="B52" s="419"/>
      <c r="C52" s="421"/>
    </row>
    <row r="53" spans="1:6">
      <c r="A53" s="129" t="s">
        <v>221</v>
      </c>
      <c r="B53" s="396"/>
      <c r="E53" s="3"/>
      <c r="F53" s="3"/>
    </row>
    <row r="54" spans="1:6" ht="16.5" thickBot="1">
      <c r="A54" s="124" t="s">
        <v>187</v>
      </c>
      <c r="B54" s="397">
        <v>620000000</v>
      </c>
      <c r="E54" s="3"/>
      <c r="F54" s="3"/>
    </row>
    <row r="55" spans="1:6">
      <c r="A55" s="129" t="s">
        <v>188</v>
      </c>
      <c r="B55" s="398"/>
      <c r="C55" s="412">
        <f>+B54</f>
        <v>620000000</v>
      </c>
      <c r="E55" s="3"/>
      <c r="F55" s="3"/>
    </row>
    <row r="56" spans="1:6">
      <c r="A56" s="129"/>
      <c r="B56" s="396"/>
      <c r="C56" s="412"/>
      <c r="E56" s="3"/>
      <c r="F56" s="3"/>
    </row>
    <row r="57" spans="1:6">
      <c r="A57" s="129" t="s">
        <v>36</v>
      </c>
      <c r="B57" s="396"/>
    </row>
    <row r="58" spans="1:6" ht="16.5" thickBot="1">
      <c r="A58" s="124" t="s">
        <v>192</v>
      </c>
      <c r="B58" s="397">
        <f>+'ER 2015'!C53</f>
        <v>47818000</v>
      </c>
    </row>
    <row r="59" spans="1:6">
      <c r="A59" s="129" t="s">
        <v>193</v>
      </c>
      <c r="B59" s="398"/>
      <c r="C59" s="412">
        <f>+B58</f>
        <v>47818000</v>
      </c>
    </row>
    <row r="60" spans="1:6">
      <c r="A60" s="129"/>
      <c r="B60" s="396"/>
      <c r="C60" s="412"/>
    </row>
    <row r="61" spans="1:6">
      <c r="A61" s="129" t="s">
        <v>189</v>
      </c>
      <c r="B61" s="396"/>
    </row>
    <row r="62" spans="1:6" ht="16.5" thickBot="1">
      <c r="A62" s="124" t="s">
        <v>254</v>
      </c>
      <c r="B62" s="397">
        <v>539000</v>
      </c>
    </row>
    <row r="63" spans="1:6">
      <c r="A63" s="129" t="s">
        <v>255</v>
      </c>
      <c r="B63" s="398"/>
      <c r="C63" s="412">
        <f>+B62</f>
        <v>539000</v>
      </c>
    </row>
    <row r="64" spans="1:6">
      <c r="A64" s="129"/>
      <c r="B64" s="396"/>
      <c r="C64" s="412"/>
    </row>
    <row r="65" spans="1:6">
      <c r="A65" s="129" t="s">
        <v>194</v>
      </c>
      <c r="B65" s="396"/>
    </row>
    <row r="66" spans="1:6" ht="16.5" thickBot="1">
      <c r="A66" s="124" t="s">
        <v>195</v>
      </c>
      <c r="B66" s="397">
        <f>+'BALANCE 2014'!B58-B62</f>
        <v>4855000</v>
      </c>
    </row>
    <row r="67" spans="1:6">
      <c r="A67" s="129" t="s">
        <v>196</v>
      </c>
      <c r="B67" s="398"/>
      <c r="C67" s="412">
        <f>+B66</f>
        <v>4855000</v>
      </c>
    </row>
    <row r="68" spans="1:6">
      <c r="A68" s="321"/>
      <c r="B68" s="399"/>
      <c r="C68" s="412"/>
    </row>
    <row r="69" spans="1:6" s="11" customFormat="1" ht="16.5" thickBot="1">
      <c r="A69" s="319" t="s">
        <v>197</v>
      </c>
      <c r="B69" s="418"/>
      <c r="C69" s="417">
        <f>+C55+C59+C67+C63</f>
        <v>673212000</v>
      </c>
      <c r="D69" s="194"/>
      <c r="E69" s="195"/>
      <c r="F69" s="195"/>
    </row>
    <row r="70" spans="1:6">
      <c r="A70" s="317"/>
      <c r="B70" s="420"/>
    </row>
    <row r="71" spans="1:6" s="11" customFormat="1" ht="16.5" thickBot="1">
      <c r="A71" s="763" t="s">
        <v>198</v>
      </c>
      <c r="B71" s="764"/>
      <c r="C71" s="417">
        <f>+C44+C69</f>
        <v>798251000</v>
      </c>
      <c r="D71" s="194">
        <f>+C71-C29</f>
        <v>0</v>
      </c>
      <c r="E71" s="195"/>
      <c r="F71" s="195"/>
    </row>
    <row r="72" spans="1:6" s="11" customFormat="1">
      <c r="A72" s="323"/>
      <c r="B72" s="410"/>
      <c r="C72" s="412"/>
      <c r="D72" s="194"/>
      <c r="E72" s="195"/>
      <c r="F72" s="195"/>
    </row>
    <row r="73" spans="1:6" s="11" customFormat="1">
      <c r="A73" s="129"/>
      <c r="B73" s="395"/>
      <c r="C73" s="412"/>
      <c r="D73" s="194"/>
      <c r="E73" s="195"/>
      <c r="F73" s="195"/>
    </row>
    <row r="74" spans="1:6" s="11" customFormat="1">
      <c r="A74" s="129"/>
      <c r="B74" s="395"/>
      <c r="C74" s="412"/>
      <c r="D74" s="194"/>
      <c r="E74" s="195"/>
      <c r="F74" s="195"/>
    </row>
    <row r="75" spans="1:6" s="11" customFormat="1">
      <c r="A75" s="129"/>
      <c r="B75" s="395"/>
      <c r="C75" s="412"/>
      <c r="D75" s="194"/>
      <c r="E75" s="195"/>
      <c r="F75" s="195"/>
    </row>
    <row r="76" spans="1:6">
      <c r="A76" s="246" t="s">
        <v>130</v>
      </c>
      <c r="B76" s="771" t="s">
        <v>131</v>
      </c>
      <c r="C76" s="771"/>
    </row>
    <row r="77" spans="1:6">
      <c r="A77" s="158" t="s">
        <v>132</v>
      </c>
      <c r="B77" s="770" t="s">
        <v>133</v>
      </c>
      <c r="C77" s="770"/>
    </row>
    <row r="78" spans="1:6">
      <c r="A78" s="153" t="s">
        <v>251</v>
      </c>
      <c r="B78" s="788" t="s">
        <v>134</v>
      </c>
      <c r="C78" s="789"/>
    </row>
  </sheetData>
  <mergeCells count="19">
    <mergeCell ref="A8:C8"/>
    <mergeCell ref="A21:C21"/>
    <mergeCell ref="A31:C31"/>
    <mergeCell ref="A51:C51"/>
    <mergeCell ref="B76:C76"/>
    <mergeCell ref="A46:C46"/>
    <mergeCell ref="A47:C47"/>
    <mergeCell ref="A48:C48"/>
    <mergeCell ref="A49:C49"/>
    <mergeCell ref="A1:C1"/>
    <mergeCell ref="A2:C2"/>
    <mergeCell ref="A4:C4"/>
    <mergeCell ref="A5:C5"/>
    <mergeCell ref="A7:C7"/>
    <mergeCell ref="A29:B29"/>
    <mergeCell ref="A44:B44"/>
    <mergeCell ref="A71:B71"/>
    <mergeCell ref="B78:C78"/>
    <mergeCell ref="B77:C77"/>
  </mergeCells>
  <pageMargins left="0.7" right="0.7" top="0.75" bottom="0.75" header="0.3" footer="0.3"/>
  <pageSetup scale="80" orientation="portrait" r:id="rId1"/>
  <rowBreaks count="1" manualBreakCount="1">
    <brk id="44" max="16383" man="1"/>
  </row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5"/>
  <sheetViews>
    <sheetView topLeftCell="A37" zoomScaleNormal="100" workbookViewId="0">
      <selection activeCell="E12" sqref="E12"/>
    </sheetView>
  </sheetViews>
  <sheetFormatPr baseColWidth="10" defaultColWidth="11.42578125" defaultRowHeight="15.75"/>
  <cols>
    <col min="1" max="1" width="64.7109375" style="3" customWidth="1"/>
    <col min="2" max="2" width="20.140625" style="247" customWidth="1"/>
    <col min="3" max="3" width="19.42578125" style="247" customWidth="1"/>
    <col min="4" max="5" width="11.42578125" style="3"/>
    <col min="6" max="6" width="11.85546875" style="3" bestFit="1" customWidth="1"/>
    <col min="7" max="7" width="11.42578125" style="3"/>
    <col min="8" max="8" width="13" style="3" customWidth="1"/>
    <col min="9" max="16384" width="11.42578125" style="3"/>
  </cols>
  <sheetData>
    <row r="1" spans="1:8">
      <c r="A1" s="735" t="s">
        <v>85</v>
      </c>
      <c r="B1" s="735"/>
      <c r="C1" s="735"/>
      <c r="D1" s="173"/>
      <c r="E1" s="12"/>
    </row>
    <row r="2" spans="1:8">
      <c r="A2" s="736" t="s">
        <v>86</v>
      </c>
      <c r="B2" s="736"/>
      <c r="C2" s="736"/>
      <c r="D2" s="173"/>
      <c r="E2" s="12"/>
    </row>
    <row r="3" spans="1:8">
      <c r="A3" s="188"/>
      <c r="B3" s="236"/>
      <c r="C3" s="236"/>
      <c r="D3" s="12"/>
      <c r="E3" s="12"/>
    </row>
    <row r="4" spans="1:8">
      <c r="A4" s="792" t="s">
        <v>199</v>
      </c>
      <c r="B4" s="792"/>
      <c r="C4" s="792"/>
      <c r="D4" s="12"/>
      <c r="E4" s="12"/>
    </row>
    <row r="5" spans="1:8">
      <c r="A5" s="792" t="s">
        <v>200</v>
      </c>
      <c r="B5" s="792"/>
      <c r="C5" s="792"/>
      <c r="D5" s="12"/>
      <c r="E5" s="12"/>
    </row>
    <row r="6" spans="1:8">
      <c r="A6" s="124"/>
      <c r="B6" s="245"/>
      <c r="C6" s="245"/>
    </row>
    <row r="7" spans="1:8">
      <c r="A7" s="793" t="s">
        <v>89</v>
      </c>
      <c r="B7" s="794"/>
      <c r="C7" s="795"/>
      <c r="D7" s="12"/>
      <c r="E7" s="12"/>
    </row>
    <row r="8" spans="1:8" ht="16.5" thickBot="1">
      <c r="A8" s="127" t="s">
        <v>252</v>
      </c>
      <c r="B8" s="312">
        <v>61980000</v>
      </c>
      <c r="C8" s="206"/>
      <c r="D8" s="12"/>
      <c r="E8" s="12"/>
    </row>
    <row r="9" spans="1:8">
      <c r="A9" s="776" t="s">
        <v>91</v>
      </c>
      <c r="B9" s="796"/>
      <c r="C9" s="236">
        <f>B8</f>
        <v>61980000</v>
      </c>
      <c r="D9" s="12"/>
      <c r="E9" s="172"/>
    </row>
    <row r="10" spans="1:8">
      <c r="A10" s="155"/>
      <c r="B10" s="206"/>
      <c r="C10" s="206"/>
      <c r="D10" s="12"/>
      <c r="E10" s="12"/>
      <c r="H10" s="248"/>
    </row>
    <row r="11" spans="1:8">
      <c r="A11" s="776" t="s">
        <v>92</v>
      </c>
      <c r="B11" s="777"/>
      <c r="C11" s="778"/>
      <c r="D11" s="12"/>
      <c r="E11" s="12"/>
      <c r="H11" s="248"/>
    </row>
    <row r="12" spans="1:8">
      <c r="A12" s="200" t="s">
        <v>253</v>
      </c>
      <c r="B12" s="206"/>
      <c r="C12" s="206"/>
      <c r="D12" s="12"/>
      <c r="E12" s="12"/>
      <c r="H12" s="248"/>
    </row>
    <row r="13" spans="1:8">
      <c r="A13" s="198" t="s">
        <v>94</v>
      </c>
      <c r="B13" s="237">
        <v>1456000</v>
      </c>
      <c r="C13" s="206"/>
      <c r="D13" s="12"/>
      <c r="E13" s="12"/>
      <c r="H13" s="248"/>
    </row>
    <row r="14" spans="1:8">
      <c r="A14" s="198" t="s">
        <v>95</v>
      </c>
      <c r="B14" s="237">
        <v>326000</v>
      </c>
      <c r="C14" s="206"/>
      <c r="D14" s="12"/>
      <c r="E14" s="12"/>
      <c r="H14" s="248"/>
    </row>
    <row r="15" spans="1:8">
      <c r="A15" s="198" t="s">
        <v>96</v>
      </c>
      <c r="B15" s="237">
        <v>29882000</v>
      </c>
      <c r="C15" s="206"/>
      <c r="D15" s="12"/>
      <c r="E15" s="12"/>
      <c r="H15" s="248"/>
    </row>
    <row r="16" spans="1:8">
      <c r="A16" s="198" t="s">
        <v>97</v>
      </c>
      <c r="B16" s="237">
        <v>4790000</v>
      </c>
      <c r="C16" s="206"/>
      <c r="D16" s="12"/>
      <c r="E16" s="12"/>
      <c r="F16" s="12"/>
      <c r="H16" s="248"/>
    </row>
    <row r="17" spans="1:8">
      <c r="A17" s="198" t="s">
        <v>98</v>
      </c>
      <c r="B17" s="237">
        <v>1050000</v>
      </c>
      <c r="C17" s="206"/>
      <c r="D17" s="12"/>
      <c r="E17" s="12"/>
      <c r="F17" s="12"/>
      <c r="H17" s="248"/>
    </row>
    <row r="18" spans="1:8">
      <c r="A18" s="198" t="s">
        <v>99</v>
      </c>
      <c r="B18" s="237">
        <v>11058000</v>
      </c>
      <c r="C18" s="206"/>
      <c r="D18" s="12"/>
      <c r="E18" s="12"/>
      <c r="F18" s="12"/>
      <c r="H18" s="248"/>
    </row>
    <row r="19" spans="1:8">
      <c r="A19" s="198" t="s">
        <v>102</v>
      </c>
      <c r="B19" s="237">
        <v>1860000</v>
      </c>
      <c r="C19" s="206"/>
      <c r="D19" s="12"/>
      <c r="E19" s="12"/>
      <c r="F19" s="12"/>
    </row>
    <row r="20" spans="1:8">
      <c r="A20" s="198" t="s">
        <v>103</v>
      </c>
      <c r="B20" s="237">
        <v>678000</v>
      </c>
      <c r="C20" s="206"/>
      <c r="D20" s="12"/>
      <c r="E20" s="12"/>
      <c r="F20" s="12"/>
    </row>
    <row r="21" spans="1:8" ht="16.5" thickBot="1">
      <c r="A21" s="198" t="s">
        <v>109</v>
      </c>
      <c r="B21" s="312">
        <v>770000</v>
      </c>
      <c r="C21" s="206"/>
      <c r="D21" s="12"/>
      <c r="E21" s="12"/>
      <c r="F21" s="202"/>
    </row>
    <row r="22" spans="1:8">
      <c r="A22" s="200" t="s">
        <v>110</v>
      </c>
      <c r="B22" s="311"/>
      <c r="C22" s="236">
        <f>SUM(B13:B21)</f>
        <v>51870000</v>
      </c>
      <c r="D22" s="193"/>
      <c r="E22" s="172"/>
      <c r="F22" s="203"/>
    </row>
    <row r="23" spans="1:8">
      <c r="A23" s="379"/>
      <c r="B23" s="380"/>
      <c r="C23" s="380"/>
      <c r="D23" s="12"/>
      <c r="E23" s="12"/>
      <c r="F23" s="12"/>
    </row>
    <row r="24" spans="1:8" ht="16.5" thickBot="1">
      <c r="A24" s="797" t="s">
        <v>111</v>
      </c>
      <c r="B24" s="798"/>
      <c r="C24" s="316">
        <f>C9-C22</f>
        <v>10110000</v>
      </c>
      <c r="D24" s="12"/>
      <c r="E24" s="12"/>
      <c r="F24" s="12"/>
    </row>
    <row r="25" spans="1:8">
      <c r="A25" s="315"/>
      <c r="B25" s="381"/>
      <c r="C25" s="381"/>
    </row>
    <row r="26" spans="1:8">
      <c r="A26" s="776" t="s">
        <v>112</v>
      </c>
      <c r="B26" s="777"/>
      <c r="C26" s="778"/>
      <c r="D26" s="12"/>
      <c r="E26" s="12"/>
      <c r="F26" s="12"/>
    </row>
    <row r="27" spans="1:8">
      <c r="A27" s="200" t="s">
        <v>113</v>
      </c>
      <c r="B27" s="206"/>
      <c r="C27" s="206"/>
      <c r="D27" s="12"/>
      <c r="E27" s="12"/>
      <c r="F27" s="12"/>
    </row>
    <row r="28" spans="1:8">
      <c r="A28" s="199" t="s">
        <v>115</v>
      </c>
      <c r="B28" s="237">
        <v>1130000</v>
      </c>
      <c r="C28" s="206"/>
      <c r="D28" s="12"/>
      <c r="E28" s="12"/>
      <c r="F28" s="12"/>
    </row>
    <row r="29" spans="1:8">
      <c r="A29" s="199" t="s">
        <v>117</v>
      </c>
      <c r="B29" s="237">
        <v>170000</v>
      </c>
      <c r="C29" s="206"/>
      <c r="D29" s="12"/>
      <c r="E29" s="12"/>
      <c r="F29" s="12"/>
    </row>
    <row r="30" spans="1:8">
      <c r="A30" s="199" t="s">
        <v>120</v>
      </c>
      <c r="B30" s="237">
        <v>491000</v>
      </c>
      <c r="C30" s="206"/>
      <c r="D30" s="12"/>
      <c r="E30" s="12"/>
      <c r="F30" s="12"/>
    </row>
    <row r="31" spans="1:8" ht="16.5" thickBot="1">
      <c r="A31" s="199" t="s">
        <v>118</v>
      </c>
      <c r="B31" s="312">
        <v>145000</v>
      </c>
      <c r="C31" s="206"/>
      <c r="D31" s="12"/>
      <c r="E31" s="12"/>
      <c r="F31" s="12"/>
    </row>
    <row r="32" spans="1:8">
      <c r="A32" s="200" t="s">
        <v>201</v>
      </c>
      <c r="B32" s="311"/>
      <c r="C32" s="236">
        <f>SUM(B28:B31)</f>
        <v>1936000</v>
      </c>
      <c r="D32" s="12"/>
      <c r="E32" s="12"/>
      <c r="F32" s="12"/>
    </row>
    <row r="33" spans="1:6">
      <c r="A33" s="383"/>
      <c r="B33" s="314"/>
      <c r="C33" s="380"/>
      <c r="D33" s="12"/>
      <c r="E33" s="12"/>
      <c r="F33" s="12"/>
    </row>
    <row r="34" spans="1:6" ht="16.5" thickBot="1">
      <c r="A34" s="386" t="s">
        <v>124</v>
      </c>
      <c r="B34" s="320"/>
      <c r="C34" s="316">
        <f>C32</f>
        <v>1936000</v>
      </c>
      <c r="D34" s="12"/>
      <c r="E34" s="12"/>
      <c r="F34" s="12"/>
    </row>
    <row r="35" spans="1:6">
      <c r="A35" s="384"/>
      <c r="B35" s="385"/>
      <c r="C35" s="385"/>
      <c r="D35" s="12"/>
      <c r="E35" s="195"/>
      <c r="F35" s="203"/>
    </row>
    <row r="36" spans="1:6" ht="16.5" thickBot="1">
      <c r="A36" s="797" t="s">
        <v>7</v>
      </c>
      <c r="B36" s="798"/>
      <c r="C36" s="316">
        <f>C24-C34</f>
        <v>8174000</v>
      </c>
      <c r="D36" s="12"/>
      <c r="E36" s="12"/>
      <c r="F36" s="12"/>
    </row>
    <row r="37" spans="1:6">
      <c r="A37" s="382"/>
      <c r="B37" s="311"/>
      <c r="C37" s="324"/>
      <c r="D37" s="12"/>
      <c r="E37" s="195"/>
      <c r="F37" s="12"/>
    </row>
    <row r="38" spans="1:6">
      <c r="A38" s="337" t="s">
        <v>353</v>
      </c>
      <c r="B38" s="311"/>
      <c r="C38" s="324"/>
      <c r="D38" s="12"/>
      <c r="E38" s="195"/>
      <c r="F38" s="12"/>
    </row>
    <row r="39" spans="1:6">
      <c r="A39" s="229" t="s">
        <v>128</v>
      </c>
      <c r="B39" s="237">
        <f>+C36*25%+500</f>
        <v>2044000</v>
      </c>
      <c r="C39" s="3"/>
      <c r="D39" s="12"/>
      <c r="E39" s="12"/>
      <c r="F39" s="204"/>
    </row>
    <row r="40" spans="1:6" ht="16.5" thickBot="1">
      <c r="A40" s="328" t="s">
        <v>250</v>
      </c>
      <c r="B40" s="312">
        <f>+C36*9%+340</f>
        <v>736000</v>
      </c>
      <c r="C40" s="3"/>
      <c r="D40" s="12"/>
      <c r="E40" s="12"/>
      <c r="F40" s="204"/>
    </row>
    <row r="41" spans="1:6">
      <c r="A41" s="9" t="s">
        <v>354</v>
      </c>
      <c r="B41" s="390"/>
      <c r="C41" s="390">
        <f>+B39+B40</f>
        <v>2780000</v>
      </c>
      <c r="D41" s="12"/>
      <c r="E41" s="12"/>
      <c r="F41" s="204"/>
    </row>
    <row r="42" spans="1:6">
      <c r="A42" s="387"/>
      <c r="B42" s="318"/>
      <c r="C42" s="318"/>
      <c r="D42" s="12"/>
      <c r="E42" s="12"/>
      <c r="F42" s="204"/>
    </row>
    <row r="43" spans="1:6" ht="16.5" thickBot="1">
      <c r="A43" s="763" t="s">
        <v>127</v>
      </c>
      <c r="B43" s="764"/>
      <c r="C43" s="316">
        <f>+C36-B39-B40</f>
        <v>5394000</v>
      </c>
      <c r="D43" s="12"/>
      <c r="E43" s="12"/>
      <c r="F43" s="204"/>
    </row>
    <row r="44" spans="1:6">
      <c r="A44" s="388"/>
      <c r="B44" s="389"/>
      <c r="C44" s="389"/>
      <c r="D44" s="12"/>
      <c r="E44" s="12"/>
      <c r="F44" s="204"/>
    </row>
    <row r="45" spans="1:6">
      <c r="A45" s="155"/>
      <c r="B45" s="206"/>
      <c r="C45" s="206"/>
      <c r="D45" s="205"/>
      <c r="E45" s="12"/>
      <c r="F45" s="204"/>
    </row>
    <row r="46" spans="1:6">
      <c r="A46" s="124"/>
      <c r="B46" s="245"/>
      <c r="C46" s="245"/>
    </row>
    <row r="47" spans="1:6">
      <c r="A47" s="246" t="s">
        <v>130</v>
      </c>
      <c r="B47" s="771" t="s">
        <v>131</v>
      </c>
      <c r="C47" s="771"/>
      <c r="D47" s="12"/>
      <c r="E47" s="12"/>
      <c r="F47" s="205"/>
    </row>
    <row r="48" spans="1:6">
      <c r="A48" s="158" t="s">
        <v>132</v>
      </c>
      <c r="B48" s="770" t="s">
        <v>133</v>
      </c>
      <c r="C48" s="770"/>
      <c r="D48" s="12"/>
      <c r="E48" s="12"/>
      <c r="F48" s="12"/>
    </row>
    <row r="49" spans="1:6">
      <c r="A49" s="153" t="s">
        <v>251</v>
      </c>
      <c r="B49" s="771" t="s">
        <v>134</v>
      </c>
      <c r="C49" s="771"/>
      <c r="D49" s="12"/>
      <c r="E49" s="12"/>
      <c r="F49" s="12"/>
    </row>
    <row r="50" spans="1:6">
      <c r="A50" s="158"/>
      <c r="B50" s="790"/>
      <c r="C50" s="790"/>
      <c r="D50" s="12"/>
      <c r="E50" s="12"/>
      <c r="F50" s="12"/>
    </row>
    <row r="51" spans="1:6">
      <c r="A51" s="153"/>
      <c r="B51" s="791"/>
      <c r="C51" s="791"/>
      <c r="D51" s="172"/>
      <c r="E51" s="159"/>
      <c r="F51" s="12"/>
    </row>
    <row r="52" spans="1:6">
      <c r="A52" s="12"/>
      <c r="B52" s="239"/>
      <c r="C52" s="239"/>
      <c r="D52" s="172"/>
      <c r="E52" s="159"/>
      <c r="F52" s="12"/>
    </row>
    <row r="53" spans="1:6">
      <c r="A53" s="12"/>
      <c r="B53" s="238"/>
      <c r="C53" s="238"/>
      <c r="D53" s="172"/>
      <c r="E53" s="159"/>
      <c r="F53" s="12"/>
    </row>
    <row r="54" spans="1:6">
      <c r="A54" s="12"/>
      <c r="B54" s="239"/>
      <c r="C54" s="239"/>
      <c r="D54" s="172"/>
      <c r="E54" s="159"/>
      <c r="F54" s="12"/>
    </row>
    <row r="55" spans="1:6">
      <c r="A55" s="12"/>
      <c r="B55" s="238"/>
      <c r="C55" s="238"/>
      <c r="D55" s="172"/>
      <c r="E55" s="159"/>
      <c r="F55" s="12"/>
    </row>
  </sheetData>
  <mergeCells count="16">
    <mergeCell ref="A43:B43"/>
    <mergeCell ref="B49:C49"/>
    <mergeCell ref="B50:C50"/>
    <mergeCell ref="B51:C51"/>
    <mergeCell ref="A1:C1"/>
    <mergeCell ref="A2:C2"/>
    <mergeCell ref="A4:C4"/>
    <mergeCell ref="A5:C5"/>
    <mergeCell ref="B47:C47"/>
    <mergeCell ref="B48:C48"/>
    <mergeCell ref="A7:C7"/>
    <mergeCell ref="A9:B9"/>
    <mergeCell ref="A11:C11"/>
    <mergeCell ref="A24:B24"/>
    <mergeCell ref="A26:C26"/>
    <mergeCell ref="A36:B36"/>
  </mergeCells>
  <printOptions horizontalCentered="1"/>
  <pageMargins left="0.70866141732283472" right="0.70866141732283472" top="0.74803149606299213" bottom="0.74803149606299213" header="0" footer="0"/>
  <pageSetup scale="86" orientation="portrait" r:id="rId1"/>
  <rowBreaks count="1" manualBreakCount="1">
    <brk id="49" max="16383" man="1"/>
  </row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0"/>
  <sheetViews>
    <sheetView zoomScaleNormal="100" workbookViewId="0">
      <selection activeCell="E10" sqref="E10"/>
    </sheetView>
  </sheetViews>
  <sheetFormatPr baseColWidth="10" defaultColWidth="11.42578125" defaultRowHeight="15.75"/>
  <cols>
    <col min="1" max="1" width="61.85546875" style="3" customWidth="1"/>
    <col min="2" max="2" width="17.28515625" style="247" customWidth="1"/>
    <col min="3" max="3" width="21.140625" style="414" customWidth="1"/>
    <col min="4" max="4" width="16" style="3" customWidth="1"/>
    <col min="5" max="5" width="13.85546875" style="3" bestFit="1" customWidth="1"/>
    <col min="6" max="16384" width="11.42578125" style="3"/>
  </cols>
  <sheetData>
    <row r="1" spans="1:6">
      <c r="A1" s="735" t="s">
        <v>85</v>
      </c>
      <c r="B1" s="735"/>
      <c r="C1" s="735"/>
      <c r="D1" s="172"/>
      <c r="E1" s="159"/>
      <c r="F1" s="159"/>
    </row>
    <row r="2" spans="1:6">
      <c r="A2" s="736" t="s">
        <v>86</v>
      </c>
      <c r="B2" s="736"/>
      <c r="C2" s="736"/>
      <c r="D2" s="172"/>
      <c r="E2" s="159"/>
      <c r="F2" s="159"/>
    </row>
    <row r="3" spans="1:6">
      <c r="A3" s="188"/>
      <c r="B3" s="395"/>
      <c r="C3" s="412"/>
      <c r="D3" s="172"/>
      <c r="E3" s="159"/>
      <c r="F3" s="159"/>
    </row>
    <row r="4" spans="1:6">
      <c r="A4" s="792" t="s">
        <v>202</v>
      </c>
      <c r="B4" s="792"/>
      <c r="C4" s="792"/>
      <c r="D4" s="172"/>
      <c r="E4" s="159"/>
      <c r="F4" s="159"/>
    </row>
    <row r="5" spans="1:6">
      <c r="A5" s="792" t="s">
        <v>203</v>
      </c>
      <c r="B5" s="792"/>
      <c r="C5" s="792"/>
      <c r="D5" s="172"/>
      <c r="E5" s="159"/>
      <c r="F5" s="159"/>
    </row>
    <row r="6" spans="1:6">
      <c r="A6" s="188"/>
      <c r="B6" s="395"/>
      <c r="C6" s="412"/>
      <c r="D6" s="172"/>
      <c r="E6" s="159"/>
      <c r="F6" s="159"/>
    </row>
    <row r="7" spans="1:6">
      <c r="A7" s="792" t="s">
        <v>137</v>
      </c>
      <c r="B7" s="792"/>
      <c r="C7" s="792"/>
      <c r="D7" s="172"/>
      <c r="E7" s="159"/>
      <c r="F7" s="159"/>
    </row>
    <row r="8" spans="1:6">
      <c r="A8" s="801" t="s">
        <v>138</v>
      </c>
      <c r="B8" s="801"/>
      <c r="C8" s="801"/>
      <c r="D8" s="172"/>
      <c r="E8" s="159"/>
      <c r="F8" s="159"/>
    </row>
    <row r="9" spans="1:6">
      <c r="A9" s="153" t="s">
        <v>204</v>
      </c>
      <c r="B9" s="396"/>
      <c r="C9" s="390"/>
      <c r="D9" s="172"/>
      <c r="E9" s="207"/>
      <c r="F9" s="159"/>
    </row>
    <row r="10" spans="1:6">
      <c r="A10" s="155" t="s">
        <v>140</v>
      </c>
      <c r="B10" s="396">
        <v>13891000</v>
      </c>
      <c r="C10" s="390"/>
      <c r="D10" s="172"/>
      <c r="E10" s="207"/>
      <c r="F10" s="159"/>
    </row>
    <row r="11" spans="1:6" ht="16.5" thickBot="1">
      <c r="A11" s="155" t="s">
        <v>141</v>
      </c>
      <c r="B11" s="397">
        <v>32898000</v>
      </c>
      <c r="C11" s="390"/>
      <c r="D11" s="172"/>
      <c r="E11" s="207"/>
      <c r="F11" s="159"/>
    </row>
    <row r="12" spans="1:6">
      <c r="A12" s="153" t="s">
        <v>205</v>
      </c>
      <c r="B12" s="398"/>
      <c r="C12" s="412">
        <f>SUM(B10:B11)</f>
        <v>46789000</v>
      </c>
      <c r="D12" s="172"/>
      <c r="E12" s="207"/>
      <c r="F12" s="159"/>
    </row>
    <row r="13" spans="1:6">
      <c r="A13" s="153"/>
      <c r="B13" s="396"/>
      <c r="C13" s="390"/>
      <c r="D13" s="172"/>
      <c r="E13" s="207" t="s">
        <v>143</v>
      </c>
      <c r="F13" s="159"/>
    </row>
    <row r="14" spans="1:6">
      <c r="A14" s="153" t="s">
        <v>206</v>
      </c>
      <c r="B14" s="396"/>
      <c r="C14" s="390"/>
      <c r="D14" s="172"/>
      <c r="E14" s="207" t="s">
        <v>143</v>
      </c>
      <c r="F14" s="159"/>
    </row>
    <row r="15" spans="1:6">
      <c r="A15" s="155" t="s">
        <v>145</v>
      </c>
      <c r="B15" s="396">
        <v>10494000</v>
      </c>
      <c r="C15" s="390"/>
      <c r="D15" s="172"/>
      <c r="E15" s="207"/>
      <c r="F15" s="159"/>
    </row>
    <row r="16" spans="1:6" ht="16.5" thickBot="1">
      <c r="A16" s="155" t="s">
        <v>147</v>
      </c>
      <c r="B16" s="397">
        <v>620000</v>
      </c>
      <c r="C16" s="390"/>
      <c r="D16" s="172"/>
      <c r="E16" s="207"/>
      <c r="F16" s="159"/>
    </row>
    <row r="17" spans="1:6">
      <c r="A17" s="153" t="s">
        <v>17</v>
      </c>
      <c r="B17" s="398"/>
      <c r="C17" s="412">
        <f>SUM(B15:B16)</f>
        <v>11114000</v>
      </c>
      <c r="D17" s="172"/>
      <c r="E17" s="207"/>
      <c r="F17" s="159"/>
    </row>
    <row r="18" spans="1:6">
      <c r="A18" s="391"/>
      <c r="B18" s="399"/>
      <c r="C18" s="390"/>
      <c r="D18" s="172"/>
      <c r="E18" s="207"/>
      <c r="F18" s="159"/>
    </row>
    <row r="19" spans="1:6" ht="16.5" thickBot="1">
      <c r="A19" s="394" t="s">
        <v>149</v>
      </c>
      <c r="B19" s="400"/>
      <c r="C19" s="417">
        <f>C12+C17</f>
        <v>57903000</v>
      </c>
      <c r="D19" s="172"/>
      <c r="E19" s="207" t="s">
        <v>143</v>
      </c>
      <c r="F19" s="159"/>
    </row>
    <row r="20" spans="1:6">
      <c r="A20" s="388"/>
      <c r="B20" s="401"/>
      <c r="C20" s="413"/>
      <c r="D20" s="12"/>
      <c r="E20" s="207" t="s">
        <v>143</v>
      </c>
      <c r="F20" s="12"/>
    </row>
    <row r="21" spans="1:6">
      <c r="A21" s="792" t="s">
        <v>150</v>
      </c>
      <c r="B21" s="792"/>
      <c r="C21" s="792"/>
      <c r="D21" s="172"/>
      <c r="E21" s="207" t="s">
        <v>143</v>
      </c>
      <c r="F21" s="159"/>
    </row>
    <row r="22" spans="1:6">
      <c r="A22" s="200" t="s">
        <v>151</v>
      </c>
      <c r="B22" s="395"/>
      <c r="C22" s="412"/>
      <c r="D22" s="12"/>
      <c r="E22" s="207" t="s">
        <v>143</v>
      </c>
      <c r="F22" s="12"/>
    </row>
    <row r="23" spans="1:6">
      <c r="A23" s="200"/>
      <c r="B23" s="395"/>
      <c r="C23" s="412"/>
      <c r="D23" s="12"/>
      <c r="E23" s="207" t="s">
        <v>143</v>
      </c>
      <c r="F23" s="12"/>
    </row>
    <row r="24" spans="1:6">
      <c r="A24" s="153" t="s">
        <v>158</v>
      </c>
      <c r="B24" s="402"/>
      <c r="C24" s="412"/>
      <c r="D24" s="12"/>
      <c r="E24" s="207" t="s">
        <v>143</v>
      </c>
      <c r="F24" s="12"/>
    </row>
    <row r="25" spans="1:6" ht="16.5" thickBot="1">
      <c r="A25" s="155" t="s">
        <v>159</v>
      </c>
      <c r="B25" s="397">
        <v>600000000</v>
      </c>
      <c r="C25" s="412"/>
      <c r="D25" s="12"/>
      <c r="E25" s="207" t="s">
        <v>143</v>
      </c>
      <c r="F25" s="12"/>
    </row>
    <row r="26" spans="1:6">
      <c r="A26" s="153" t="s">
        <v>161</v>
      </c>
      <c r="B26" s="398"/>
      <c r="C26" s="412">
        <f>B25</f>
        <v>600000000</v>
      </c>
      <c r="D26" s="12"/>
      <c r="E26" s="207" t="s">
        <v>143</v>
      </c>
      <c r="F26" s="12"/>
    </row>
    <row r="27" spans="1:6">
      <c r="A27" s="393"/>
      <c r="B27" s="403"/>
      <c r="C27" s="412"/>
      <c r="D27" s="12"/>
      <c r="E27" s="207" t="s">
        <v>143</v>
      </c>
      <c r="F27" s="12"/>
    </row>
    <row r="28" spans="1:6" ht="16.5" thickBot="1">
      <c r="A28" s="800" t="s">
        <v>165</v>
      </c>
      <c r="B28" s="800"/>
      <c r="C28" s="418">
        <f>C26</f>
        <v>600000000</v>
      </c>
      <c r="D28" s="12"/>
      <c r="E28" s="12"/>
      <c r="F28" s="12"/>
    </row>
    <row r="29" spans="1:6">
      <c r="A29" s="317"/>
      <c r="B29" s="404"/>
    </row>
    <row r="30" spans="1:6" ht="16.5" thickBot="1">
      <c r="A30" s="800" t="s">
        <v>166</v>
      </c>
      <c r="B30" s="800"/>
      <c r="C30" s="418">
        <f>C19+C28</f>
        <v>657903000</v>
      </c>
      <c r="D30" s="194"/>
      <c r="E30" s="195"/>
      <c r="F30" s="195"/>
    </row>
    <row r="31" spans="1:6">
      <c r="A31" s="315"/>
      <c r="B31" s="405"/>
    </row>
    <row r="32" spans="1:6">
      <c r="A32" s="760" t="s">
        <v>167</v>
      </c>
      <c r="B32" s="760"/>
      <c r="C32" s="760"/>
      <c r="D32" s="12"/>
      <c r="E32" s="12"/>
      <c r="F32" s="12"/>
    </row>
    <row r="33" spans="1:6">
      <c r="A33" s="153"/>
      <c r="B33" s="396"/>
      <c r="C33" s="412"/>
      <c r="D33" s="12"/>
      <c r="E33" s="12"/>
      <c r="F33" s="12"/>
    </row>
    <row r="34" spans="1:6">
      <c r="A34" s="153" t="s">
        <v>27</v>
      </c>
      <c r="B34" s="396"/>
      <c r="C34" s="413"/>
      <c r="D34" s="12"/>
      <c r="E34" s="12"/>
      <c r="F34" s="12"/>
    </row>
    <row r="35" spans="1:6" ht="16.5" thickBot="1">
      <c r="A35" s="155" t="s">
        <v>168</v>
      </c>
      <c r="B35" s="397">
        <v>29729000</v>
      </c>
      <c r="C35" s="413"/>
      <c r="D35" s="12"/>
      <c r="E35" s="12"/>
      <c r="F35" s="12"/>
    </row>
    <row r="36" spans="1:6">
      <c r="A36" s="153" t="s">
        <v>169</v>
      </c>
      <c r="B36" s="398"/>
      <c r="C36" s="412">
        <f>B35</f>
        <v>29729000</v>
      </c>
      <c r="D36" s="12"/>
      <c r="E36" s="12"/>
      <c r="F36" s="12"/>
    </row>
    <row r="37" spans="1:6">
      <c r="A37" s="153"/>
      <c r="B37" s="396"/>
      <c r="C37" s="412"/>
      <c r="D37" s="12"/>
      <c r="E37" s="12"/>
      <c r="F37" s="12"/>
    </row>
    <row r="38" spans="1:6">
      <c r="A38" s="129" t="s">
        <v>207</v>
      </c>
      <c r="B38" s="406"/>
      <c r="C38" s="415"/>
      <c r="D38" s="12"/>
      <c r="E38" s="12"/>
      <c r="F38" s="12"/>
    </row>
    <row r="39" spans="1:6">
      <c r="A39" s="124" t="s">
        <v>182</v>
      </c>
      <c r="B39" s="406">
        <f>+'ER 2014'!B39</f>
        <v>2044000</v>
      </c>
      <c r="C39" s="415"/>
      <c r="D39" s="12"/>
      <c r="E39" s="12"/>
      <c r="F39" s="12"/>
    </row>
    <row r="40" spans="1:6" ht="16.5" thickBot="1">
      <c r="A40" s="124" t="s">
        <v>129</v>
      </c>
      <c r="B40" s="407">
        <f>+'ER 2014'!B40</f>
        <v>736000</v>
      </c>
      <c r="C40" s="415"/>
      <c r="D40" s="12"/>
      <c r="E40" s="12"/>
      <c r="F40" s="12"/>
    </row>
    <row r="41" spans="1:6">
      <c r="A41" s="129" t="s">
        <v>208</v>
      </c>
      <c r="B41" s="408"/>
      <c r="C41" s="416">
        <f>+B39+B40</f>
        <v>2780000</v>
      </c>
      <c r="D41" s="12"/>
      <c r="E41" s="12"/>
      <c r="F41" s="12"/>
    </row>
    <row r="42" spans="1:6">
      <c r="A42" s="391"/>
      <c r="B42" s="399"/>
      <c r="C42" s="412"/>
      <c r="D42" s="12"/>
      <c r="E42" s="12"/>
      <c r="F42" s="12"/>
    </row>
    <row r="43" spans="1:6" ht="16.5" thickBot="1">
      <c r="A43" s="800" t="s">
        <v>184</v>
      </c>
      <c r="B43" s="800"/>
      <c r="C43" s="418">
        <f>+C36+C41</f>
        <v>32509000</v>
      </c>
      <c r="D43" s="194"/>
      <c r="E43" s="195"/>
      <c r="F43" s="195"/>
    </row>
    <row r="44" spans="1:6">
      <c r="A44" s="799"/>
      <c r="B44" s="799"/>
      <c r="C44" s="799"/>
      <c r="D44" s="194"/>
      <c r="E44" s="195"/>
      <c r="F44" s="195"/>
    </row>
    <row r="45" spans="1:6">
      <c r="A45" s="735" t="s">
        <v>85</v>
      </c>
      <c r="B45" s="735"/>
      <c r="C45" s="735"/>
      <c r="D45" s="194"/>
      <c r="E45" s="195"/>
      <c r="F45" s="195"/>
    </row>
    <row r="46" spans="1:6">
      <c r="A46" s="736" t="s">
        <v>86</v>
      </c>
      <c r="B46" s="736"/>
      <c r="C46" s="736"/>
      <c r="D46" s="194"/>
      <c r="E46" s="195"/>
      <c r="F46" s="195"/>
    </row>
    <row r="47" spans="1:6">
      <c r="A47" s="188"/>
      <c r="B47" s="395"/>
      <c r="C47" s="412"/>
      <c r="D47" s="194"/>
      <c r="E47" s="195"/>
      <c r="F47" s="195"/>
    </row>
    <row r="48" spans="1:6">
      <c r="A48" s="792" t="s">
        <v>202</v>
      </c>
      <c r="B48" s="792"/>
      <c r="C48" s="792"/>
      <c r="D48" s="194"/>
      <c r="E48" s="195"/>
      <c r="F48" s="195"/>
    </row>
    <row r="49" spans="1:6">
      <c r="A49" s="792" t="s">
        <v>203</v>
      </c>
      <c r="B49" s="792"/>
      <c r="C49" s="792"/>
      <c r="D49" s="194"/>
      <c r="E49" s="195"/>
      <c r="F49" s="195"/>
    </row>
    <row r="50" spans="1:6">
      <c r="A50" s="153"/>
      <c r="B50" s="395"/>
      <c r="C50" s="412"/>
      <c r="D50" s="194"/>
      <c r="E50" s="195"/>
      <c r="F50" s="195"/>
    </row>
    <row r="51" spans="1:6">
      <c r="A51" s="792" t="s">
        <v>185</v>
      </c>
      <c r="B51" s="792"/>
      <c r="C51" s="792"/>
      <c r="D51" s="12"/>
      <c r="E51" s="12"/>
      <c r="F51" s="12"/>
    </row>
    <row r="52" spans="1:6">
      <c r="A52" s="188"/>
      <c r="B52" s="395"/>
      <c r="C52" s="412"/>
      <c r="D52" s="12"/>
      <c r="E52" s="12"/>
      <c r="F52" s="12"/>
    </row>
    <row r="53" spans="1:6">
      <c r="A53" s="153" t="s">
        <v>186</v>
      </c>
      <c r="B53" s="409"/>
      <c r="C53" s="413"/>
      <c r="D53" s="12"/>
      <c r="E53" s="12"/>
      <c r="F53" s="12"/>
    </row>
    <row r="54" spans="1:6" ht="16.5" thickBot="1">
      <c r="A54" s="155" t="s">
        <v>187</v>
      </c>
      <c r="B54" s="397">
        <v>620000000</v>
      </c>
      <c r="C54" s="413"/>
      <c r="D54" s="12"/>
      <c r="E54" s="12"/>
      <c r="F54" s="12"/>
    </row>
    <row r="55" spans="1:6">
      <c r="A55" s="153" t="s">
        <v>188</v>
      </c>
      <c r="B55" s="398"/>
      <c r="C55" s="412">
        <f>B54</f>
        <v>620000000</v>
      </c>
      <c r="D55" s="12"/>
      <c r="E55" s="12"/>
      <c r="F55" s="12"/>
    </row>
    <row r="56" spans="1:6">
      <c r="A56" s="153"/>
      <c r="B56" s="396"/>
      <c r="C56" s="412"/>
      <c r="D56" s="12"/>
      <c r="E56" s="12"/>
      <c r="F56" s="12"/>
    </row>
    <row r="57" spans="1:6">
      <c r="A57" s="153" t="s">
        <v>36</v>
      </c>
      <c r="B57" s="396"/>
      <c r="C57" s="413"/>
      <c r="D57" s="12"/>
      <c r="E57" s="12"/>
      <c r="F57" s="12"/>
    </row>
    <row r="58" spans="1:6" ht="16.5" thickBot="1">
      <c r="A58" s="155" t="s">
        <v>192</v>
      </c>
      <c r="B58" s="397">
        <f>+'ER 2014'!C43</f>
        <v>5394000</v>
      </c>
      <c r="C58" s="413"/>
      <c r="D58" s="12"/>
      <c r="E58" s="12"/>
      <c r="F58" s="12"/>
    </row>
    <row r="59" spans="1:6">
      <c r="A59" s="153" t="s">
        <v>193</v>
      </c>
      <c r="B59" s="398"/>
      <c r="C59" s="412">
        <f>B58</f>
        <v>5394000</v>
      </c>
      <c r="D59" s="12"/>
      <c r="E59" s="12"/>
      <c r="F59" s="12"/>
    </row>
    <row r="60" spans="1:6">
      <c r="A60" s="391"/>
      <c r="B60" s="399"/>
      <c r="C60" s="412"/>
      <c r="D60" s="12"/>
      <c r="E60" s="12"/>
      <c r="F60" s="12"/>
    </row>
    <row r="61" spans="1:6" ht="16.5" thickBot="1">
      <c r="A61" s="797" t="s">
        <v>197</v>
      </c>
      <c r="B61" s="798"/>
      <c r="C61" s="418">
        <f>C55+C59</f>
        <v>625394000</v>
      </c>
      <c r="D61" s="194"/>
      <c r="E61" s="195"/>
      <c r="F61" s="195"/>
    </row>
    <row r="62" spans="1:6">
      <c r="A62" s="317"/>
      <c r="B62" s="404"/>
    </row>
    <row r="63" spans="1:6" ht="16.5" thickBot="1">
      <c r="A63" s="797" t="s">
        <v>198</v>
      </c>
      <c r="B63" s="798"/>
      <c r="C63" s="418">
        <f>C43+C61</f>
        <v>657903000</v>
      </c>
      <c r="D63" s="194">
        <f>C63-C30</f>
        <v>0</v>
      </c>
      <c r="E63" s="195"/>
      <c r="F63" s="195"/>
    </row>
    <row r="64" spans="1:6">
      <c r="A64" s="392"/>
      <c r="B64" s="410"/>
      <c r="C64" s="412"/>
      <c r="D64" s="194"/>
      <c r="E64" s="195"/>
      <c r="F64" s="195"/>
    </row>
    <row r="65" spans="1:6">
      <c r="A65" s="153"/>
      <c r="B65" s="395"/>
      <c r="C65" s="412"/>
      <c r="D65" s="194"/>
      <c r="E65" s="195"/>
      <c r="F65" s="195"/>
    </row>
    <row r="66" spans="1:6">
      <c r="A66" s="153"/>
      <c r="B66" s="395"/>
      <c r="C66" s="412"/>
      <c r="D66" s="194"/>
      <c r="E66" s="195"/>
      <c r="F66" s="195"/>
    </row>
    <row r="67" spans="1:6">
      <c r="A67" s="124"/>
      <c r="B67" s="411"/>
    </row>
    <row r="68" spans="1:6">
      <c r="A68" s="246" t="s">
        <v>130</v>
      </c>
      <c r="B68" s="771" t="s">
        <v>131</v>
      </c>
      <c r="C68" s="771"/>
      <c r="D68" s="12"/>
      <c r="E68" s="12"/>
      <c r="F68" s="12"/>
    </row>
    <row r="69" spans="1:6">
      <c r="A69" s="158" t="s">
        <v>132</v>
      </c>
      <c r="B69" s="770" t="s">
        <v>133</v>
      </c>
      <c r="C69" s="770"/>
      <c r="D69" s="12"/>
      <c r="E69" s="12"/>
      <c r="F69" s="12"/>
    </row>
    <row r="70" spans="1:6">
      <c r="A70" s="153" t="s">
        <v>251</v>
      </c>
      <c r="B70" s="771" t="s">
        <v>134</v>
      </c>
      <c r="C70" s="771"/>
      <c r="D70" s="12"/>
      <c r="E70" s="12"/>
      <c r="F70" s="12"/>
    </row>
  </sheetData>
  <mergeCells count="22">
    <mergeCell ref="A8:C8"/>
    <mergeCell ref="A1:C1"/>
    <mergeCell ref="A2:C2"/>
    <mergeCell ref="A4:C4"/>
    <mergeCell ref="A5:C5"/>
    <mergeCell ref="A7:C7"/>
    <mergeCell ref="B68:C68"/>
    <mergeCell ref="B69:C69"/>
    <mergeCell ref="B70:C70"/>
    <mergeCell ref="A21:C21"/>
    <mergeCell ref="A32:C32"/>
    <mergeCell ref="A51:C51"/>
    <mergeCell ref="A44:C44"/>
    <mergeCell ref="A46:C46"/>
    <mergeCell ref="A48:C48"/>
    <mergeCell ref="A49:C49"/>
    <mergeCell ref="A28:B28"/>
    <mergeCell ref="A30:B30"/>
    <mergeCell ref="A43:B43"/>
    <mergeCell ref="A45:C45"/>
    <mergeCell ref="A61:B61"/>
    <mergeCell ref="A63:B63"/>
  </mergeCells>
  <printOptions horizontalCentered="1"/>
  <pageMargins left="0.70866141732283472" right="0.70866141732283472" top="0.74803149606299213" bottom="0.74803149606299213" header="0.31496062992125984" footer="0.31496062992125984"/>
  <pageSetup scale="63" orientation="portrait" r:id="rId1"/>
  <rowBreaks count="1" manualBreakCount="1">
    <brk id="43"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24</vt:i4>
      </vt:variant>
      <vt:variant>
        <vt:lpstr>Rangos con nombre</vt:lpstr>
      </vt:variant>
      <vt:variant>
        <vt:i4>6</vt:i4>
      </vt:variant>
    </vt:vector>
  </HeadingPairs>
  <TitlesOfParts>
    <vt:vector size="30" baseType="lpstr">
      <vt:lpstr>PALANCA DE CRECIMIENTO</vt:lpstr>
      <vt:lpstr>CICLO DE CAJA </vt:lpstr>
      <vt:lpstr>PKT</vt:lpstr>
      <vt:lpstr>FCL</vt:lpstr>
      <vt:lpstr>EBITDA</vt:lpstr>
      <vt:lpstr>DUPONT</vt:lpstr>
      <vt:lpstr>OTROS INDICADORES</vt:lpstr>
      <vt:lpstr>TABLA AMORTIZACION</vt:lpstr>
      <vt:lpstr>CRECIMIENTO ANUAL COMPUESTO</vt:lpstr>
      <vt:lpstr>COMPARATIVO INDUCTORES</vt:lpstr>
      <vt:lpstr>FLUJOS DE CAJA</vt:lpstr>
      <vt:lpstr>INDICADORES BASICOS</vt:lpstr>
      <vt:lpstr>EST. RESUL. HIST.</vt:lpstr>
      <vt:lpstr>ESF CONSOLI 17-16</vt:lpstr>
      <vt:lpstr>ESF CONSOLI 16-15</vt:lpstr>
      <vt:lpstr>ESF CONSOLI 15-14</vt:lpstr>
      <vt:lpstr>ER 2017</vt:lpstr>
      <vt:lpstr>ESF 2017</vt:lpstr>
      <vt:lpstr> ER 2016</vt:lpstr>
      <vt:lpstr>ESF 2016</vt:lpstr>
      <vt:lpstr>ER 2015</vt:lpstr>
      <vt:lpstr>ESF 2015</vt:lpstr>
      <vt:lpstr>ER 2014</vt:lpstr>
      <vt:lpstr>BALANCE 2014</vt:lpstr>
      <vt:lpstr>'ER 2014'!Área_de_impresión</vt:lpstr>
      <vt:lpstr>'ESF 2016'!Área_de_impresión</vt:lpstr>
      <vt:lpstr>'ESF 2017'!Área_de_impresión</vt:lpstr>
      <vt:lpstr>'ESF CONSOLI 15-14'!Área_de_impresión</vt:lpstr>
      <vt:lpstr>'ESF CONSOLI 16-15'!Área_de_impresión</vt:lpstr>
      <vt:lpstr>'INDICADORES BASICOS'!Área_de_impresión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Emilse Vera Hincapie</cp:lastModifiedBy>
  <cp:lastPrinted>2018-02-27T18:50:42Z</cp:lastPrinted>
  <dcterms:created xsi:type="dcterms:W3CDTF">2018-01-18T23:14:08Z</dcterms:created>
  <dcterms:modified xsi:type="dcterms:W3CDTF">2018-11-07T21:42:14Z</dcterms:modified>
</cp:coreProperties>
</file>