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dulfa\Desktop\TESIS ARLEX\Documentos Finales Tesis\"/>
    </mc:Choice>
  </mc:AlternateContent>
  <xr:revisionPtr revIDLastSave="0" documentId="13_ncr:1_{BB808F52-3BBC-4C1D-8FFA-CA2042127701}" xr6:coauthVersionLast="47" xr6:coauthVersionMax="47" xr10:uidLastSave="{00000000-0000-0000-0000-000000000000}"/>
  <bookViews>
    <workbookView xWindow="-120" yWindow="-120" windowWidth="20730" windowHeight="11040" firstSheet="6" activeTab="6" xr2:uid="{D54D590B-F90A-46AA-918D-1B078E83439D}"/>
    <workbookView xWindow="-120" yWindow="-120" windowWidth="20730" windowHeight="11040" firstSheet="11" activeTab="11" xr2:uid="{7CE0BB0F-6EBF-4726-9D68-28C490B14A40}"/>
  </bookViews>
  <sheets>
    <sheet name="SPECS" sheetId="4" r:id="rId1"/>
    <sheet name="Resumen" sheetId="1" state="hidden" r:id="rId2"/>
    <sheet name="Mayor a menor" sheetId="2" state="hidden" r:id="rId3"/>
    <sheet name="HOUSE EST 1" sheetId="6" r:id="rId4"/>
    <sheet name="HOUSE EST 2" sheetId="7" r:id="rId5"/>
    <sheet name="HOUSE EST 3" sheetId="8" r:id="rId6"/>
    <sheet name="HOUSE EST 1 LABOR" sheetId="9" r:id="rId7"/>
    <sheet name="HOUSE EST MODEL 1" sheetId="10" r:id="rId8"/>
    <sheet name="HOUSE EST MODEL 2" sheetId="12" r:id="rId9"/>
    <sheet name="HOUSE EST MODEL 3" sheetId="13" r:id="rId10"/>
    <sheet name="HOUSE EST TOTAL" sheetId="15" r:id="rId11"/>
    <sheet name="HOUSE YEAR TOTAL 57" sheetId="17" r:id="rId12"/>
    <sheet name="LABOR" sheetId="20" r:id="rId13"/>
    <sheet name="LABOR DINAM" sheetId="21" r:id="rId14"/>
  </sheets>
  <definedNames>
    <definedName name="_xlnm._FilterDatabase" localSheetId="12" hidden="1">LABOR!$B$2:$F$52</definedName>
    <definedName name="_xlnm._FilterDatabase" localSheetId="2" hidden="1">'Mayor a menor'!$A$1:$E$45</definedName>
    <definedName name="_xlnm._FilterDatabase" localSheetId="1" hidden="1">Resumen!$A$1:$E$52</definedName>
    <definedName name="_xlnm.Print_Area" localSheetId="0">SPECS!$B$1:$I$61</definedName>
  </definedNames>
  <calcPr calcId="191028" iterate="1"/>
  <pivotCaches>
    <pivotCache cacheId="0"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7" i="13" l="1"/>
  <c r="R6" i="17"/>
  <c r="M6" i="17"/>
  <c r="R9" i="17"/>
  <c r="L33" i="17"/>
  <c r="L28" i="17"/>
  <c r="U8" i="17"/>
  <c r="V8" i="17"/>
  <c r="X8" i="17" s="1"/>
  <c r="U11" i="17"/>
  <c r="V11" i="17"/>
  <c r="X11" i="17" s="1"/>
  <c r="U12" i="17"/>
  <c r="V12" i="17"/>
  <c r="X12" i="17" s="1"/>
  <c r="U15" i="17"/>
  <c r="V15" i="17"/>
  <c r="X15" i="17" s="1"/>
  <c r="U18" i="17"/>
  <c r="V18" i="17"/>
  <c r="X18" i="17" s="1"/>
  <c r="U21" i="17"/>
  <c r="V21" i="17"/>
  <c r="X21" i="17" s="1"/>
  <c r="U24" i="17"/>
  <c r="V24" i="17"/>
  <c r="X24" i="17" s="1"/>
  <c r="U27" i="17"/>
  <c r="V27" i="17"/>
  <c r="X27" i="17" s="1"/>
  <c r="U30" i="17"/>
  <c r="V30" i="17"/>
  <c r="X30" i="17" s="1"/>
  <c r="U31" i="17"/>
  <c r="V31" i="17"/>
  <c r="X31" i="17" s="1"/>
  <c r="U34" i="17"/>
  <c r="V34" i="17"/>
  <c r="X34" i="17" s="1"/>
  <c r="U37" i="17"/>
  <c r="V37" i="17"/>
  <c r="X37" i="17" s="1"/>
  <c r="U40" i="17"/>
  <c r="V40" i="17"/>
  <c r="X40" i="17" s="1"/>
  <c r="U41" i="17"/>
  <c r="V41" i="17"/>
  <c r="X41" i="17" s="1"/>
  <c r="U44" i="17"/>
  <c r="V44" i="17"/>
  <c r="X44" i="17" s="1"/>
  <c r="U47" i="17"/>
  <c r="V47" i="17"/>
  <c r="X47" i="17" s="1"/>
  <c r="U50" i="17"/>
  <c r="V50" i="17"/>
  <c r="X50" i="17" s="1"/>
  <c r="U53" i="17"/>
  <c r="V53" i="17"/>
  <c r="X53" i="17" s="1"/>
  <c r="U56" i="17"/>
  <c r="V56" i="17"/>
  <c r="X56" i="17" s="1"/>
  <c r="U59" i="17"/>
  <c r="V59" i="17"/>
  <c r="X59" i="17" s="1"/>
  <c r="U62" i="17"/>
  <c r="V62" i="17"/>
  <c r="X62" i="17" s="1"/>
  <c r="U65" i="17"/>
  <c r="V65" i="17"/>
  <c r="X65" i="17" s="1"/>
  <c r="U68" i="17"/>
  <c r="V68" i="17"/>
  <c r="X68" i="17" s="1"/>
  <c r="U71" i="17"/>
  <c r="V71" i="17"/>
  <c r="X71" i="17" s="1"/>
  <c r="U74" i="17"/>
  <c r="V74" i="17"/>
  <c r="X74" i="17" s="1"/>
  <c r="U77" i="17"/>
  <c r="V77" i="17"/>
  <c r="X77" i="17" s="1"/>
  <c r="U80" i="17"/>
  <c r="V80" i="17"/>
  <c r="X80" i="17" s="1"/>
  <c r="U83" i="17"/>
  <c r="V83" i="17"/>
  <c r="X83" i="17" s="1"/>
  <c r="E94" i="17"/>
  <c r="C94" i="17"/>
  <c r="F94" i="17" s="1"/>
  <c r="E93" i="17"/>
  <c r="E92" i="17"/>
  <c r="C92" i="17"/>
  <c r="F92" i="17" s="1"/>
  <c r="E91" i="17"/>
  <c r="C91" i="17"/>
  <c r="E90" i="17"/>
  <c r="C90" i="17"/>
  <c r="E89" i="17"/>
  <c r="C89" i="17"/>
  <c r="F89" i="17" s="1"/>
  <c r="E88" i="17"/>
  <c r="C88" i="17"/>
  <c r="E87" i="17"/>
  <c r="C87" i="17"/>
  <c r="F87" i="17" s="1"/>
  <c r="E85" i="17"/>
  <c r="C85" i="17"/>
  <c r="E84" i="17"/>
  <c r="C84" i="17"/>
  <c r="T83" i="17"/>
  <c r="E83" i="17"/>
  <c r="C83" i="17"/>
  <c r="T82" i="17"/>
  <c r="L82" i="17"/>
  <c r="E82" i="17"/>
  <c r="C82" i="17"/>
  <c r="T81" i="17"/>
  <c r="E81" i="17"/>
  <c r="C81" i="17"/>
  <c r="T80" i="17"/>
  <c r="E80" i="17"/>
  <c r="C80" i="17"/>
  <c r="F80" i="17" s="1"/>
  <c r="T79" i="17"/>
  <c r="L79" i="17"/>
  <c r="E79" i="17"/>
  <c r="C79" i="17"/>
  <c r="F79" i="17" s="1"/>
  <c r="T78" i="17"/>
  <c r="E78" i="17"/>
  <c r="C78" i="17"/>
  <c r="F78" i="17" s="1"/>
  <c r="T77" i="17"/>
  <c r="E77" i="17"/>
  <c r="C77" i="17"/>
  <c r="T76" i="17"/>
  <c r="L76" i="17"/>
  <c r="E76" i="17"/>
  <c r="C76" i="17"/>
  <c r="T75" i="17"/>
  <c r="T74" i="17"/>
  <c r="E74" i="17"/>
  <c r="C74" i="17"/>
  <c r="F74" i="17" s="1"/>
  <c r="T73" i="17"/>
  <c r="E73" i="17"/>
  <c r="C73" i="17"/>
  <c r="T72" i="17"/>
  <c r="L72" i="17"/>
  <c r="L73" i="17" s="1"/>
  <c r="E72" i="17"/>
  <c r="C72" i="17"/>
  <c r="T71" i="17"/>
  <c r="E71" i="17"/>
  <c r="C71" i="17"/>
  <c r="T70" i="17"/>
  <c r="L70" i="17"/>
  <c r="T69" i="17"/>
  <c r="E69" i="17"/>
  <c r="C69" i="17"/>
  <c r="F69" i="17" s="1"/>
  <c r="T68" i="17"/>
  <c r="E68" i="17"/>
  <c r="C68" i="17"/>
  <c r="T67" i="17"/>
  <c r="L67" i="17"/>
  <c r="E67" i="17"/>
  <c r="T66" i="17"/>
  <c r="E66" i="17"/>
  <c r="C66" i="17"/>
  <c r="T65" i="17"/>
  <c r="E65" i="17"/>
  <c r="C65" i="17"/>
  <c r="T64" i="17"/>
  <c r="L64" i="17"/>
  <c r="E64" i="17"/>
  <c r="C64" i="17"/>
  <c r="T63" i="17"/>
  <c r="T62" i="17"/>
  <c r="E62" i="17"/>
  <c r="C62" i="17"/>
  <c r="T61" i="17"/>
  <c r="K61" i="17"/>
  <c r="T60" i="17"/>
  <c r="L60" i="17"/>
  <c r="L61" i="17" s="1"/>
  <c r="C60" i="17"/>
  <c r="I66" i="17" s="1"/>
  <c r="T59" i="17"/>
  <c r="T58" i="17"/>
  <c r="K58" i="17"/>
  <c r="C58" i="17"/>
  <c r="F58" i="17" s="1"/>
  <c r="T57" i="17"/>
  <c r="L57" i="17"/>
  <c r="L58" i="17" s="1"/>
  <c r="C57" i="17"/>
  <c r="I63" i="17" s="1"/>
  <c r="T56" i="17"/>
  <c r="T55" i="17"/>
  <c r="K55" i="17"/>
  <c r="E55" i="17"/>
  <c r="C55" i="17"/>
  <c r="I60" i="17" s="1"/>
  <c r="I61" i="17" s="1"/>
  <c r="T54" i="17"/>
  <c r="L54" i="17"/>
  <c r="L55" i="17" s="1"/>
  <c r="T53" i="17"/>
  <c r="E53" i="17"/>
  <c r="C53" i="17"/>
  <c r="F53" i="17" s="1"/>
  <c r="T52" i="17"/>
  <c r="K52" i="17"/>
  <c r="E52" i="17"/>
  <c r="T51" i="17"/>
  <c r="L51" i="17"/>
  <c r="L52" i="17" s="1"/>
  <c r="E51" i="17"/>
  <c r="C51" i="17"/>
  <c r="F51" i="17" s="1"/>
  <c r="T50" i="17"/>
  <c r="T49" i="17"/>
  <c r="L49" i="17"/>
  <c r="K49" i="17"/>
  <c r="E49" i="17"/>
  <c r="T48" i="17"/>
  <c r="E48" i="17"/>
  <c r="T47" i="17"/>
  <c r="T46" i="17"/>
  <c r="K46" i="17"/>
  <c r="T45" i="17"/>
  <c r="L45" i="17"/>
  <c r="T44" i="17"/>
  <c r="T43" i="17"/>
  <c r="K43" i="17"/>
  <c r="T42" i="17"/>
  <c r="L42" i="17"/>
  <c r="L43" i="17" s="1"/>
  <c r="E42" i="17"/>
  <c r="E43" i="17" s="1"/>
  <c r="C42" i="17"/>
  <c r="T41" i="17"/>
  <c r="E41" i="17"/>
  <c r="C41" i="17"/>
  <c r="F41" i="17" s="1"/>
  <c r="T40" i="17"/>
  <c r="E40" i="17"/>
  <c r="C40" i="17"/>
  <c r="T39" i="17"/>
  <c r="L39" i="17"/>
  <c r="T38" i="17"/>
  <c r="T37" i="17"/>
  <c r="T36" i="17"/>
  <c r="L36" i="17"/>
  <c r="T35" i="17"/>
  <c r="T34" i="17"/>
  <c r="T33" i="17"/>
  <c r="T32" i="17"/>
  <c r="C32" i="17"/>
  <c r="F32" i="17" s="1"/>
  <c r="T31" i="17"/>
  <c r="T30" i="17"/>
  <c r="T29" i="17"/>
  <c r="T28" i="17"/>
  <c r="L29" i="17"/>
  <c r="C28" i="17"/>
  <c r="F28" i="17" s="1"/>
  <c r="T27" i="17"/>
  <c r="T26" i="17"/>
  <c r="L26" i="17"/>
  <c r="C26" i="17"/>
  <c r="T25" i="17"/>
  <c r="T24" i="17"/>
  <c r="T23" i="17"/>
  <c r="K23" i="17"/>
  <c r="L23" i="17" s="1"/>
  <c r="T22" i="17"/>
  <c r="L22" i="17"/>
  <c r="T21" i="17"/>
  <c r="T20" i="17"/>
  <c r="K20" i="17"/>
  <c r="L20" i="17" s="1"/>
  <c r="E20" i="17"/>
  <c r="C20" i="17"/>
  <c r="I25" i="17" s="1"/>
  <c r="T19" i="17"/>
  <c r="L19" i="17"/>
  <c r="T18" i="17"/>
  <c r="T17" i="17"/>
  <c r="E17" i="17"/>
  <c r="T16" i="17"/>
  <c r="T15" i="17"/>
  <c r="T14" i="17"/>
  <c r="K14" i="17"/>
  <c r="L14" i="17" s="1"/>
  <c r="T13" i="17"/>
  <c r="L13" i="17"/>
  <c r="T12" i="17"/>
  <c r="E12" i="17"/>
  <c r="C12" i="17"/>
  <c r="T11" i="17"/>
  <c r="E11" i="17"/>
  <c r="C11" i="17"/>
  <c r="F11" i="17" s="1"/>
  <c r="T10" i="17"/>
  <c r="T9" i="17"/>
  <c r="K9" i="17"/>
  <c r="K10" i="17" s="1"/>
  <c r="L10" i="17" s="1"/>
  <c r="E9" i="17"/>
  <c r="T8" i="17"/>
  <c r="T7" i="17"/>
  <c r="K7" i="17"/>
  <c r="L7" i="17" s="1"/>
  <c r="T6" i="17"/>
  <c r="L6" i="17"/>
  <c r="T5" i="17"/>
  <c r="F1" i="17"/>
  <c r="U1" i="15"/>
  <c r="U77" i="15" s="1"/>
  <c r="R1" i="15"/>
  <c r="M1" i="15"/>
  <c r="F1" i="15"/>
  <c r="C94" i="15"/>
  <c r="C92" i="15"/>
  <c r="C91" i="15"/>
  <c r="C90" i="15"/>
  <c r="C89" i="15"/>
  <c r="C88" i="15"/>
  <c r="C87" i="15"/>
  <c r="C85" i="15"/>
  <c r="C84" i="15"/>
  <c r="C83" i="15"/>
  <c r="C82" i="15"/>
  <c r="C81" i="15"/>
  <c r="C80" i="15"/>
  <c r="C79" i="15"/>
  <c r="C78" i="15"/>
  <c r="C77" i="15"/>
  <c r="C76" i="15"/>
  <c r="C74" i="15"/>
  <c r="C73" i="15"/>
  <c r="C72" i="15"/>
  <c r="C71" i="15"/>
  <c r="C69" i="15"/>
  <c r="C68" i="15"/>
  <c r="C66" i="15"/>
  <c r="C65" i="15"/>
  <c r="C64" i="15"/>
  <c r="C62" i="15"/>
  <c r="C60" i="15"/>
  <c r="I66" i="15" s="1"/>
  <c r="I67" i="15" s="1"/>
  <c r="C58" i="15"/>
  <c r="F58" i="15" s="1"/>
  <c r="C57" i="15"/>
  <c r="F57" i="15" s="1"/>
  <c r="C55" i="15"/>
  <c r="C53" i="15"/>
  <c r="C51" i="15"/>
  <c r="C42" i="15"/>
  <c r="C41" i="15"/>
  <c r="C40" i="15"/>
  <c r="C32" i="15"/>
  <c r="I38" i="15" s="1"/>
  <c r="M38" i="15" s="1"/>
  <c r="C28" i="15"/>
  <c r="F28" i="15" s="1"/>
  <c r="C26" i="15"/>
  <c r="F26" i="15" s="1"/>
  <c r="C20" i="15"/>
  <c r="C12" i="15"/>
  <c r="C11" i="15"/>
  <c r="E94" i="15"/>
  <c r="F94" i="15" s="1"/>
  <c r="E93" i="15"/>
  <c r="E92" i="15"/>
  <c r="F92" i="15" s="1"/>
  <c r="E91" i="15"/>
  <c r="F91" i="15" s="1"/>
  <c r="E90" i="15"/>
  <c r="F90" i="15" s="1"/>
  <c r="E89" i="15"/>
  <c r="F89" i="15" s="1"/>
  <c r="E88" i="15"/>
  <c r="E87" i="15"/>
  <c r="E85" i="15"/>
  <c r="E84" i="15"/>
  <c r="T83" i="15"/>
  <c r="E83" i="15"/>
  <c r="T82" i="15"/>
  <c r="L82" i="15"/>
  <c r="E82" i="15"/>
  <c r="T81" i="15"/>
  <c r="E81" i="15"/>
  <c r="F81" i="15" s="1"/>
  <c r="T80" i="15"/>
  <c r="E80" i="15"/>
  <c r="F80" i="15" s="1"/>
  <c r="T79" i="15"/>
  <c r="L79" i="15"/>
  <c r="E79" i="15"/>
  <c r="T78" i="15"/>
  <c r="E78" i="15"/>
  <c r="T77" i="15"/>
  <c r="E77" i="15"/>
  <c r="T76" i="15"/>
  <c r="L76" i="15"/>
  <c r="E76" i="15"/>
  <c r="T75" i="15"/>
  <c r="T74" i="15"/>
  <c r="E74" i="15"/>
  <c r="T73" i="15"/>
  <c r="E73" i="15"/>
  <c r="T72" i="15"/>
  <c r="L72" i="15"/>
  <c r="L73" i="15" s="1"/>
  <c r="E72" i="15"/>
  <c r="F72" i="15" s="1"/>
  <c r="T71" i="15"/>
  <c r="E71" i="15"/>
  <c r="F71" i="15" s="1"/>
  <c r="T70" i="15"/>
  <c r="L70" i="15"/>
  <c r="T69" i="15"/>
  <c r="I69" i="15"/>
  <c r="I70" i="15" s="1"/>
  <c r="E69" i="15"/>
  <c r="T68" i="15"/>
  <c r="E68" i="15"/>
  <c r="T67" i="15"/>
  <c r="L67" i="15"/>
  <c r="E67" i="15"/>
  <c r="T66" i="15"/>
  <c r="E66" i="15"/>
  <c r="T65" i="15"/>
  <c r="E65" i="15"/>
  <c r="T64" i="15"/>
  <c r="L64" i="15"/>
  <c r="E64" i="15"/>
  <c r="T63" i="15"/>
  <c r="T62" i="15"/>
  <c r="E62" i="15"/>
  <c r="F62" i="15" s="1"/>
  <c r="T61" i="15"/>
  <c r="K61" i="15"/>
  <c r="T60" i="15"/>
  <c r="L60" i="15"/>
  <c r="L61" i="15" s="1"/>
  <c r="F60" i="15"/>
  <c r="T59" i="15"/>
  <c r="T58" i="15"/>
  <c r="K58" i="15"/>
  <c r="T57" i="15"/>
  <c r="L57" i="15"/>
  <c r="L58" i="15" s="1"/>
  <c r="T56" i="15"/>
  <c r="T55" i="15"/>
  <c r="K55" i="15"/>
  <c r="E55" i="15"/>
  <c r="T54" i="15"/>
  <c r="L54" i="15"/>
  <c r="L55" i="15" s="1"/>
  <c r="T53" i="15"/>
  <c r="E53" i="15"/>
  <c r="T52" i="15"/>
  <c r="K52" i="15"/>
  <c r="E52" i="15"/>
  <c r="T51" i="15"/>
  <c r="L51" i="15"/>
  <c r="L52" i="15" s="1"/>
  <c r="E51" i="15"/>
  <c r="T50" i="15"/>
  <c r="T49" i="15"/>
  <c r="L49" i="15"/>
  <c r="K49" i="15"/>
  <c r="E49" i="15"/>
  <c r="T48" i="15"/>
  <c r="E48" i="15"/>
  <c r="T47" i="15"/>
  <c r="T46" i="15"/>
  <c r="K46" i="15"/>
  <c r="T45" i="15"/>
  <c r="L45" i="15"/>
  <c r="L46" i="15" s="1"/>
  <c r="T44" i="15"/>
  <c r="T43" i="15"/>
  <c r="K43" i="15"/>
  <c r="T42" i="15"/>
  <c r="L42" i="15"/>
  <c r="E42" i="15"/>
  <c r="E43" i="15" s="1"/>
  <c r="T41" i="15"/>
  <c r="E41" i="15"/>
  <c r="T40" i="15"/>
  <c r="E40" i="15"/>
  <c r="T39" i="15"/>
  <c r="L39" i="15"/>
  <c r="T38" i="15"/>
  <c r="T37" i="15"/>
  <c r="T36" i="15"/>
  <c r="L36" i="15"/>
  <c r="T35" i="15"/>
  <c r="T34" i="15"/>
  <c r="T33" i="15"/>
  <c r="L33" i="15"/>
  <c r="T32" i="15"/>
  <c r="T31" i="15"/>
  <c r="T30" i="15"/>
  <c r="T29" i="15"/>
  <c r="T28" i="15"/>
  <c r="L28" i="15"/>
  <c r="L29" i="15" s="1"/>
  <c r="T27" i="15"/>
  <c r="T26" i="15"/>
  <c r="L26" i="15"/>
  <c r="T25" i="15"/>
  <c r="I25" i="15"/>
  <c r="T24" i="15"/>
  <c r="T23" i="15"/>
  <c r="K23" i="15"/>
  <c r="L23" i="15" s="1"/>
  <c r="T22" i="15"/>
  <c r="L22" i="15"/>
  <c r="T21" i="15"/>
  <c r="T20" i="15"/>
  <c r="K20" i="15"/>
  <c r="L20" i="15" s="1"/>
  <c r="E20" i="15"/>
  <c r="F20" i="15" s="1"/>
  <c r="T19" i="15"/>
  <c r="L19" i="15"/>
  <c r="T18" i="15"/>
  <c r="T17" i="15"/>
  <c r="E17" i="15"/>
  <c r="T16" i="15"/>
  <c r="T15" i="15"/>
  <c r="T14" i="15"/>
  <c r="K14" i="15"/>
  <c r="L14" i="15" s="1"/>
  <c r="T13" i="15"/>
  <c r="L13" i="15"/>
  <c r="T12" i="15"/>
  <c r="E12" i="15"/>
  <c r="T11" i="15"/>
  <c r="E11" i="15"/>
  <c r="T10" i="15"/>
  <c r="T9" i="15"/>
  <c r="K9" i="15"/>
  <c r="L9" i="15" s="1"/>
  <c r="E9" i="15"/>
  <c r="T8" i="15"/>
  <c r="T7" i="15"/>
  <c r="K7" i="15"/>
  <c r="L7" i="15" s="1"/>
  <c r="T6" i="15"/>
  <c r="L6" i="15"/>
  <c r="T5" i="15"/>
  <c r="V83" i="13"/>
  <c r="U83" i="13"/>
  <c r="T83" i="13"/>
  <c r="T82" i="13"/>
  <c r="T81" i="13"/>
  <c r="V80" i="13"/>
  <c r="U80" i="13"/>
  <c r="T80" i="13"/>
  <c r="T79" i="13"/>
  <c r="T78" i="13"/>
  <c r="V77" i="13"/>
  <c r="U77" i="13"/>
  <c r="T77" i="13"/>
  <c r="T76" i="13"/>
  <c r="T75" i="13"/>
  <c r="V74" i="13"/>
  <c r="U74" i="13"/>
  <c r="T74" i="13"/>
  <c r="T73" i="13"/>
  <c r="T72" i="13"/>
  <c r="V71" i="13"/>
  <c r="U71" i="13"/>
  <c r="T71" i="13"/>
  <c r="T70" i="13"/>
  <c r="T69" i="13"/>
  <c r="V68" i="13"/>
  <c r="U68" i="13"/>
  <c r="T68" i="13"/>
  <c r="T67" i="13"/>
  <c r="T66" i="13"/>
  <c r="V65" i="13"/>
  <c r="U65" i="13"/>
  <c r="T65" i="13"/>
  <c r="T64" i="13"/>
  <c r="T63" i="13"/>
  <c r="V62" i="13"/>
  <c r="U62" i="13"/>
  <c r="T62" i="13"/>
  <c r="T61" i="13"/>
  <c r="T60" i="13"/>
  <c r="V59" i="13"/>
  <c r="U59" i="13"/>
  <c r="T59" i="13"/>
  <c r="T58" i="13"/>
  <c r="T57" i="13"/>
  <c r="V56" i="13"/>
  <c r="U56" i="13"/>
  <c r="T56" i="13"/>
  <c r="T55" i="13"/>
  <c r="T54" i="13"/>
  <c r="V53" i="13"/>
  <c r="U53" i="13"/>
  <c r="T53" i="13"/>
  <c r="T52" i="13"/>
  <c r="T51" i="13"/>
  <c r="V50" i="13"/>
  <c r="U50" i="13"/>
  <c r="T50" i="13"/>
  <c r="T49" i="13"/>
  <c r="T48" i="13"/>
  <c r="V47" i="13"/>
  <c r="U47" i="13"/>
  <c r="T47" i="13"/>
  <c r="T46" i="13"/>
  <c r="T45" i="13"/>
  <c r="V44" i="13"/>
  <c r="U44" i="13"/>
  <c r="T44" i="13"/>
  <c r="T43" i="13"/>
  <c r="T42" i="13"/>
  <c r="V41" i="13"/>
  <c r="U41" i="13"/>
  <c r="T41" i="13"/>
  <c r="V40" i="13"/>
  <c r="U40" i="13"/>
  <c r="T40" i="13"/>
  <c r="T39" i="13"/>
  <c r="T38" i="13"/>
  <c r="V37" i="13"/>
  <c r="U37" i="13"/>
  <c r="T37" i="13"/>
  <c r="T36" i="13"/>
  <c r="T35" i="13"/>
  <c r="V34" i="13"/>
  <c r="U34" i="13"/>
  <c r="T34" i="13"/>
  <c r="T33" i="13"/>
  <c r="T32" i="13"/>
  <c r="V31" i="13"/>
  <c r="U31" i="13"/>
  <c r="T31" i="13"/>
  <c r="V30" i="13"/>
  <c r="U30" i="13"/>
  <c r="T30" i="13"/>
  <c r="T29" i="13"/>
  <c r="T28" i="13"/>
  <c r="V27" i="13"/>
  <c r="U27" i="13"/>
  <c r="T27" i="13"/>
  <c r="T26" i="13"/>
  <c r="T25" i="13"/>
  <c r="V24" i="13"/>
  <c r="U24" i="13"/>
  <c r="T24" i="13"/>
  <c r="T23" i="13"/>
  <c r="T22" i="13"/>
  <c r="V21" i="13"/>
  <c r="U21" i="13"/>
  <c r="T21" i="13"/>
  <c r="T20" i="13"/>
  <c r="T19" i="13"/>
  <c r="V18" i="13"/>
  <c r="U18" i="13"/>
  <c r="T18" i="13"/>
  <c r="T17" i="13"/>
  <c r="T16" i="13"/>
  <c r="V15" i="13"/>
  <c r="U15" i="13"/>
  <c r="T15" i="13"/>
  <c r="T14" i="13"/>
  <c r="T13" i="13"/>
  <c r="V12" i="13"/>
  <c r="U12" i="13"/>
  <c r="T12" i="13"/>
  <c r="V11" i="13"/>
  <c r="U11" i="13"/>
  <c r="T11" i="13"/>
  <c r="T10" i="13"/>
  <c r="T9" i="13"/>
  <c r="V8" i="13"/>
  <c r="U8" i="13"/>
  <c r="T8" i="13"/>
  <c r="T7" i="13"/>
  <c r="T6" i="13"/>
  <c r="T5" i="13"/>
  <c r="V83" i="12"/>
  <c r="U83" i="12"/>
  <c r="T83" i="12"/>
  <c r="T82" i="12"/>
  <c r="T81" i="12"/>
  <c r="V80" i="12"/>
  <c r="U80" i="12"/>
  <c r="T80" i="12"/>
  <c r="T79" i="12"/>
  <c r="T78" i="12"/>
  <c r="V77" i="12"/>
  <c r="U77" i="12"/>
  <c r="T77" i="12"/>
  <c r="T76" i="12"/>
  <c r="T75" i="12"/>
  <c r="V74" i="12"/>
  <c r="U74" i="12"/>
  <c r="T74" i="12"/>
  <c r="T73" i="12"/>
  <c r="T72" i="12"/>
  <c r="V71" i="12"/>
  <c r="U71" i="12"/>
  <c r="T71" i="12"/>
  <c r="T70" i="12"/>
  <c r="T69" i="12"/>
  <c r="V68" i="12"/>
  <c r="U68" i="12"/>
  <c r="T68" i="12"/>
  <c r="T67" i="12"/>
  <c r="T66" i="12"/>
  <c r="V65" i="12"/>
  <c r="U65" i="12"/>
  <c r="T65" i="12"/>
  <c r="T64" i="12"/>
  <c r="T63" i="12"/>
  <c r="V62" i="12"/>
  <c r="U62" i="12"/>
  <c r="T62" i="12"/>
  <c r="T61" i="12"/>
  <c r="T60" i="12"/>
  <c r="V59" i="12"/>
  <c r="U59" i="12"/>
  <c r="T59" i="12"/>
  <c r="T58" i="12"/>
  <c r="T57" i="12"/>
  <c r="V56" i="12"/>
  <c r="U56" i="12"/>
  <c r="T56" i="12"/>
  <c r="T55" i="12"/>
  <c r="T54" i="12"/>
  <c r="V53" i="12"/>
  <c r="U53" i="12"/>
  <c r="T53" i="12"/>
  <c r="T52" i="12"/>
  <c r="T51" i="12"/>
  <c r="V50" i="12"/>
  <c r="U50" i="12"/>
  <c r="T50" i="12"/>
  <c r="T49" i="12"/>
  <c r="T48" i="12"/>
  <c r="V47" i="12"/>
  <c r="U47" i="12"/>
  <c r="T47" i="12"/>
  <c r="T46" i="12"/>
  <c r="T45" i="12"/>
  <c r="V44" i="12"/>
  <c r="U44" i="12"/>
  <c r="T44" i="12"/>
  <c r="T43" i="12"/>
  <c r="T42" i="12"/>
  <c r="V41" i="12"/>
  <c r="U41" i="12"/>
  <c r="T41" i="12"/>
  <c r="V40" i="12"/>
  <c r="U40" i="12"/>
  <c r="T40" i="12"/>
  <c r="T39" i="12"/>
  <c r="T38" i="12"/>
  <c r="V37" i="12"/>
  <c r="U37" i="12"/>
  <c r="T37" i="12"/>
  <c r="T36" i="12"/>
  <c r="T35" i="12"/>
  <c r="V34" i="12"/>
  <c r="U34" i="12"/>
  <c r="T34" i="12"/>
  <c r="T33" i="12"/>
  <c r="T32" i="12"/>
  <c r="V31" i="12"/>
  <c r="U31" i="12"/>
  <c r="T31" i="12"/>
  <c r="V30" i="12"/>
  <c r="U30" i="12"/>
  <c r="T30" i="12"/>
  <c r="T29" i="12"/>
  <c r="T28" i="12"/>
  <c r="V27" i="12"/>
  <c r="U27" i="12"/>
  <c r="T27" i="12"/>
  <c r="T26" i="12"/>
  <c r="T25" i="12"/>
  <c r="V24" i="12"/>
  <c r="U24" i="12"/>
  <c r="T24" i="12"/>
  <c r="T23" i="12"/>
  <c r="T22" i="12"/>
  <c r="V21" i="12"/>
  <c r="U21" i="12"/>
  <c r="T21" i="12"/>
  <c r="T20" i="12"/>
  <c r="T19" i="12"/>
  <c r="V18" i="12"/>
  <c r="U18" i="12"/>
  <c r="T18" i="12"/>
  <c r="T17" i="12"/>
  <c r="T16" i="12"/>
  <c r="V15" i="12"/>
  <c r="U15" i="12"/>
  <c r="T15" i="12"/>
  <c r="T14" i="12"/>
  <c r="T13" i="12"/>
  <c r="V12" i="12"/>
  <c r="U12" i="12"/>
  <c r="T12" i="12"/>
  <c r="V11" i="12"/>
  <c r="U11" i="12"/>
  <c r="T11" i="12"/>
  <c r="T10" i="12"/>
  <c r="T9" i="12"/>
  <c r="V8" i="12"/>
  <c r="U8" i="12"/>
  <c r="T8" i="12"/>
  <c r="T7" i="12"/>
  <c r="T6" i="12"/>
  <c r="T5" i="12"/>
  <c r="V8" i="10"/>
  <c r="V11" i="10"/>
  <c r="V12" i="10"/>
  <c r="V15" i="10"/>
  <c r="V18" i="10"/>
  <c r="V21" i="10"/>
  <c r="V24" i="10"/>
  <c r="V27" i="10"/>
  <c r="V30" i="10"/>
  <c r="V31" i="10"/>
  <c r="V34" i="10"/>
  <c r="V37" i="10"/>
  <c r="V40" i="10"/>
  <c r="V41" i="10"/>
  <c r="V44" i="10"/>
  <c r="V47" i="10"/>
  <c r="V50" i="10"/>
  <c r="V53" i="10"/>
  <c r="V56" i="10"/>
  <c r="V59" i="10"/>
  <c r="V62" i="10"/>
  <c r="V65" i="10"/>
  <c r="V68" i="10"/>
  <c r="V71" i="10"/>
  <c r="V74" i="10"/>
  <c r="V77" i="10"/>
  <c r="V80" i="10"/>
  <c r="V83" i="10"/>
  <c r="U8" i="10"/>
  <c r="U11" i="10"/>
  <c r="U12" i="10"/>
  <c r="U15" i="10"/>
  <c r="U18" i="10"/>
  <c r="U21" i="10"/>
  <c r="U24" i="10"/>
  <c r="U27" i="10"/>
  <c r="U30" i="10"/>
  <c r="U31" i="10"/>
  <c r="U34" i="10"/>
  <c r="U37" i="10"/>
  <c r="U40" i="10"/>
  <c r="U41" i="10"/>
  <c r="U44" i="10"/>
  <c r="U47" i="10"/>
  <c r="U50" i="10"/>
  <c r="U53" i="10"/>
  <c r="U56" i="10"/>
  <c r="U59" i="10"/>
  <c r="U62" i="10"/>
  <c r="U65" i="10"/>
  <c r="U68" i="10"/>
  <c r="U71" i="10"/>
  <c r="U74" i="10"/>
  <c r="U77" i="10"/>
  <c r="U80" i="10"/>
  <c r="U83" i="10"/>
  <c r="T11" i="10"/>
  <c r="T12" i="10"/>
  <c r="T5" i="10"/>
  <c r="T83" i="10"/>
  <c r="T82" i="10"/>
  <c r="T81" i="10"/>
  <c r="T80" i="10"/>
  <c r="T79" i="10"/>
  <c r="T78" i="10"/>
  <c r="T77" i="10"/>
  <c r="T76" i="10"/>
  <c r="T75" i="10"/>
  <c r="T74" i="10"/>
  <c r="T73" i="10"/>
  <c r="T72" i="10"/>
  <c r="T71" i="10"/>
  <c r="T70" i="10"/>
  <c r="T69" i="10"/>
  <c r="T68" i="10"/>
  <c r="T67" i="10"/>
  <c r="T66" i="10"/>
  <c r="T65" i="10"/>
  <c r="T64" i="10"/>
  <c r="T63" i="10"/>
  <c r="T62" i="10"/>
  <c r="T61" i="10"/>
  <c r="T60" i="10"/>
  <c r="T59" i="10"/>
  <c r="T58" i="10"/>
  <c r="T57" i="10"/>
  <c r="T56" i="10"/>
  <c r="T55" i="10"/>
  <c r="T54" i="10"/>
  <c r="T53" i="10"/>
  <c r="T52" i="10"/>
  <c r="T51" i="10"/>
  <c r="T50" i="10"/>
  <c r="T49" i="10"/>
  <c r="T48" i="10"/>
  <c r="T47" i="10"/>
  <c r="T46" i="10"/>
  <c r="T45" i="10"/>
  <c r="T44" i="10"/>
  <c r="T43" i="10"/>
  <c r="T42" i="10"/>
  <c r="T41" i="10"/>
  <c r="T40" i="10"/>
  <c r="T39" i="10"/>
  <c r="T38" i="10"/>
  <c r="T37" i="10"/>
  <c r="T36" i="10"/>
  <c r="T35" i="10"/>
  <c r="T34" i="10"/>
  <c r="T33" i="10"/>
  <c r="T32" i="10"/>
  <c r="T31" i="10"/>
  <c r="T30" i="10"/>
  <c r="T29" i="10"/>
  <c r="T28" i="10"/>
  <c r="T27" i="10"/>
  <c r="T26" i="10"/>
  <c r="T25" i="10"/>
  <c r="T24" i="10"/>
  <c r="T23" i="10"/>
  <c r="T22" i="10"/>
  <c r="T21" i="10"/>
  <c r="T20" i="10"/>
  <c r="T19" i="10"/>
  <c r="T18" i="10"/>
  <c r="T17" i="10"/>
  <c r="T16" i="10"/>
  <c r="T15" i="10"/>
  <c r="T14" i="10"/>
  <c r="T13" i="10"/>
  <c r="T10" i="10"/>
  <c r="T9" i="10"/>
  <c r="T8" i="10"/>
  <c r="T7" i="10"/>
  <c r="T6" i="10"/>
  <c r="C38" i="13"/>
  <c r="C36" i="13"/>
  <c r="C35" i="13"/>
  <c r="C30" i="13"/>
  <c r="I35" i="13" s="1"/>
  <c r="C27" i="13"/>
  <c r="C14" i="13"/>
  <c r="F14" i="13" s="1"/>
  <c r="C5" i="13"/>
  <c r="E94" i="13"/>
  <c r="F94" i="13" s="1"/>
  <c r="E93" i="13"/>
  <c r="F93" i="13" s="1"/>
  <c r="E92" i="13"/>
  <c r="F92" i="13" s="1"/>
  <c r="E91" i="13"/>
  <c r="F91" i="13" s="1"/>
  <c r="E90" i="13"/>
  <c r="F90" i="13" s="1"/>
  <c r="E89" i="13"/>
  <c r="F89" i="13" s="1"/>
  <c r="E88" i="13"/>
  <c r="F88" i="13" s="1"/>
  <c r="E87" i="13"/>
  <c r="F87" i="13" s="1"/>
  <c r="E85" i="13"/>
  <c r="F85" i="13" s="1"/>
  <c r="E84" i="13"/>
  <c r="F84" i="13" s="1"/>
  <c r="E83" i="13"/>
  <c r="F83" i="13" s="1"/>
  <c r="L82" i="13"/>
  <c r="E82" i="13"/>
  <c r="F82" i="13" s="1"/>
  <c r="I81" i="13"/>
  <c r="I82" i="13" s="1"/>
  <c r="M82" i="13" s="1"/>
  <c r="R82" i="13" s="1"/>
  <c r="E81" i="13"/>
  <c r="F81" i="13" s="1"/>
  <c r="E80" i="13"/>
  <c r="F80" i="13" s="1"/>
  <c r="L79" i="13"/>
  <c r="E79" i="13"/>
  <c r="F79" i="13" s="1"/>
  <c r="I78" i="13"/>
  <c r="I79" i="13" s="1"/>
  <c r="E78" i="13"/>
  <c r="F78" i="13" s="1"/>
  <c r="E77" i="13"/>
  <c r="F77" i="13" s="1"/>
  <c r="L76" i="13"/>
  <c r="E76" i="13"/>
  <c r="F76" i="13" s="1"/>
  <c r="I75" i="13"/>
  <c r="E74" i="13"/>
  <c r="F74" i="13" s="1"/>
  <c r="E73" i="13"/>
  <c r="F73" i="13" s="1"/>
  <c r="L72" i="13"/>
  <c r="I72" i="13"/>
  <c r="I73" i="13" s="1"/>
  <c r="E72" i="13"/>
  <c r="F72" i="13" s="1"/>
  <c r="E71" i="13"/>
  <c r="F71" i="13" s="1"/>
  <c r="L70" i="13"/>
  <c r="I69" i="13"/>
  <c r="E69" i="13"/>
  <c r="F69" i="13" s="1"/>
  <c r="E68" i="13"/>
  <c r="F68" i="13" s="1"/>
  <c r="L67" i="13"/>
  <c r="E67" i="13"/>
  <c r="F67" i="13" s="1"/>
  <c r="I66" i="13"/>
  <c r="M66" i="13" s="1"/>
  <c r="E66" i="13"/>
  <c r="F66" i="13" s="1"/>
  <c r="E65" i="13"/>
  <c r="F65" i="13" s="1"/>
  <c r="L64" i="13"/>
  <c r="E64" i="13"/>
  <c r="F64" i="13" s="1"/>
  <c r="I63" i="13"/>
  <c r="E62" i="13"/>
  <c r="F62" i="13" s="1"/>
  <c r="K61" i="13"/>
  <c r="L60" i="13"/>
  <c r="I60" i="13"/>
  <c r="I61" i="13" s="1"/>
  <c r="F60" i="13"/>
  <c r="K58" i="13"/>
  <c r="F58" i="13"/>
  <c r="L57" i="13"/>
  <c r="L58" i="13" s="1"/>
  <c r="F57" i="13"/>
  <c r="K55" i="13"/>
  <c r="E55" i="13"/>
  <c r="F55" i="13" s="1"/>
  <c r="L54" i="13"/>
  <c r="L55" i="13" s="1"/>
  <c r="I54" i="13"/>
  <c r="I55" i="13" s="1"/>
  <c r="E53" i="13"/>
  <c r="F53" i="13" s="1"/>
  <c r="K52" i="13"/>
  <c r="E52" i="13"/>
  <c r="F52" i="13"/>
  <c r="L51" i="13"/>
  <c r="L52" i="13" s="1"/>
  <c r="E51" i="13"/>
  <c r="F51" i="13" s="1"/>
  <c r="L49" i="13"/>
  <c r="K49" i="13"/>
  <c r="E49" i="13"/>
  <c r="F49" i="13" s="1"/>
  <c r="I48" i="13"/>
  <c r="M48" i="13" s="1"/>
  <c r="E48" i="13"/>
  <c r="F48" i="13" s="1"/>
  <c r="K46" i="13"/>
  <c r="L45" i="13"/>
  <c r="L46" i="13" s="1"/>
  <c r="K43" i="13"/>
  <c r="L42" i="13"/>
  <c r="L43" i="13" s="1"/>
  <c r="E42" i="13"/>
  <c r="E43" i="13" s="1"/>
  <c r="E41" i="13"/>
  <c r="F41" i="13" s="1"/>
  <c r="E40" i="13"/>
  <c r="F40" i="13" s="1"/>
  <c r="L39" i="13"/>
  <c r="M39" i="13" s="1"/>
  <c r="R39" i="13" s="1"/>
  <c r="I38" i="13"/>
  <c r="M38" i="13" s="1"/>
  <c r="L36" i="13"/>
  <c r="F36" i="13"/>
  <c r="I42" i="13"/>
  <c r="L33" i="13"/>
  <c r="F32" i="13"/>
  <c r="L28" i="13"/>
  <c r="L29" i="13" s="1"/>
  <c r="F28" i="13"/>
  <c r="F27" i="13"/>
  <c r="L26" i="13"/>
  <c r="F26" i="13"/>
  <c r="I25" i="13"/>
  <c r="I26" i="13" s="1"/>
  <c r="M26" i="13" s="1"/>
  <c r="K23" i="13"/>
  <c r="L23" i="13" s="1"/>
  <c r="F23" i="13"/>
  <c r="L22" i="13"/>
  <c r="I22" i="13"/>
  <c r="I23" i="13" s="1"/>
  <c r="K20" i="13"/>
  <c r="L20" i="13" s="1"/>
  <c r="E20" i="13"/>
  <c r="F20" i="13" s="1"/>
  <c r="L19" i="13"/>
  <c r="E17" i="13"/>
  <c r="F17" i="13"/>
  <c r="I16" i="13"/>
  <c r="M16" i="13" s="1"/>
  <c r="C15" i="13"/>
  <c r="F15" i="13" s="1"/>
  <c r="K14" i="13"/>
  <c r="L14" i="13" s="1"/>
  <c r="L13" i="13"/>
  <c r="E12" i="13"/>
  <c r="F12" i="13" s="1"/>
  <c r="E11" i="13"/>
  <c r="F11" i="13" s="1"/>
  <c r="K9" i="13"/>
  <c r="E9" i="13"/>
  <c r="C9" i="13"/>
  <c r="I13" i="13" s="1"/>
  <c r="K7" i="13"/>
  <c r="L7" i="13" s="1"/>
  <c r="L6" i="13"/>
  <c r="C6" i="13"/>
  <c r="F6" i="13" s="1"/>
  <c r="I5" i="13"/>
  <c r="C88" i="7"/>
  <c r="C52" i="12"/>
  <c r="C48" i="12"/>
  <c r="C38" i="12"/>
  <c r="C36" i="12"/>
  <c r="C35" i="12"/>
  <c r="C30" i="12"/>
  <c r="C23" i="12"/>
  <c r="C18" i="12"/>
  <c r="C17" i="12"/>
  <c r="C14" i="12"/>
  <c r="C15" i="12" s="1"/>
  <c r="F15" i="12" s="1"/>
  <c r="C5" i="12"/>
  <c r="E94" i="12"/>
  <c r="F94" i="12" s="1"/>
  <c r="E93" i="12"/>
  <c r="F93" i="12"/>
  <c r="E92" i="12"/>
  <c r="F92" i="12" s="1"/>
  <c r="E91" i="12"/>
  <c r="F91" i="12" s="1"/>
  <c r="E90" i="12"/>
  <c r="F90" i="12" s="1"/>
  <c r="E89" i="12"/>
  <c r="F89" i="12" s="1"/>
  <c r="E88" i="12"/>
  <c r="F88" i="12" s="1"/>
  <c r="E87" i="12"/>
  <c r="F87" i="12" s="1"/>
  <c r="E85" i="12"/>
  <c r="F85" i="12" s="1"/>
  <c r="E84" i="12"/>
  <c r="F84" i="12" s="1"/>
  <c r="E83" i="12"/>
  <c r="F83" i="12" s="1"/>
  <c r="L82" i="12"/>
  <c r="E82" i="12"/>
  <c r="F82" i="12" s="1"/>
  <c r="I81" i="12"/>
  <c r="M81" i="12" s="1"/>
  <c r="E81" i="12"/>
  <c r="F81" i="12" s="1"/>
  <c r="E80" i="12"/>
  <c r="F80" i="12" s="1"/>
  <c r="L79" i="12"/>
  <c r="E79" i="12"/>
  <c r="F79" i="12" s="1"/>
  <c r="I78" i="12"/>
  <c r="E78" i="12"/>
  <c r="F78" i="12" s="1"/>
  <c r="E77" i="12"/>
  <c r="F77" i="12" s="1"/>
  <c r="L76" i="12"/>
  <c r="E76" i="12"/>
  <c r="F76" i="12" s="1"/>
  <c r="I75" i="12"/>
  <c r="M75" i="12" s="1"/>
  <c r="E74" i="12"/>
  <c r="F74" i="12" s="1"/>
  <c r="E73" i="12"/>
  <c r="F73" i="12" s="1"/>
  <c r="L72" i="12"/>
  <c r="E72" i="12"/>
  <c r="F72" i="12" s="1"/>
  <c r="E71" i="12"/>
  <c r="F71" i="12" s="1"/>
  <c r="L70" i="12"/>
  <c r="I69" i="12"/>
  <c r="E69" i="12"/>
  <c r="F69" i="12" s="1"/>
  <c r="E68" i="12"/>
  <c r="F68" i="12" s="1"/>
  <c r="L67" i="12"/>
  <c r="E67" i="12"/>
  <c r="I72" i="12"/>
  <c r="I73" i="12" s="1"/>
  <c r="I66" i="12"/>
  <c r="M66" i="12" s="1"/>
  <c r="E66" i="12"/>
  <c r="F66" i="12" s="1"/>
  <c r="E65" i="12"/>
  <c r="F65" i="12" s="1"/>
  <c r="L64" i="12"/>
  <c r="E64" i="12"/>
  <c r="F64" i="12" s="1"/>
  <c r="I63" i="12"/>
  <c r="E62" i="12"/>
  <c r="F62" i="12" s="1"/>
  <c r="K61" i="12"/>
  <c r="L60" i="12"/>
  <c r="I60" i="12"/>
  <c r="I61" i="12" s="1"/>
  <c r="F60" i="12"/>
  <c r="K58" i="12"/>
  <c r="F58" i="12"/>
  <c r="L57" i="12"/>
  <c r="L58" i="12" s="1"/>
  <c r="F57" i="12"/>
  <c r="K55" i="12"/>
  <c r="E55" i="12"/>
  <c r="F55" i="12" s="1"/>
  <c r="L54" i="12"/>
  <c r="L55" i="12" s="1"/>
  <c r="E53" i="12"/>
  <c r="F53" i="12" s="1"/>
  <c r="K52" i="12"/>
  <c r="E52" i="12"/>
  <c r="L51" i="12"/>
  <c r="L52" i="12" s="1"/>
  <c r="E51" i="12"/>
  <c r="L49" i="12"/>
  <c r="K49" i="12"/>
  <c r="E49" i="12"/>
  <c r="I54" i="12"/>
  <c r="I55" i="12" s="1"/>
  <c r="I48" i="12"/>
  <c r="M48" i="12" s="1"/>
  <c r="E48" i="12"/>
  <c r="F48" i="12" s="1"/>
  <c r="K46" i="12"/>
  <c r="L45" i="12"/>
  <c r="L46" i="12" s="1"/>
  <c r="K43" i="12"/>
  <c r="C43" i="12"/>
  <c r="L42" i="12"/>
  <c r="L43" i="12" s="1"/>
  <c r="E42" i="12"/>
  <c r="E43" i="12" s="1"/>
  <c r="E41" i="12"/>
  <c r="F41" i="12" s="1"/>
  <c r="E40" i="12"/>
  <c r="F40" i="12" s="1"/>
  <c r="L39" i="12"/>
  <c r="M39" i="12" s="1"/>
  <c r="R39" i="12" s="1"/>
  <c r="I38" i="12"/>
  <c r="M38" i="12" s="1"/>
  <c r="I45" i="12"/>
  <c r="L36" i="12"/>
  <c r="F36" i="12"/>
  <c r="I35" i="12"/>
  <c r="M35" i="12" s="1"/>
  <c r="I42" i="12"/>
  <c r="I43" i="12" s="1"/>
  <c r="L33" i="12"/>
  <c r="I32" i="12"/>
  <c r="M32" i="12" s="1"/>
  <c r="F32" i="12"/>
  <c r="F30" i="12"/>
  <c r="L28" i="12"/>
  <c r="L29" i="12" s="1"/>
  <c r="F28" i="12"/>
  <c r="F27" i="12"/>
  <c r="L26" i="12"/>
  <c r="F26" i="12"/>
  <c r="I25" i="12"/>
  <c r="K23" i="12"/>
  <c r="L23" i="12" s="1"/>
  <c r="F23" i="12"/>
  <c r="L22" i="12"/>
  <c r="C22" i="12"/>
  <c r="I28" i="12" s="1"/>
  <c r="I29" i="12" s="1"/>
  <c r="K20" i="12"/>
  <c r="L20" i="12" s="1"/>
  <c r="E20" i="12"/>
  <c r="F20" i="12" s="1"/>
  <c r="L19" i="12"/>
  <c r="F18" i="12"/>
  <c r="E17" i="12"/>
  <c r="F17" i="12" s="1"/>
  <c r="I22" i="12"/>
  <c r="I16" i="12"/>
  <c r="M16" i="12" s="1"/>
  <c r="K14" i="12"/>
  <c r="L14" i="12" s="1"/>
  <c r="C46" i="12"/>
  <c r="F46" i="12" s="1"/>
  <c r="L13" i="12"/>
  <c r="E12" i="12"/>
  <c r="F12" i="12" s="1"/>
  <c r="E11" i="12"/>
  <c r="F11" i="12" s="1"/>
  <c r="K9" i="12"/>
  <c r="L9" i="12" s="1"/>
  <c r="E9" i="12"/>
  <c r="C9" i="12"/>
  <c r="I13" i="12" s="1"/>
  <c r="I14" i="12" s="1"/>
  <c r="K7" i="12"/>
  <c r="L7" i="12" s="1"/>
  <c r="L6" i="12"/>
  <c r="C6" i="12"/>
  <c r="I5" i="12"/>
  <c r="I7" i="12" s="1"/>
  <c r="F5" i="12"/>
  <c r="E118" i="6"/>
  <c r="E117" i="6"/>
  <c r="E116" i="6"/>
  <c r="F116" i="6" s="1"/>
  <c r="E115" i="6"/>
  <c r="F115" i="6" s="1"/>
  <c r="E114" i="6"/>
  <c r="F114" i="6" s="1"/>
  <c r="E113" i="6"/>
  <c r="E112" i="6"/>
  <c r="E111" i="6"/>
  <c r="E108" i="6"/>
  <c r="E107" i="6"/>
  <c r="E106" i="6"/>
  <c r="F106" i="6" s="1"/>
  <c r="E105" i="6"/>
  <c r="E104" i="6"/>
  <c r="F104" i="6" s="1"/>
  <c r="E103" i="6"/>
  <c r="E102" i="6"/>
  <c r="E101" i="6"/>
  <c r="E100" i="6"/>
  <c r="E99" i="6"/>
  <c r="E96" i="6"/>
  <c r="E95" i="6"/>
  <c r="E94" i="6"/>
  <c r="E93" i="6"/>
  <c r="E90" i="6"/>
  <c r="E89" i="6"/>
  <c r="E88" i="6"/>
  <c r="E87" i="6"/>
  <c r="E86" i="6"/>
  <c r="E85" i="6"/>
  <c r="E82" i="6"/>
  <c r="E72" i="6"/>
  <c r="E69" i="6"/>
  <c r="E68" i="6"/>
  <c r="E67" i="6"/>
  <c r="E64" i="6"/>
  <c r="E63" i="6"/>
  <c r="E55" i="6"/>
  <c r="F55" i="6" s="1"/>
  <c r="E54" i="6"/>
  <c r="E53" i="6"/>
  <c r="E26" i="6"/>
  <c r="E22" i="6"/>
  <c r="E15" i="6"/>
  <c r="F15" i="6" s="1"/>
  <c r="E14" i="6"/>
  <c r="E11" i="6"/>
  <c r="L82" i="10"/>
  <c r="L79" i="10"/>
  <c r="I78" i="10"/>
  <c r="I79" i="10" s="1"/>
  <c r="L76" i="10"/>
  <c r="I75" i="10"/>
  <c r="M75" i="10" s="1"/>
  <c r="L72" i="10"/>
  <c r="L73" i="10" s="1"/>
  <c r="L70" i="10"/>
  <c r="I69" i="10"/>
  <c r="I70" i="10" s="1"/>
  <c r="L67" i="10"/>
  <c r="I66" i="10"/>
  <c r="M66" i="10" s="1"/>
  <c r="L64" i="10"/>
  <c r="I63" i="10"/>
  <c r="M63" i="10" s="1"/>
  <c r="K61" i="10"/>
  <c r="L60" i="10"/>
  <c r="I60" i="10"/>
  <c r="I61" i="10" s="1"/>
  <c r="K58" i="10"/>
  <c r="L57" i="10"/>
  <c r="L58" i="10" s="1"/>
  <c r="K55" i="10"/>
  <c r="L54" i="10"/>
  <c r="L55" i="10" s="1"/>
  <c r="K52" i="10"/>
  <c r="L51" i="10"/>
  <c r="L49" i="10"/>
  <c r="K49" i="10"/>
  <c r="I48" i="10"/>
  <c r="I49" i="10" s="1"/>
  <c r="K46" i="10"/>
  <c r="L45" i="10"/>
  <c r="K43" i="10"/>
  <c r="L42" i="10"/>
  <c r="L43" i="10" s="1"/>
  <c r="L39" i="10"/>
  <c r="M39" i="10" s="1"/>
  <c r="P39" i="10" s="1"/>
  <c r="I38" i="10"/>
  <c r="M38" i="10" s="1"/>
  <c r="L36" i="10"/>
  <c r="I35" i="10"/>
  <c r="M35" i="10" s="1"/>
  <c r="L33" i="10"/>
  <c r="I32" i="10"/>
  <c r="I33" i="10" s="1"/>
  <c r="L28" i="10"/>
  <c r="L29" i="10" s="1"/>
  <c r="L26" i="10"/>
  <c r="I25" i="10"/>
  <c r="I26" i="10" s="1"/>
  <c r="K23" i="10"/>
  <c r="L23" i="10" s="1"/>
  <c r="L22" i="10"/>
  <c r="K20" i="10"/>
  <c r="L20" i="10" s="1"/>
  <c r="L19" i="10"/>
  <c r="I16" i="10"/>
  <c r="M16" i="10" s="1"/>
  <c r="K14" i="10"/>
  <c r="L14" i="10" s="1"/>
  <c r="L13" i="10"/>
  <c r="K9" i="10"/>
  <c r="L9" i="10" s="1"/>
  <c r="K7" i="10"/>
  <c r="L7" i="10" s="1"/>
  <c r="L6" i="10"/>
  <c r="C75" i="9"/>
  <c r="C76" i="9" s="1"/>
  <c r="C66" i="9"/>
  <c r="C63" i="9"/>
  <c r="C64" i="9" s="1"/>
  <c r="C60" i="9"/>
  <c r="C61" i="9" s="1"/>
  <c r="C38" i="9"/>
  <c r="C32" i="9"/>
  <c r="C33" i="9" s="1"/>
  <c r="G33" i="9" s="1"/>
  <c r="C16" i="9"/>
  <c r="C48" i="9"/>
  <c r="G48" i="9" s="1"/>
  <c r="C35" i="9"/>
  <c r="C78" i="9"/>
  <c r="C69" i="9"/>
  <c r="C70" i="9" s="1"/>
  <c r="C25" i="9"/>
  <c r="F82" i="9"/>
  <c r="F79" i="9"/>
  <c r="F72" i="9"/>
  <c r="F73" i="9"/>
  <c r="F70" i="9"/>
  <c r="F67" i="9"/>
  <c r="E61" i="9"/>
  <c r="F60" i="9"/>
  <c r="E58" i="9"/>
  <c r="F57" i="9"/>
  <c r="E55" i="9"/>
  <c r="F54" i="9"/>
  <c r="E52" i="9"/>
  <c r="F51" i="9"/>
  <c r="F49" i="9"/>
  <c r="E49" i="9"/>
  <c r="E46" i="9"/>
  <c r="F45" i="9"/>
  <c r="E43" i="9"/>
  <c r="F42" i="9"/>
  <c r="F39" i="9"/>
  <c r="G39" i="9"/>
  <c r="G38" i="9"/>
  <c r="F36" i="9"/>
  <c r="F33" i="9"/>
  <c r="G32" i="9"/>
  <c r="F28" i="9"/>
  <c r="F29" i="9"/>
  <c r="F26" i="9"/>
  <c r="E23" i="9"/>
  <c r="F23" i="9" s="1"/>
  <c r="F22" i="9"/>
  <c r="F19" i="9"/>
  <c r="E20" i="9"/>
  <c r="F20" i="9" s="1"/>
  <c r="E14" i="9"/>
  <c r="F14" i="9" s="1"/>
  <c r="F13" i="9"/>
  <c r="F6" i="9"/>
  <c r="E9" i="9"/>
  <c r="E7" i="9"/>
  <c r="F7" i="9" s="1"/>
  <c r="G1" i="9"/>
  <c r="C43" i="10"/>
  <c r="C56" i="6"/>
  <c r="E94" i="10"/>
  <c r="F94" i="10" s="1"/>
  <c r="E93" i="10"/>
  <c r="C93" i="10"/>
  <c r="E92" i="10"/>
  <c r="F92" i="10" s="1"/>
  <c r="E91" i="10"/>
  <c r="F91" i="10" s="1"/>
  <c r="E90" i="10"/>
  <c r="F90" i="10" s="1"/>
  <c r="E89" i="10"/>
  <c r="F89" i="10" s="1"/>
  <c r="E88" i="10"/>
  <c r="F88" i="10" s="1"/>
  <c r="E87" i="10"/>
  <c r="F87" i="10" s="1"/>
  <c r="E85" i="10"/>
  <c r="F85" i="10" s="1"/>
  <c r="E84" i="10"/>
  <c r="F84" i="10" s="1"/>
  <c r="E83" i="10"/>
  <c r="F83" i="10" s="1"/>
  <c r="E82" i="10"/>
  <c r="F82" i="10" s="1"/>
  <c r="E81" i="10"/>
  <c r="F81" i="10" s="1"/>
  <c r="E80" i="10"/>
  <c r="F80" i="10" s="1"/>
  <c r="E79" i="10"/>
  <c r="F79" i="10" s="1"/>
  <c r="E78" i="10"/>
  <c r="F78" i="10" s="1"/>
  <c r="E77" i="10"/>
  <c r="F77" i="10" s="1"/>
  <c r="E76" i="10"/>
  <c r="F76" i="10" s="1"/>
  <c r="E74" i="10"/>
  <c r="F74" i="10" s="1"/>
  <c r="E73" i="10"/>
  <c r="F73" i="10" s="1"/>
  <c r="E72" i="10"/>
  <c r="F72" i="10" s="1"/>
  <c r="E71" i="10"/>
  <c r="F71" i="10" s="1"/>
  <c r="E69" i="10"/>
  <c r="F69" i="10" s="1"/>
  <c r="E68" i="10"/>
  <c r="F68" i="10" s="1"/>
  <c r="E67" i="10"/>
  <c r="C67" i="10"/>
  <c r="E66" i="10"/>
  <c r="F66" i="10" s="1"/>
  <c r="E65" i="10"/>
  <c r="F65" i="10" s="1"/>
  <c r="E64" i="10"/>
  <c r="F64" i="10" s="1"/>
  <c r="E62" i="10"/>
  <c r="F62" i="10" s="1"/>
  <c r="F60" i="10"/>
  <c r="F58" i="10"/>
  <c r="F57" i="10"/>
  <c r="E55" i="10"/>
  <c r="F55" i="10" s="1"/>
  <c r="E53" i="10"/>
  <c r="F53" i="10" s="1"/>
  <c r="E52" i="10"/>
  <c r="C52" i="10"/>
  <c r="E51" i="10"/>
  <c r="F51" i="10" s="1"/>
  <c r="E49" i="10"/>
  <c r="C49" i="10"/>
  <c r="E48" i="10"/>
  <c r="F48" i="10" s="1"/>
  <c r="E42" i="10"/>
  <c r="E41" i="10"/>
  <c r="F41" i="10" s="1"/>
  <c r="E40" i="10"/>
  <c r="F40" i="10" s="1"/>
  <c r="C38" i="10"/>
  <c r="C36" i="10"/>
  <c r="C35" i="10"/>
  <c r="F32" i="10"/>
  <c r="F30" i="10"/>
  <c r="F28" i="10"/>
  <c r="F27" i="10"/>
  <c r="F26" i="10"/>
  <c r="C23" i="10"/>
  <c r="C22" i="10"/>
  <c r="E20" i="10"/>
  <c r="F20" i="10" s="1"/>
  <c r="F18" i="10"/>
  <c r="E17" i="10"/>
  <c r="C17" i="10"/>
  <c r="C15" i="10"/>
  <c r="C14" i="10"/>
  <c r="E12" i="10"/>
  <c r="F12" i="10" s="1"/>
  <c r="E11" i="10"/>
  <c r="F11" i="10" s="1"/>
  <c r="E9" i="10"/>
  <c r="C9" i="10"/>
  <c r="C6" i="10"/>
  <c r="C5" i="10"/>
  <c r="N11" i="9"/>
  <c r="N12" i="9" s="1"/>
  <c r="C8" i="8"/>
  <c r="C7" i="8"/>
  <c r="C8" i="7"/>
  <c r="C7" i="7"/>
  <c r="C8" i="6"/>
  <c r="C7" i="6"/>
  <c r="C6" i="8"/>
  <c r="C5" i="8"/>
  <c r="C6" i="7"/>
  <c r="C5" i="7"/>
  <c r="C6" i="6"/>
  <c r="C5" i="6"/>
  <c r="K7" i="6"/>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B3" i="8"/>
  <c r="B120"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3" i="7"/>
  <c r="C30" i="6"/>
  <c r="C68" i="8"/>
  <c r="C67" i="8"/>
  <c r="C63" i="8"/>
  <c r="C55" i="8"/>
  <c r="C50" i="8"/>
  <c r="C46" i="8"/>
  <c r="C39" i="8"/>
  <c r="C35" i="8"/>
  <c r="C30" i="8"/>
  <c r="C23" i="8"/>
  <c r="C22" i="8"/>
  <c r="C18" i="8"/>
  <c r="F119" i="8"/>
  <c r="E118" i="8"/>
  <c r="F118" i="8" s="1"/>
  <c r="E117" i="8"/>
  <c r="C117" i="8"/>
  <c r="F117" i="8" s="1"/>
  <c r="E116" i="8"/>
  <c r="F116" i="8" s="1"/>
  <c r="E115" i="8"/>
  <c r="F115" i="8" s="1"/>
  <c r="E114" i="8"/>
  <c r="F114" i="8" s="1"/>
  <c r="E113" i="8"/>
  <c r="F113" i="8" s="1"/>
  <c r="E112" i="8"/>
  <c r="F112" i="8" s="1"/>
  <c r="E111" i="8"/>
  <c r="F111" i="8" s="1"/>
  <c r="F109" i="8"/>
  <c r="E108" i="8"/>
  <c r="F108" i="8" s="1"/>
  <c r="E107" i="8"/>
  <c r="F107" i="8" s="1"/>
  <c r="E106" i="8"/>
  <c r="F106" i="8" s="1"/>
  <c r="E105" i="8"/>
  <c r="F105" i="8" s="1"/>
  <c r="E104" i="8"/>
  <c r="F104" i="8" s="1"/>
  <c r="E103" i="8"/>
  <c r="F103" i="8" s="1"/>
  <c r="E102" i="8"/>
  <c r="F102" i="8" s="1"/>
  <c r="E101" i="8"/>
  <c r="F101" i="8" s="1"/>
  <c r="E100" i="8"/>
  <c r="F100" i="8" s="1"/>
  <c r="E99" i="8"/>
  <c r="F99" i="8" s="1"/>
  <c r="F97" i="8"/>
  <c r="E96" i="8"/>
  <c r="F96" i="8" s="1"/>
  <c r="E95" i="8"/>
  <c r="F95" i="8" s="1"/>
  <c r="E94" i="8"/>
  <c r="F94" i="8" s="1"/>
  <c r="E93" i="8"/>
  <c r="F93" i="8" s="1"/>
  <c r="F91" i="8"/>
  <c r="E90" i="8"/>
  <c r="F90" i="8" s="1"/>
  <c r="E89" i="8"/>
  <c r="F89" i="8" s="1"/>
  <c r="E88" i="8"/>
  <c r="C88" i="8"/>
  <c r="F88" i="8" s="1"/>
  <c r="E87" i="8"/>
  <c r="F87" i="8" s="1"/>
  <c r="E86" i="8"/>
  <c r="F86" i="8" s="1"/>
  <c r="E85" i="8"/>
  <c r="F85" i="8" s="1"/>
  <c r="C83" i="8"/>
  <c r="F83" i="8" s="1"/>
  <c r="E82" i="8"/>
  <c r="F82" i="8" s="1"/>
  <c r="F80" i="8"/>
  <c r="F79" i="8"/>
  <c r="C77" i="8"/>
  <c r="F77" i="8" s="1"/>
  <c r="F76" i="8"/>
  <c r="F75" i="8"/>
  <c r="C73" i="8"/>
  <c r="F73" i="8" s="1"/>
  <c r="E72" i="8"/>
  <c r="F72" i="8" s="1"/>
  <c r="E69" i="8"/>
  <c r="F69" i="8" s="1"/>
  <c r="E68" i="8"/>
  <c r="E67" i="8"/>
  <c r="F67" i="8" s="1"/>
  <c r="E64" i="8"/>
  <c r="E63" i="8"/>
  <c r="C57" i="8"/>
  <c r="F57" i="8" s="1"/>
  <c r="E55" i="8"/>
  <c r="E54" i="8"/>
  <c r="F54" i="8" s="1"/>
  <c r="E53" i="8"/>
  <c r="F53" i="8" s="1"/>
  <c r="C47" i="8"/>
  <c r="F47" i="8" s="1"/>
  <c r="F43" i="8"/>
  <c r="F42" i="8"/>
  <c r="F40" i="8"/>
  <c r="F39" i="8"/>
  <c r="F37" i="8"/>
  <c r="F36" i="8"/>
  <c r="F35" i="8"/>
  <c r="F34" i="8"/>
  <c r="F30" i="8"/>
  <c r="F27" i="8"/>
  <c r="E26" i="8"/>
  <c r="F26" i="8" s="1"/>
  <c r="E22" i="8"/>
  <c r="C16" i="8"/>
  <c r="E15" i="8"/>
  <c r="F15" i="8" s="1"/>
  <c r="E14" i="8"/>
  <c r="F14" i="8" s="1"/>
  <c r="C12" i="8"/>
  <c r="F12" i="8" s="1"/>
  <c r="E11" i="8"/>
  <c r="C11" i="8"/>
  <c r="F11" i="8" s="1"/>
  <c r="F8" i="8"/>
  <c r="F7" i="8"/>
  <c r="F6" i="8"/>
  <c r="J6" i="6" s="1"/>
  <c r="J8" i="6" s="1"/>
  <c r="F5" i="8"/>
  <c r="C63" i="7"/>
  <c r="C50" i="7"/>
  <c r="C51" i="7" s="1"/>
  <c r="C46" i="7"/>
  <c r="C39" i="7"/>
  <c r="C30" i="7"/>
  <c r="C23" i="7"/>
  <c r="C22" i="7"/>
  <c r="C22" i="6"/>
  <c r="C18" i="7"/>
  <c r="F119" i="7"/>
  <c r="E118" i="7"/>
  <c r="F118" i="7" s="1"/>
  <c r="E117" i="7"/>
  <c r="C117" i="7"/>
  <c r="F117" i="7" s="1"/>
  <c r="E116" i="7"/>
  <c r="F116" i="7" s="1"/>
  <c r="E115" i="7"/>
  <c r="F115" i="7" s="1"/>
  <c r="E114" i="7"/>
  <c r="F114" i="7" s="1"/>
  <c r="E113" i="7"/>
  <c r="F113" i="7" s="1"/>
  <c r="E112" i="7"/>
  <c r="F112" i="7" s="1"/>
  <c r="E111" i="7"/>
  <c r="F111" i="7" s="1"/>
  <c r="F109" i="7"/>
  <c r="E108" i="7"/>
  <c r="F108" i="7" s="1"/>
  <c r="E107" i="7"/>
  <c r="F107" i="7" s="1"/>
  <c r="E106" i="7"/>
  <c r="F106" i="7" s="1"/>
  <c r="E105" i="7"/>
  <c r="F105" i="7" s="1"/>
  <c r="E104" i="7"/>
  <c r="F104" i="7" s="1"/>
  <c r="E103" i="7"/>
  <c r="F103" i="7" s="1"/>
  <c r="E102" i="7"/>
  <c r="F102" i="7" s="1"/>
  <c r="E101" i="7"/>
  <c r="F101" i="7" s="1"/>
  <c r="E100" i="7"/>
  <c r="F100" i="7" s="1"/>
  <c r="E99" i="7"/>
  <c r="F99" i="7" s="1"/>
  <c r="F97" i="7"/>
  <c r="E96" i="7"/>
  <c r="F96" i="7" s="1"/>
  <c r="E95" i="7"/>
  <c r="F95" i="7" s="1"/>
  <c r="E94" i="7"/>
  <c r="F94" i="7" s="1"/>
  <c r="E93" i="7"/>
  <c r="F93" i="7" s="1"/>
  <c r="F91" i="7"/>
  <c r="E90" i="7"/>
  <c r="F90" i="7" s="1"/>
  <c r="E89" i="7"/>
  <c r="F89" i="7" s="1"/>
  <c r="E88" i="7"/>
  <c r="F88" i="7"/>
  <c r="E87" i="7"/>
  <c r="F87" i="7" s="1"/>
  <c r="E86" i="7"/>
  <c r="F86" i="7" s="1"/>
  <c r="E85" i="7"/>
  <c r="F85" i="7" s="1"/>
  <c r="C83" i="7"/>
  <c r="F83" i="7" s="1"/>
  <c r="E82" i="7"/>
  <c r="F82" i="7" s="1"/>
  <c r="F80" i="7"/>
  <c r="F79" i="7"/>
  <c r="C77" i="7"/>
  <c r="F77" i="7" s="1"/>
  <c r="F76" i="7"/>
  <c r="F75" i="7"/>
  <c r="C73" i="7"/>
  <c r="F73" i="7" s="1"/>
  <c r="E72" i="7"/>
  <c r="F72" i="7" s="1"/>
  <c r="E69" i="7"/>
  <c r="F69" i="7" s="1"/>
  <c r="E68" i="7"/>
  <c r="C68" i="7"/>
  <c r="E67" i="7"/>
  <c r="F67" i="7" s="1"/>
  <c r="E64" i="7"/>
  <c r="C64" i="7"/>
  <c r="E63" i="7"/>
  <c r="F63" i="7" s="1"/>
  <c r="C57" i="7"/>
  <c r="F57" i="7" s="1"/>
  <c r="E55" i="7"/>
  <c r="E54" i="7"/>
  <c r="F54" i="7" s="1"/>
  <c r="E53" i="7"/>
  <c r="F53" i="7" s="1"/>
  <c r="F51" i="7"/>
  <c r="C47" i="7"/>
  <c r="F47" i="7" s="1"/>
  <c r="F43" i="7"/>
  <c r="F42" i="7"/>
  <c r="F40" i="7"/>
  <c r="F39" i="7"/>
  <c r="F37" i="7"/>
  <c r="F36" i="7"/>
  <c r="F35" i="7"/>
  <c r="F34" i="7"/>
  <c r="F30" i="7"/>
  <c r="C29" i="7"/>
  <c r="F27" i="7"/>
  <c r="E26" i="7"/>
  <c r="F26" i="7" s="1"/>
  <c r="F23" i="7"/>
  <c r="E22" i="7"/>
  <c r="C16" i="7"/>
  <c r="C56" i="7" s="1"/>
  <c r="E15" i="7"/>
  <c r="F15" i="7" s="1"/>
  <c r="E14" i="7"/>
  <c r="F14" i="7" s="1"/>
  <c r="C12" i="7"/>
  <c r="F12" i="7" s="1"/>
  <c r="E11" i="7"/>
  <c r="C11" i="7"/>
  <c r="F11" i="7" s="1"/>
  <c r="F8" i="7"/>
  <c r="F7" i="7"/>
  <c r="F6" i="7"/>
  <c r="I6" i="6" s="1"/>
  <c r="I8" i="6" s="1"/>
  <c r="F5" i="7"/>
  <c r="C83" i="6"/>
  <c r="C77" i="6"/>
  <c r="F80" i="6"/>
  <c r="F79" i="6"/>
  <c r="F77" i="6"/>
  <c r="F76" i="6"/>
  <c r="F75" i="6"/>
  <c r="F83" i="6"/>
  <c r="F82" i="6"/>
  <c r="F119" i="6"/>
  <c r="F118" i="6"/>
  <c r="C117" i="6"/>
  <c r="F113" i="6"/>
  <c r="F112" i="6"/>
  <c r="F111" i="6"/>
  <c r="F109" i="6"/>
  <c r="F108" i="6"/>
  <c r="F107" i="6"/>
  <c r="F97" i="6"/>
  <c r="F91" i="6"/>
  <c r="C88" i="6"/>
  <c r="C73" i="6"/>
  <c r="F73" i="6" s="1"/>
  <c r="F72" i="6"/>
  <c r="F69" i="6"/>
  <c r="F67" i="6"/>
  <c r="C68" i="6"/>
  <c r="C64" i="6"/>
  <c r="C57" i="6"/>
  <c r="F57" i="6" s="1"/>
  <c r="C51" i="6"/>
  <c r="F51" i="6" s="1"/>
  <c r="C50" i="6"/>
  <c r="F50" i="6" s="1"/>
  <c r="C47" i="6"/>
  <c r="F47" i="6" s="1"/>
  <c r="C46" i="6"/>
  <c r="F43" i="6"/>
  <c r="F42" i="6"/>
  <c r="F40" i="6"/>
  <c r="F39" i="6"/>
  <c r="F37" i="6"/>
  <c r="F36" i="6"/>
  <c r="F35" i="6"/>
  <c r="F34" i="6"/>
  <c r="F30" i="6"/>
  <c r="C29" i="6"/>
  <c r="F29" i="6" s="1"/>
  <c r="F27" i="6"/>
  <c r="F23" i="6"/>
  <c r="C24" i="6"/>
  <c r="F24" i="6" s="1"/>
  <c r="C20" i="6"/>
  <c r="F20" i="6" s="1"/>
  <c r="C19" i="6"/>
  <c r="F19" i="6" s="1"/>
  <c r="C18" i="6"/>
  <c r="F18" i="6" s="1"/>
  <c r="C16" i="6"/>
  <c r="F16" i="6" s="1"/>
  <c r="F14" i="6"/>
  <c r="C12" i="6"/>
  <c r="F12" i="6" s="1"/>
  <c r="C11" i="6"/>
  <c r="F8" i="6"/>
  <c r="F7" i="6"/>
  <c r="F6" i="6"/>
  <c r="H6" i="6" s="1"/>
  <c r="H8" i="6" s="1"/>
  <c r="K8" i="6" s="1"/>
  <c r="K9" i="6" s="1"/>
  <c r="F5" i="6"/>
  <c r="I57" i="4"/>
  <c r="I56" i="4"/>
  <c r="I55" i="4"/>
  <c r="I54" i="4"/>
  <c r="I53" i="4"/>
  <c r="I51" i="4"/>
  <c r="I49" i="4"/>
  <c r="I48" i="4"/>
  <c r="I47" i="4"/>
  <c r="I46" i="4"/>
  <c r="I45" i="4"/>
  <c r="I44" i="4"/>
  <c r="I43" i="4"/>
  <c r="I42" i="4"/>
  <c r="I41" i="4"/>
  <c r="I40" i="4"/>
  <c r="I39" i="4"/>
  <c r="I38" i="4"/>
  <c r="F54" i="6" s="1"/>
  <c r="I37" i="4"/>
  <c r="F53" i="6" s="1"/>
  <c r="I36" i="4"/>
  <c r="F86" i="6" s="1"/>
  <c r="I35" i="4"/>
  <c r="F85" i="6" s="1"/>
  <c r="I34" i="4"/>
  <c r="I33" i="4"/>
  <c r="I32" i="4"/>
  <c r="I31" i="4"/>
  <c r="I30" i="4"/>
  <c r="I29" i="4"/>
  <c r="I28" i="4"/>
  <c r="I27" i="4"/>
  <c r="I26" i="4"/>
  <c r="I25" i="4"/>
  <c r="I23" i="4"/>
  <c r="I22" i="4"/>
  <c r="I21" i="4"/>
  <c r="F96" i="6" s="1"/>
  <c r="I20" i="4"/>
  <c r="I19" i="4"/>
  <c r="I18" i="4"/>
  <c r="I17" i="4"/>
  <c r="I16" i="4"/>
  <c r="I14" i="4"/>
  <c r="F89" i="6" s="1"/>
  <c r="I13" i="4"/>
  <c r="I11" i="4"/>
  <c r="I8" i="4"/>
  <c r="F90" i="6" s="1"/>
  <c r="I7" i="4"/>
  <c r="I6" i="4"/>
  <c r="I5" i="4"/>
  <c r="K10" i="13" l="1"/>
  <c r="L10" i="13" s="1"/>
  <c r="L9" i="13"/>
  <c r="L61" i="13"/>
  <c r="M61" i="13" s="1"/>
  <c r="M60" i="13"/>
  <c r="R60" i="13" s="1"/>
  <c r="M63" i="13"/>
  <c r="I64" i="13"/>
  <c r="M64" i="13"/>
  <c r="I70" i="13"/>
  <c r="M69" i="13"/>
  <c r="M70" i="13"/>
  <c r="I76" i="13"/>
  <c r="M76" i="13" s="1"/>
  <c r="M75" i="13"/>
  <c r="I32" i="13"/>
  <c r="I33" i="13" s="1"/>
  <c r="C27" i="17"/>
  <c r="F27" i="17" s="1"/>
  <c r="C27" i="15"/>
  <c r="F27" i="15" s="1"/>
  <c r="I32" i="17"/>
  <c r="I33" i="17" s="1"/>
  <c r="F6" i="12"/>
  <c r="I8" i="12"/>
  <c r="I9" i="12" s="1"/>
  <c r="M7" i="12"/>
  <c r="M13" i="12"/>
  <c r="M25" i="12"/>
  <c r="I26" i="12"/>
  <c r="M26" i="12"/>
  <c r="L61" i="12"/>
  <c r="M61" i="12" s="1"/>
  <c r="M60" i="12"/>
  <c r="R60" i="12" s="1"/>
  <c r="M63" i="12"/>
  <c r="I64" i="12"/>
  <c r="M64" i="12"/>
  <c r="I70" i="12"/>
  <c r="M69" i="12"/>
  <c r="P69" i="12" s="1"/>
  <c r="M70" i="12"/>
  <c r="M78" i="12"/>
  <c r="I79" i="12"/>
  <c r="M79" i="12"/>
  <c r="C18" i="17"/>
  <c r="F18" i="17" s="1"/>
  <c r="C18" i="15"/>
  <c r="C30" i="17"/>
  <c r="F30" i="17" s="1"/>
  <c r="C30" i="15"/>
  <c r="I35" i="15" s="1"/>
  <c r="M35" i="15" s="1"/>
  <c r="R35" i="15" s="1"/>
  <c r="C48" i="17"/>
  <c r="C48" i="15"/>
  <c r="C5" i="9"/>
  <c r="C5" i="17"/>
  <c r="I5" i="17" s="1"/>
  <c r="C5" i="15"/>
  <c r="F5" i="15" s="1"/>
  <c r="F6" i="10"/>
  <c r="C6" i="17"/>
  <c r="F6" i="17" s="1"/>
  <c r="C6" i="15"/>
  <c r="C9" i="17"/>
  <c r="I13" i="17" s="1"/>
  <c r="I14" i="17" s="1"/>
  <c r="C9" i="15"/>
  <c r="I13" i="15" s="1"/>
  <c r="I14" i="15" s="1"/>
  <c r="I13" i="10"/>
  <c r="I14" i="10" s="1"/>
  <c r="I19" i="10"/>
  <c r="M19" i="10" s="1"/>
  <c r="C14" i="17"/>
  <c r="I19" i="17" s="1"/>
  <c r="C14" i="15"/>
  <c r="F14" i="15" s="1"/>
  <c r="F15" i="10"/>
  <c r="C15" i="17"/>
  <c r="F15" i="17" s="1"/>
  <c r="C15" i="15"/>
  <c r="C22" i="9"/>
  <c r="C23" i="9" s="1"/>
  <c r="C17" i="17"/>
  <c r="F17" i="17" s="1"/>
  <c r="C17" i="15"/>
  <c r="C28" i="9"/>
  <c r="C22" i="17"/>
  <c r="C22" i="15"/>
  <c r="F22" i="15" s="1"/>
  <c r="F23" i="10"/>
  <c r="C23" i="17"/>
  <c r="F23" i="17" s="1"/>
  <c r="C23" i="15"/>
  <c r="F23" i="15" s="1"/>
  <c r="C35" i="17"/>
  <c r="C35" i="15"/>
  <c r="F35" i="15" s="1"/>
  <c r="F36" i="10"/>
  <c r="C36" i="17"/>
  <c r="F36" i="17" s="1"/>
  <c r="C36" i="15"/>
  <c r="F36" i="15" s="1"/>
  <c r="C45" i="9"/>
  <c r="C46" i="9" s="1"/>
  <c r="C38" i="17"/>
  <c r="I45" i="17" s="1"/>
  <c r="I46" i="17" s="1"/>
  <c r="C38" i="15"/>
  <c r="I45" i="15" s="1"/>
  <c r="C54" i="9"/>
  <c r="C55" i="9" s="1"/>
  <c r="C49" i="17"/>
  <c r="F49" i="17" s="1"/>
  <c r="C49" i="15"/>
  <c r="I57" i="10"/>
  <c r="I58" i="10" s="1"/>
  <c r="C52" i="17"/>
  <c r="C52" i="15"/>
  <c r="F67" i="10"/>
  <c r="C67" i="17"/>
  <c r="C67" i="15"/>
  <c r="F93" i="10"/>
  <c r="C93" i="17"/>
  <c r="F93" i="17" s="1"/>
  <c r="C93" i="15"/>
  <c r="C43" i="17"/>
  <c r="C43" i="15"/>
  <c r="Q39" i="10"/>
  <c r="V39" i="10" s="1"/>
  <c r="U39" i="10"/>
  <c r="F93" i="15"/>
  <c r="F9" i="17"/>
  <c r="M61" i="17"/>
  <c r="F62" i="17"/>
  <c r="I69" i="17"/>
  <c r="I70" i="17" s="1"/>
  <c r="M70" i="17" s="1"/>
  <c r="M33" i="17"/>
  <c r="P33" i="17"/>
  <c r="Q33" i="17" s="1"/>
  <c r="R33" i="17"/>
  <c r="M14" i="17"/>
  <c r="F55" i="17"/>
  <c r="F64" i="17"/>
  <c r="F66" i="17"/>
  <c r="F68" i="17"/>
  <c r="F35" i="17"/>
  <c r="F43" i="17"/>
  <c r="I75" i="17"/>
  <c r="M75" i="17" s="1"/>
  <c r="R75" i="17" s="1"/>
  <c r="I81" i="17"/>
  <c r="I35" i="17"/>
  <c r="I36" i="17" s="1"/>
  <c r="F67" i="17"/>
  <c r="F71" i="17"/>
  <c r="F82" i="17"/>
  <c r="F20" i="17"/>
  <c r="F73" i="17"/>
  <c r="F12" i="17"/>
  <c r="F85" i="17"/>
  <c r="I78" i="17"/>
  <c r="F72" i="17"/>
  <c r="F84" i="17"/>
  <c r="I28" i="17"/>
  <c r="M28" i="17" s="1"/>
  <c r="I8" i="17"/>
  <c r="F22" i="17"/>
  <c r="M36" i="17"/>
  <c r="R36" i="17" s="1"/>
  <c r="F40" i="17"/>
  <c r="F42" i="17"/>
  <c r="F52" i="17"/>
  <c r="I22" i="17"/>
  <c r="I23" i="17" s="1"/>
  <c r="M23" i="17" s="1"/>
  <c r="F77" i="17"/>
  <c r="F83" i="17"/>
  <c r="F90" i="17"/>
  <c r="M13" i="17"/>
  <c r="R13" i="17" s="1"/>
  <c r="I54" i="17"/>
  <c r="M54" i="17" s="1"/>
  <c r="F81" i="17"/>
  <c r="F26" i="17"/>
  <c r="F57" i="17"/>
  <c r="I72" i="17"/>
  <c r="M72" i="17" s="1"/>
  <c r="F91" i="17"/>
  <c r="P61" i="17"/>
  <c r="U61" i="17" s="1"/>
  <c r="R61" i="17"/>
  <c r="I7" i="17"/>
  <c r="M7" i="17" s="1"/>
  <c r="I6" i="17"/>
  <c r="M19" i="17"/>
  <c r="I20" i="17"/>
  <c r="M20" i="17" s="1"/>
  <c r="M32" i="17"/>
  <c r="I82" i="17"/>
  <c r="M82" i="17" s="1"/>
  <c r="M81" i="17"/>
  <c r="M45" i="17"/>
  <c r="I26" i="17"/>
  <c r="M26" i="17" s="1"/>
  <c r="M25" i="17"/>
  <c r="M63" i="17"/>
  <c r="I64" i="17"/>
  <c r="P14" i="17"/>
  <c r="U14" i="17" s="1"/>
  <c r="R14" i="17"/>
  <c r="M64" i="17"/>
  <c r="M78" i="17"/>
  <c r="I79" i="17"/>
  <c r="M79" i="17" s="1"/>
  <c r="R70" i="17"/>
  <c r="P70" i="17"/>
  <c r="U70" i="17" s="1"/>
  <c r="I67" i="17"/>
  <c r="M67" i="17" s="1"/>
  <c r="M66" i="17"/>
  <c r="I57" i="17"/>
  <c r="I58" i="17" s="1"/>
  <c r="M58" i="17" s="1"/>
  <c r="F5" i="17"/>
  <c r="F38" i="17"/>
  <c r="L9" i="17"/>
  <c r="I38" i="17"/>
  <c r="F48" i="17"/>
  <c r="F60" i="17"/>
  <c r="M69" i="17"/>
  <c r="F76" i="17"/>
  <c r="F88" i="17"/>
  <c r="F14" i="17"/>
  <c r="I48" i="17"/>
  <c r="F65" i="17"/>
  <c r="I16" i="17"/>
  <c r="L46" i="17"/>
  <c r="M46" i="17" s="1"/>
  <c r="M60" i="17"/>
  <c r="F64" i="15"/>
  <c r="F82" i="15"/>
  <c r="F66" i="15"/>
  <c r="F52" i="15"/>
  <c r="V77" i="15"/>
  <c r="U80" i="15"/>
  <c r="F53" i="15"/>
  <c r="U68" i="15"/>
  <c r="I5" i="15"/>
  <c r="I7" i="15" s="1"/>
  <c r="M7" i="15" s="1"/>
  <c r="F40" i="15"/>
  <c r="I57" i="15"/>
  <c r="I58" i="15" s="1"/>
  <c r="M58" i="15" s="1"/>
  <c r="F73" i="15"/>
  <c r="I39" i="15"/>
  <c r="V11" i="15"/>
  <c r="F69" i="15"/>
  <c r="F17" i="15"/>
  <c r="F55" i="15"/>
  <c r="F85" i="15"/>
  <c r="V68" i="15"/>
  <c r="V74" i="15"/>
  <c r="V80" i="15"/>
  <c r="F84" i="15"/>
  <c r="F12" i="15"/>
  <c r="F68" i="15"/>
  <c r="V34" i="15"/>
  <c r="K10" i="15"/>
  <c r="L10" i="15" s="1"/>
  <c r="U53" i="15"/>
  <c r="U11" i="15"/>
  <c r="U31" i="15"/>
  <c r="F74" i="15"/>
  <c r="F83" i="15"/>
  <c r="M39" i="15"/>
  <c r="R39" i="15" s="1"/>
  <c r="F43" i="15"/>
  <c r="F67" i="15"/>
  <c r="F87" i="15"/>
  <c r="I22" i="15"/>
  <c r="M22" i="15" s="1"/>
  <c r="V27" i="15"/>
  <c r="V31" i="15"/>
  <c r="F88" i="15"/>
  <c r="F18" i="15"/>
  <c r="V24" i="15"/>
  <c r="F51" i="15"/>
  <c r="F76" i="15"/>
  <c r="F48" i="15"/>
  <c r="M67" i="15"/>
  <c r="R67" i="15" s="1"/>
  <c r="I75" i="15"/>
  <c r="I76" i="15" s="1"/>
  <c r="M69" i="15"/>
  <c r="R69" i="15" s="1"/>
  <c r="I78" i="15"/>
  <c r="M78" i="15" s="1"/>
  <c r="R78" i="15" s="1"/>
  <c r="V8" i="15"/>
  <c r="V40" i="15"/>
  <c r="V65" i="15"/>
  <c r="I60" i="15"/>
  <c r="M60" i="15" s="1"/>
  <c r="R60" i="15" s="1"/>
  <c r="F77" i="15"/>
  <c r="I72" i="15"/>
  <c r="I73" i="15" s="1"/>
  <c r="M73" i="15" s="1"/>
  <c r="U41" i="15"/>
  <c r="U44" i="15"/>
  <c r="V53" i="15"/>
  <c r="U56" i="15"/>
  <c r="U59" i="15"/>
  <c r="U71" i="15"/>
  <c r="U83" i="15"/>
  <c r="V41" i="15"/>
  <c r="V44" i="15"/>
  <c r="U47" i="15"/>
  <c r="V56" i="15"/>
  <c r="V59" i="15"/>
  <c r="V71" i="15"/>
  <c r="V83" i="15"/>
  <c r="U12" i="15"/>
  <c r="U15" i="15"/>
  <c r="U18" i="15"/>
  <c r="V47" i="15"/>
  <c r="U50" i="15"/>
  <c r="V12" i="15"/>
  <c r="V15" i="15"/>
  <c r="V18" i="15"/>
  <c r="U21" i="15"/>
  <c r="U30" i="15"/>
  <c r="U37" i="15"/>
  <c r="V50" i="15"/>
  <c r="U62" i="15"/>
  <c r="U8" i="15"/>
  <c r="V21" i="15"/>
  <c r="U24" i="15"/>
  <c r="U27" i="15"/>
  <c r="V30" i="15"/>
  <c r="U34" i="15"/>
  <c r="V37" i="15"/>
  <c r="U40" i="15"/>
  <c r="V62" i="15"/>
  <c r="U65" i="15"/>
  <c r="U74" i="15"/>
  <c r="I81" i="15"/>
  <c r="I82" i="15" s="1"/>
  <c r="M82" i="15" s="1"/>
  <c r="P82" i="15" s="1"/>
  <c r="F78" i="15"/>
  <c r="F79" i="15"/>
  <c r="F65" i="15"/>
  <c r="I63" i="15"/>
  <c r="F49" i="15"/>
  <c r="I54" i="15"/>
  <c r="F41" i="15"/>
  <c r="I48" i="15"/>
  <c r="I49" i="15" s="1"/>
  <c r="M49" i="15" s="1"/>
  <c r="F32" i="15"/>
  <c r="I28" i="15"/>
  <c r="I29" i="15" s="1"/>
  <c r="M29" i="15" s="1"/>
  <c r="F15" i="15"/>
  <c r="I19" i="15"/>
  <c r="I20" i="15" s="1"/>
  <c r="M20" i="15" s="1"/>
  <c r="I16" i="15"/>
  <c r="M16" i="15" s="1"/>
  <c r="R16" i="15" s="1"/>
  <c r="F11" i="15"/>
  <c r="M13" i="15"/>
  <c r="R13" i="15" s="1"/>
  <c r="P13" i="15"/>
  <c r="P35" i="15"/>
  <c r="I26" i="15"/>
  <c r="M26" i="15" s="1"/>
  <c r="M25" i="15"/>
  <c r="M76" i="15"/>
  <c r="I46" i="15"/>
  <c r="M46" i="15" s="1"/>
  <c r="M45" i="15"/>
  <c r="M14" i="15"/>
  <c r="I36" i="15"/>
  <c r="M36" i="15" s="1"/>
  <c r="M70" i="15"/>
  <c r="R38" i="15"/>
  <c r="P38" i="15"/>
  <c r="I42" i="15"/>
  <c r="I43" i="15" s="1"/>
  <c r="I32" i="15"/>
  <c r="L43" i="15"/>
  <c r="F42" i="15"/>
  <c r="M75" i="15"/>
  <c r="M66" i="15"/>
  <c r="F9" i="15"/>
  <c r="F30" i="15"/>
  <c r="F38" i="15"/>
  <c r="C42" i="9"/>
  <c r="C43" i="9" s="1"/>
  <c r="M81" i="13"/>
  <c r="R81" i="13" s="1"/>
  <c r="R80" i="13" s="1"/>
  <c r="M72" i="13"/>
  <c r="I49" i="13"/>
  <c r="M49" i="13" s="1"/>
  <c r="M33" i="13"/>
  <c r="P33" i="13" s="1"/>
  <c r="M32" i="13"/>
  <c r="R32" i="13" s="1"/>
  <c r="M22" i="13"/>
  <c r="F46" i="13"/>
  <c r="F9" i="13"/>
  <c r="P48" i="13"/>
  <c r="R48" i="13"/>
  <c r="I43" i="13"/>
  <c r="M43" i="13" s="1"/>
  <c r="M42" i="13"/>
  <c r="P49" i="13"/>
  <c r="R49" i="13"/>
  <c r="P61" i="13"/>
  <c r="R61" i="13"/>
  <c r="R59" i="13" s="1"/>
  <c r="R66" i="13"/>
  <c r="P66" i="13"/>
  <c r="R76" i="13"/>
  <c r="P76" i="13"/>
  <c r="R70" i="13"/>
  <c r="P70" i="13"/>
  <c r="M13" i="13"/>
  <c r="I14" i="13"/>
  <c r="M14" i="13" s="1"/>
  <c r="P22" i="13"/>
  <c r="R22" i="13"/>
  <c r="R63" i="13"/>
  <c r="P63" i="13"/>
  <c r="M35" i="13"/>
  <c r="I36" i="13"/>
  <c r="M36" i="13"/>
  <c r="M79" i="13"/>
  <c r="R16" i="13"/>
  <c r="P16" i="13"/>
  <c r="I28" i="13"/>
  <c r="I29" i="13" s="1"/>
  <c r="M29" i="13" s="1"/>
  <c r="F22" i="13"/>
  <c r="M23" i="13"/>
  <c r="I51" i="13"/>
  <c r="I52" i="13" s="1"/>
  <c r="M52" i="13" s="1"/>
  <c r="F45" i="13"/>
  <c r="M55" i="13"/>
  <c r="I7" i="13"/>
  <c r="M7" i="13" s="1"/>
  <c r="I6" i="13"/>
  <c r="M6" i="13" s="1"/>
  <c r="R26" i="13"/>
  <c r="P26" i="13"/>
  <c r="P38" i="13"/>
  <c r="R38" i="13"/>
  <c r="R37" i="13" s="1"/>
  <c r="F43" i="13"/>
  <c r="R64" i="13"/>
  <c r="P64" i="13"/>
  <c r="R72" i="13"/>
  <c r="P72" i="13"/>
  <c r="M25" i="13"/>
  <c r="I45" i="13"/>
  <c r="I57" i="13"/>
  <c r="M78" i="13"/>
  <c r="M54" i="13"/>
  <c r="I67" i="13"/>
  <c r="M67" i="13" s="1"/>
  <c r="F5" i="13"/>
  <c r="F18" i="13"/>
  <c r="F30" i="13"/>
  <c r="F35" i="13"/>
  <c r="F38" i="13"/>
  <c r="P39" i="13"/>
  <c r="P60" i="13"/>
  <c r="P81" i="13"/>
  <c r="P82" i="13"/>
  <c r="I8" i="13"/>
  <c r="F42" i="13"/>
  <c r="I17" i="13"/>
  <c r="M17" i="13" s="1"/>
  <c r="I19" i="13"/>
  <c r="L73" i="13"/>
  <c r="M73" i="13" s="1"/>
  <c r="M72" i="12"/>
  <c r="F51" i="12"/>
  <c r="I57" i="12"/>
  <c r="I58" i="12" s="1"/>
  <c r="M58" i="12" s="1"/>
  <c r="I36" i="12"/>
  <c r="M36" i="12" s="1"/>
  <c r="M29" i="12"/>
  <c r="M9" i="12"/>
  <c r="R9" i="12" s="1"/>
  <c r="M55" i="12"/>
  <c r="R55" i="12" s="1"/>
  <c r="R16" i="12"/>
  <c r="P16" i="12"/>
  <c r="R26" i="12"/>
  <c r="P26" i="12"/>
  <c r="R38" i="12"/>
  <c r="R37" i="12" s="1"/>
  <c r="P38" i="12"/>
  <c r="I23" i="12"/>
  <c r="M23" i="12" s="1"/>
  <c r="M22" i="12"/>
  <c r="P75" i="12"/>
  <c r="R75" i="12"/>
  <c r="R35" i="12"/>
  <c r="P35" i="12"/>
  <c r="R63" i="12"/>
  <c r="P63" i="12"/>
  <c r="R66" i="12"/>
  <c r="P66" i="12"/>
  <c r="M28" i="12"/>
  <c r="R70" i="12"/>
  <c r="P70" i="12"/>
  <c r="R79" i="12"/>
  <c r="P79" i="12"/>
  <c r="R7" i="12"/>
  <c r="P7" i="12"/>
  <c r="P13" i="12"/>
  <c r="R13" i="12"/>
  <c r="P29" i="12"/>
  <c r="R29" i="12"/>
  <c r="R25" i="12"/>
  <c r="P25" i="12"/>
  <c r="R48" i="12"/>
  <c r="P48" i="12"/>
  <c r="M14" i="12"/>
  <c r="M43" i="12"/>
  <c r="R64" i="12"/>
  <c r="P64" i="12"/>
  <c r="P72" i="12"/>
  <c r="R72" i="12"/>
  <c r="P32" i="12"/>
  <c r="R32" i="12"/>
  <c r="I46" i="12"/>
  <c r="M46" i="12" s="1"/>
  <c r="M45" i="12"/>
  <c r="F43" i="12"/>
  <c r="R61" i="12"/>
  <c r="R59" i="12" s="1"/>
  <c r="P61" i="12"/>
  <c r="R78" i="12"/>
  <c r="P78" i="12"/>
  <c r="R81" i="12"/>
  <c r="P81" i="12"/>
  <c r="I6" i="12"/>
  <c r="M6" i="12" s="1"/>
  <c r="F9" i="12"/>
  <c r="I10" i="12"/>
  <c r="F49" i="12"/>
  <c r="M54" i="12"/>
  <c r="F67" i="12"/>
  <c r="R69" i="12"/>
  <c r="I82" i="12"/>
  <c r="M82" i="12" s="1"/>
  <c r="K10" i="12"/>
  <c r="L10" i="12" s="1"/>
  <c r="I49" i="12"/>
  <c r="M49" i="12" s="1"/>
  <c r="I67" i="12"/>
  <c r="M67" i="12" s="1"/>
  <c r="I33" i="12"/>
  <c r="M33" i="12" s="1"/>
  <c r="F35" i="12"/>
  <c r="F38" i="12"/>
  <c r="P39" i="12"/>
  <c r="P60" i="12"/>
  <c r="F14" i="12"/>
  <c r="F42" i="12"/>
  <c r="F52" i="12"/>
  <c r="I76" i="12"/>
  <c r="M76" i="12" s="1"/>
  <c r="I19" i="12"/>
  <c r="I20" i="12" s="1"/>
  <c r="M20" i="12" s="1"/>
  <c r="C45" i="12"/>
  <c r="L73" i="12"/>
  <c r="M73" i="12" s="1"/>
  <c r="I17" i="12"/>
  <c r="M17" i="12" s="1"/>
  <c r="F22" i="12"/>
  <c r="M42" i="12"/>
  <c r="M25" i="10"/>
  <c r="P25" i="10" s="1"/>
  <c r="M78" i="10"/>
  <c r="P78" i="10" s="1"/>
  <c r="M26" i="10"/>
  <c r="M48" i="10"/>
  <c r="P48" i="10" s="1"/>
  <c r="I17" i="10"/>
  <c r="M17" i="10" s="1"/>
  <c r="P17" i="10" s="1"/>
  <c r="I28" i="10"/>
  <c r="I29" i="10" s="1"/>
  <c r="M49" i="10"/>
  <c r="P49" i="10" s="1"/>
  <c r="K10" i="10"/>
  <c r="L10" i="10" s="1"/>
  <c r="M58" i="10"/>
  <c r="R58" i="10" s="1"/>
  <c r="G69" i="9"/>
  <c r="L69" i="9" s="1"/>
  <c r="C19" i="9"/>
  <c r="C20" i="9" s="1"/>
  <c r="C57" i="9"/>
  <c r="C58" i="9" s="1"/>
  <c r="I5" i="10"/>
  <c r="I45" i="10"/>
  <c r="I46" i="10" s="1"/>
  <c r="I81" i="10"/>
  <c r="F9" i="10"/>
  <c r="M13" i="10"/>
  <c r="R13" i="10" s="1"/>
  <c r="I22" i="10"/>
  <c r="I23" i="10" s="1"/>
  <c r="M23" i="10" s="1"/>
  <c r="M28" i="10"/>
  <c r="P28" i="10" s="1"/>
  <c r="I76" i="10"/>
  <c r="M76" i="10" s="1"/>
  <c r="C49" i="9"/>
  <c r="I67" i="10"/>
  <c r="M67" i="10" s="1"/>
  <c r="C72" i="9"/>
  <c r="C73" i="9" s="1"/>
  <c r="G73" i="9" s="1"/>
  <c r="M29" i="10"/>
  <c r="I42" i="10"/>
  <c r="I43" i="10" s="1"/>
  <c r="M43" i="10" s="1"/>
  <c r="I54" i="10"/>
  <c r="I55" i="10" s="1"/>
  <c r="M60" i="10"/>
  <c r="P60" i="10" s="1"/>
  <c r="M69" i="10"/>
  <c r="R69" i="10" s="1"/>
  <c r="M57" i="10"/>
  <c r="R57" i="10" s="1"/>
  <c r="C8" i="9"/>
  <c r="C81" i="9"/>
  <c r="C82" i="9" s="1"/>
  <c r="G82" i="9" s="1"/>
  <c r="I8" i="10"/>
  <c r="I9" i="10" s="1"/>
  <c r="M9" i="10" s="1"/>
  <c r="C13" i="9"/>
  <c r="G13" i="9" s="1"/>
  <c r="L13" i="9" s="1"/>
  <c r="I72" i="10"/>
  <c r="F117" i="6"/>
  <c r="F102" i="6"/>
  <c r="F94" i="6"/>
  <c r="F88" i="6"/>
  <c r="F87" i="6"/>
  <c r="P26" i="10"/>
  <c r="R26" i="10"/>
  <c r="P38" i="10"/>
  <c r="R38" i="10"/>
  <c r="R66" i="10"/>
  <c r="P66" i="10"/>
  <c r="P75" i="10"/>
  <c r="R75" i="10"/>
  <c r="P16" i="10"/>
  <c r="R16" i="10"/>
  <c r="M33" i="10"/>
  <c r="M70" i="10"/>
  <c r="M14" i="10"/>
  <c r="R35" i="10"/>
  <c r="P35" i="10"/>
  <c r="R49" i="10"/>
  <c r="M55" i="10"/>
  <c r="R63" i="10"/>
  <c r="P63" i="10"/>
  <c r="M79" i="10"/>
  <c r="R29" i="10"/>
  <c r="P29" i="10"/>
  <c r="R19" i="10"/>
  <c r="P19" i="10"/>
  <c r="I20" i="10"/>
  <c r="M20" i="10" s="1"/>
  <c r="M32" i="10"/>
  <c r="I36" i="10"/>
  <c r="M36" i="10" s="1"/>
  <c r="R39" i="10"/>
  <c r="L46" i="10"/>
  <c r="I64" i="10"/>
  <c r="M64" i="10" s="1"/>
  <c r="L52" i="10"/>
  <c r="P57" i="10"/>
  <c r="R78" i="10"/>
  <c r="L61" i="10"/>
  <c r="M61" i="10" s="1"/>
  <c r="C79" i="9"/>
  <c r="G78" i="9"/>
  <c r="G79" i="9"/>
  <c r="F76" i="9"/>
  <c r="G76" i="9" s="1"/>
  <c r="G75" i="9"/>
  <c r="G70" i="9"/>
  <c r="L70" i="9" s="1"/>
  <c r="C67" i="9"/>
  <c r="G66" i="9"/>
  <c r="G67" i="9"/>
  <c r="F64" i="9"/>
  <c r="G64" i="9" s="1"/>
  <c r="G63" i="9"/>
  <c r="F61" i="9"/>
  <c r="G61" i="9" s="1"/>
  <c r="G60" i="9"/>
  <c r="F58" i="9"/>
  <c r="F55" i="9"/>
  <c r="G55" i="9" s="1"/>
  <c r="G54" i="9"/>
  <c r="G49" i="9"/>
  <c r="L49" i="9" s="1"/>
  <c r="F52" i="9"/>
  <c r="L48" i="9"/>
  <c r="J48" i="9"/>
  <c r="K48" i="9" s="1"/>
  <c r="F46" i="9"/>
  <c r="G46" i="9" s="1"/>
  <c r="G45" i="9"/>
  <c r="G42" i="9"/>
  <c r="L42" i="9" s="1"/>
  <c r="F43" i="9"/>
  <c r="G43" i="9" s="1"/>
  <c r="J43" i="9" s="1"/>
  <c r="K43" i="9" s="1"/>
  <c r="L43" i="9"/>
  <c r="G35" i="9"/>
  <c r="C36" i="9"/>
  <c r="G36" i="9" s="1"/>
  <c r="L38" i="9"/>
  <c r="J38" i="9"/>
  <c r="K38" i="9" s="1"/>
  <c r="L39" i="9"/>
  <c r="J39" i="9"/>
  <c r="K39" i="9" s="1"/>
  <c r="L35" i="9"/>
  <c r="J35" i="9"/>
  <c r="K35" i="9" s="1"/>
  <c r="L33" i="9"/>
  <c r="J33" i="9"/>
  <c r="K33" i="9" s="1"/>
  <c r="L32" i="9"/>
  <c r="J32" i="9"/>
  <c r="K32" i="9" s="1"/>
  <c r="G28" i="9"/>
  <c r="L28" i="9" s="1"/>
  <c r="C29" i="9"/>
  <c r="G29" i="9"/>
  <c r="J29" i="9" s="1"/>
  <c r="K29" i="9" s="1"/>
  <c r="L29" i="9"/>
  <c r="G22" i="9"/>
  <c r="J22" i="9" s="1"/>
  <c r="K22" i="9" s="1"/>
  <c r="G23" i="9"/>
  <c r="J23" i="9" s="1"/>
  <c r="K23" i="9" s="1"/>
  <c r="G25" i="9"/>
  <c r="J25" i="9" s="1"/>
  <c r="K25" i="9" s="1"/>
  <c r="C26" i="9"/>
  <c r="G26" i="9" s="1"/>
  <c r="J26" i="9" s="1"/>
  <c r="K26" i="9" s="1"/>
  <c r="G19" i="9"/>
  <c r="G20" i="9"/>
  <c r="G16" i="9"/>
  <c r="J16" i="9" s="1"/>
  <c r="K16" i="9" s="1"/>
  <c r="C17" i="9"/>
  <c r="G17" i="9" s="1"/>
  <c r="E10" i="9"/>
  <c r="F10" i="9" s="1"/>
  <c r="F9" i="9"/>
  <c r="C10" i="9"/>
  <c r="C9" i="9"/>
  <c r="C7" i="9"/>
  <c r="G7" i="9" s="1"/>
  <c r="C6" i="9"/>
  <c r="G6" i="9" s="1"/>
  <c r="F5" i="10"/>
  <c r="N13" i="9"/>
  <c r="R13" i="9" s="1"/>
  <c r="T13" i="9" s="1"/>
  <c r="C46" i="10"/>
  <c r="F14" i="10"/>
  <c r="F17" i="10"/>
  <c r="F22" i="10"/>
  <c r="F35" i="10"/>
  <c r="C45" i="10"/>
  <c r="F38" i="10"/>
  <c r="E43" i="10"/>
  <c r="F42" i="10"/>
  <c r="F49" i="10"/>
  <c r="F52" i="10"/>
  <c r="C20" i="7"/>
  <c r="F20" i="7" s="1"/>
  <c r="C19" i="7"/>
  <c r="F19" i="7" s="1"/>
  <c r="C56" i="8"/>
  <c r="F16" i="8"/>
  <c r="C60" i="8"/>
  <c r="F60" i="8" s="1"/>
  <c r="C20" i="8"/>
  <c r="F20" i="8" s="1"/>
  <c r="C19" i="8"/>
  <c r="F19" i="8" s="1"/>
  <c r="F18" i="8"/>
  <c r="C24" i="8"/>
  <c r="F24" i="8" s="1"/>
  <c r="F22" i="8"/>
  <c r="C29" i="8"/>
  <c r="F23" i="8"/>
  <c r="C48" i="8"/>
  <c r="F48" i="8" s="1"/>
  <c r="F46" i="8"/>
  <c r="C59" i="8"/>
  <c r="C51" i="8"/>
  <c r="F51" i="8" s="1"/>
  <c r="F50" i="8"/>
  <c r="E56" i="8"/>
  <c r="F55" i="8"/>
  <c r="C64" i="8"/>
  <c r="F63" i="8"/>
  <c r="C70" i="8"/>
  <c r="F70" i="8" s="1"/>
  <c r="F68" i="8"/>
  <c r="F16" i="7"/>
  <c r="C60" i="7"/>
  <c r="F60" i="7" s="1"/>
  <c r="F18" i="7"/>
  <c r="C24" i="7"/>
  <c r="F24" i="7" s="1"/>
  <c r="F22" i="7"/>
  <c r="C31" i="7"/>
  <c r="F31" i="7" s="1"/>
  <c r="F29" i="7"/>
  <c r="C48" i="7"/>
  <c r="F48" i="7" s="1"/>
  <c r="F46" i="7"/>
  <c r="C59" i="7"/>
  <c r="F50" i="7"/>
  <c r="E56" i="7"/>
  <c r="F55" i="7"/>
  <c r="C65" i="7"/>
  <c r="F65" i="7" s="1"/>
  <c r="F64" i="7"/>
  <c r="C70" i="7"/>
  <c r="F70" i="7" s="1"/>
  <c r="F68" i="7"/>
  <c r="F99" i="6"/>
  <c r="F103" i="6"/>
  <c r="F100" i="6"/>
  <c r="F95" i="6"/>
  <c r="F101" i="6"/>
  <c r="F105" i="6"/>
  <c r="F93" i="6"/>
  <c r="F63" i="6"/>
  <c r="F26" i="6"/>
  <c r="F64" i="6"/>
  <c r="F68" i="6"/>
  <c r="C70" i="6"/>
  <c r="F70" i="6" s="1"/>
  <c r="C65" i="6"/>
  <c r="F65" i="6" s="1"/>
  <c r="C60" i="6"/>
  <c r="F60" i="6" s="1"/>
  <c r="E56" i="6"/>
  <c r="C59" i="6"/>
  <c r="C48" i="6"/>
  <c r="F48" i="6" s="1"/>
  <c r="F46" i="6"/>
  <c r="F22" i="6"/>
  <c r="C31" i="6"/>
  <c r="F31" i="6" s="1"/>
  <c r="F11" i="6"/>
  <c r="Q82" i="13" l="1"/>
  <c r="V82" i="13" s="1"/>
  <c r="U82" i="13"/>
  <c r="Q81" i="13"/>
  <c r="V81" i="13" s="1"/>
  <c r="U81" i="13"/>
  <c r="Q60" i="13"/>
  <c r="V60" i="13" s="1"/>
  <c r="U60" i="13"/>
  <c r="Q39" i="13"/>
  <c r="V39" i="13" s="1"/>
  <c r="U39" i="13"/>
  <c r="Q72" i="13"/>
  <c r="V72" i="13" s="1"/>
  <c r="U72" i="13"/>
  <c r="Q64" i="13"/>
  <c r="V64" i="13" s="1"/>
  <c r="U64" i="13"/>
  <c r="Q38" i="13"/>
  <c r="V38" i="13" s="1"/>
  <c r="U38" i="13"/>
  <c r="Q26" i="13"/>
  <c r="V26" i="13" s="1"/>
  <c r="U26" i="13"/>
  <c r="Q16" i="13"/>
  <c r="V16" i="13" s="1"/>
  <c r="U16" i="13"/>
  <c r="Q63" i="13"/>
  <c r="V63" i="13" s="1"/>
  <c r="U63" i="13"/>
  <c r="R62" i="13"/>
  <c r="Q22" i="13"/>
  <c r="V22" i="13" s="1"/>
  <c r="U22" i="13"/>
  <c r="Q70" i="13"/>
  <c r="V70" i="13" s="1"/>
  <c r="U70" i="13"/>
  <c r="Q76" i="13"/>
  <c r="V76" i="13" s="1"/>
  <c r="U76" i="13"/>
  <c r="Q66" i="13"/>
  <c r="V66" i="13" s="1"/>
  <c r="U66" i="13"/>
  <c r="Q61" i="13"/>
  <c r="V61" i="13" s="1"/>
  <c r="U61" i="13"/>
  <c r="Q49" i="13"/>
  <c r="V49" i="13" s="1"/>
  <c r="U49" i="13"/>
  <c r="Q48" i="13"/>
  <c r="V48" i="13" s="1"/>
  <c r="U48" i="13"/>
  <c r="Q33" i="13"/>
  <c r="V33" i="13" s="1"/>
  <c r="U33" i="13"/>
  <c r="R75" i="13"/>
  <c r="R74" i="13" s="1"/>
  <c r="P75" i="13"/>
  <c r="P69" i="13"/>
  <c r="R69" i="13"/>
  <c r="R68" i="13" s="1"/>
  <c r="Q60" i="12"/>
  <c r="V60" i="12" s="1"/>
  <c r="U60" i="12"/>
  <c r="Q39" i="12"/>
  <c r="V39" i="12" s="1"/>
  <c r="U39" i="12"/>
  <c r="Q81" i="12"/>
  <c r="V81" i="12" s="1"/>
  <c r="U81" i="12"/>
  <c r="Q78" i="12"/>
  <c r="V78" i="12" s="1"/>
  <c r="U78" i="12"/>
  <c r="Q61" i="12"/>
  <c r="V61" i="12" s="1"/>
  <c r="U61" i="12"/>
  <c r="Q32" i="12"/>
  <c r="V32" i="12" s="1"/>
  <c r="U32" i="12"/>
  <c r="Q72" i="12"/>
  <c r="V72" i="12" s="1"/>
  <c r="U72" i="12"/>
  <c r="Q64" i="12"/>
  <c r="V64" i="12" s="1"/>
  <c r="U64" i="12"/>
  <c r="Q48" i="12"/>
  <c r="V48" i="12" s="1"/>
  <c r="U48" i="12"/>
  <c r="Q25" i="12"/>
  <c r="V25" i="12" s="1"/>
  <c r="U25" i="12"/>
  <c r="Q29" i="12"/>
  <c r="V29" i="12" s="1"/>
  <c r="U29" i="12"/>
  <c r="Q13" i="12"/>
  <c r="V13" i="12" s="1"/>
  <c r="U13" i="12"/>
  <c r="Q7" i="12"/>
  <c r="V7" i="12" s="1"/>
  <c r="U7" i="12"/>
  <c r="Q79" i="12"/>
  <c r="V79" i="12" s="1"/>
  <c r="U79" i="12"/>
  <c r="Q70" i="12"/>
  <c r="V70" i="12" s="1"/>
  <c r="U70" i="12"/>
  <c r="Q66" i="12"/>
  <c r="V66" i="12" s="1"/>
  <c r="U66" i="12"/>
  <c r="Q63" i="12"/>
  <c r="V63" i="12" s="1"/>
  <c r="U63" i="12"/>
  <c r="R62" i="12"/>
  <c r="Q35" i="12"/>
  <c r="V35" i="12" s="1"/>
  <c r="U35" i="12"/>
  <c r="Q75" i="12"/>
  <c r="V75" i="12" s="1"/>
  <c r="U75" i="12"/>
  <c r="Q38" i="12"/>
  <c r="V38" i="12" s="1"/>
  <c r="U38" i="12"/>
  <c r="Q26" i="12"/>
  <c r="V26" i="12" s="1"/>
  <c r="U26" i="12"/>
  <c r="Q16" i="12"/>
  <c r="V16" i="12" s="1"/>
  <c r="U16" i="12"/>
  <c r="Q69" i="12"/>
  <c r="V69" i="12" s="1"/>
  <c r="U69" i="12"/>
  <c r="C45" i="17"/>
  <c r="C45" i="15"/>
  <c r="F46" i="10"/>
  <c r="C46" i="17"/>
  <c r="F46" i="17" s="1"/>
  <c r="C46" i="15"/>
  <c r="F46" i="15" s="1"/>
  <c r="R56" i="10"/>
  <c r="I42" i="17"/>
  <c r="I8" i="15"/>
  <c r="F6" i="15"/>
  <c r="R12" i="17"/>
  <c r="P75" i="17"/>
  <c r="U75" i="17" s="1"/>
  <c r="M35" i="17"/>
  <c r="P13" i="17"/>
  <c r="U13" i="17" s="1"/>
  <c r="I55" i="17"/>
  <c r="M55" i="17" s="1"/>
  <c r="I76" i="17"/>
  <c r="M76" i="17" s="1"/>
  <c r="M57" i="17"/>
  <c r="R57" i="17" s="1"/>
  <c r="R23" i="17"/>
  <c r="P23" i="17"/>
  <c r="U23" i="17" s="1"/>
  <c r="I29" i="17"/>
  <c r="M29" i="17" s="1"/>
  <c r="I10" i="17"/>
  <c r="M10" i="17" s="1"/>
  <c r="I9" i="17"/>
  <c r="M9" i="17" s="1"/>
  <c r="I73" i="17"/>
  <c r="M73" i="17" s="1"/>
  <c r="P73" i="17" s="1"/>
  <c r="U73" i="17" s="1"/>
  <c r="P36" i="17"/>
  <c r="U36" i="17" s="1"/>
  <c r="M22" i="17"/>
  <c r="R79" i="17"/>
  <c r="P79" i="17"/>
  <c r="U79" i="17" s="1"/>
  <c r="R7" i="17"/>
  <c r="P7" i="17"/>
  <c r="U7" i="17" s="1"/>
  <c r="P76" i="17"/>
  <c r="U76" i="17" s="1"/>
  <c r="R76" i="17"/>
  <c r="R74" i="17" s="1"/>
  <c r="P26" i="17"/>
  <c r="U26" i="17" s="1"/>
  <c r="R26" i="17"/>
  <c r="R29" i="17"/>
  <c r="P29" i="17"/>
  <c r="U29" i="17" s="1"/>
  <c r="P28" i="17"/>
  <c r="U28" i="17" s="1"/>
  <c r="R28" i="17"/>
  <c r="I49" i="17"/>
  <c r="M49" i="17" s="1"/>
  <c r="M48" i="17"/>
  <c r="M38" i="17"/>
  <c r="I39" i="17"/>
  <c r="M39" i="17" s="1"/>
  <c r="P58" i="17"/>
  <c r="U58" i="17" s="1"/>
  <c r="R58" i="17"/>
  <c r="R25" i="17"/>
  <c r="P25" i="17"/>
  <c r="U25" i="17" s="1"/>
  <c r="P54" i="17"/>
  <c r="U54" i="17" s="1"/>
  <c r="R54" i="17"/>
  <c r="Q61" i="17"/>
  <c r="V61" i="17" s="1"/>
  <c r="X61" i="17" s="1"/>
  <c r="R66" i="17"/>
  <c r="P66" i="17"/>
  <c r="U66" i="17" s="1"/>
  <c r="R82" i="17"/>
  <c r="P82" i="17"/>
  <c r="U82" i="17" s="1"/>
  <c r="R20" i="17"/>
  <c r="P20" i="17"/>
  <c r="U20" i="17" s="1"/>
  <c r="P67" i="17"/>
  <c r="U67" i="17" s="1"/>
  <c r="R67" i="17"/>
  <c r="P81" i="17"/>
  <c r="U81" i="17" s="1"/>
  <c r="R81" i="17"/>
  <c r="P60" i="17"/>
  <c r="U60" i="17" s="1"/>
  <c r="R60" i="17"/>
  <c r="R59" i="17" s="1"/>
  <c r="R35" i="17"/>
  <c r="R34" i="17" s="1"/>
  <c r="P35" i="17"/>
  <c r="U35" i="17" s="1"/>
  <c r="R45" i="17"/>
  <c r="P45" i="17"/>
  <c r="U45" i="17" s="1"/>
  <c r="U33" i="17"/>
  <c r="Q14" i="17"/>
  <c r="V14" i="17" s="1"/>
  <c r="X14" i="17" s="1"/>
  <c r="Q75" i="17"/>
  <c r="V75" i="17" s="1"/>
  <c r="X75" i="17" s="1"/>
  <c r="R32" i="17"/>
  <c r="P32" i="17"/>
  <c r="U32" i="17" s="1"/>
  <c r="P46" i="17"/>
  <c r="U46" i="17" s="1"/>
  <c r="R46" i="17"/>
  <c r="R78" i="17"/>
  <c r="P78" i="17"/>
  <c r="U78" i="17" s="1"/>
  <c r="R73" i="17"/>
  <c r="I17" i="17"/>
  <c r="M17" i="17" s="1"/>
  <c r="M16" i="17"/>
  <c r="R69" i="17"/>
  <c r="R68" i="17" s="1"/>
  <c r="P69" i="17"/>
  <c r="U69" i="17" s="1"/>
  <c r="Q70" i="17"/>
  <c r="V70" i="17" s="1"/>
  <c r="X70" i="17" s="1"/>
  <c r="R64" i="17"/>
  <c r="P64" i="17"/>
  <c r="U64" i="17" s="1"/>
  <c r="R55" i="17"/>
  <c r="P55" i="17"/>
  <c r="U55" i="17" s="1"/>
  <c r="P72" i="17"/>
  <c r="U72" i="17" s="1"/>
  <c r="R72" i="17"/>
  <c r="P19" i="17"/>
  <c r="U19" i="17" s="1"/>
  <c r="R19" i="17"/>
  <c r="P63" i="17"/>
  <c r="U63" i="17" s="1"/>
  <c r="R63" i="17"/>
  <c r="R62" i="17" s="1"/>
  <c r="P6" i="17"/>
  <c r="U6" i="17" s="1"/>
  <c r="I79" i="15"/>
  <c r="M79" i="15" s="1"/>
  <c r="P79" i="15" s="1"/>
  <c r="M72" i="15"/>
  <c r="I6" i="15"/>
  <c r="M6" i="15" s="1"/>
  <c r="I17" i="15"/>
  <c r="M17" i="15" s="1"/>
  <c r="P17" i="15" s="1"/>
  <c r="Q17" i="15" s="1"/>
  <c r="V17" i="15" s="1"/>
  <c r="R37" i="15"/>
  <c r="M81" i="15"/>
  <c r="M57" i="15"/>
  <c r="R57" i="15" s="1"/>
  <c r="I61" i="15"/>
  <c r="M61" i="15" s="1"/>
  <c r="R61" i="15" s="1"/>
  <c r="R59" i="15" s="1"/>
  <c r="P39" i="15"/>
  <c r="U39" i="15" s="1"/>
  <c r="M19" i="15"/>
  <c r="R19" i="15" s="1"/>
  <c r="I23" i="15"/>
  <c r="M23" i="15" s="1"/>
  <c r="R23" i="15" s="1"/>
  <c r="R73" i="15"/>
  <c r="P73" i="15"/>
  <c r="U73" i="15" s="1"/>
  <c r="P29" i="15"/>
  <c r="Q29" i="15" s="1"/>
  <c r="V29" i="15" s="1"/>
  <c r="R29" i="15"/>
  <c r="P78" i="15"/>
  <c r="P69" i="15"/>
  <c r="Q69" i="15" s="1"/>
  <c r="V69" i="15" s="1"/>
  <c r="R17" i="15"/>
  <c r="R15" i="15" s="1"/>
  <c r="R82" i="15"/>
  <c r="P60" i="15"/>
  <c r="Q60" i="15" s="1"/>
  <c r="V60" i="15" s="1"/>
  <c r="M48" i="15"/>
  <c r="R48" i="15" s="1"/>
  <c r="P67" i="15"/>
  <c r="Q67" i="15" s="1"/>
  <c r="V67" i="15" s="1"/>
  <c r="I64" i="15"/>
  <c r="M64" i="15" s="1"/>
  <c r="M63" i="15"/>
  <c r="M54" i="15"/>
  <c r="I55" i="15"/>
  <c r="M55" i="15" s="1"/>
  <c r="M28" i="15"/>
  <c r="R28" i="15" s="1"/>
  <c r="P20" i="15"/>
  <c r="U20" i="15" s="1"/>
  <c r="R20" i="15"/>
  <c r="U17" i="15"/>
  <c r="P16" i="15"/>
  <c r="Q16" i="15" s="1"/>
  <c r="V16" i="15" s="1"/>
  <c r="R7" i="15"/>
  <c r="P7" i="15"/>
  <c r="P66" i="15"/>
  <c r="R66" i="15"/>
  <c r="R65" i="15" s="1"/>
  <c r="U69" i="15"/>
  <c r="I33" i="15"/>
  <c r="M33" i="15" s="1"/>
  <c r="M32" i="15"/>
  <c r="R70" i="15"/>
  <c r="R68" i="15" s="1"/>
  <c r="P70" i="15"/>
  <c r="U78" i="15"/>
  <c r="Q78" i="15"/>
  <c r="V78" i="15" s="1"/>
  <c r="U35" i="15"/>
  <c r="Q35" i="15"/>
  <c r="V35" i="15" s="1"/>
  <c r="U13" i="15"/>
  <c r="Q13" i="15"/>
  <c r="V13" i="15" s="1"/>
  <c r="M42" i="15"/>
  <c r="P49" i="15"/>
  <c r="R49" i="15"/>
  <c r="P14" i="15"/>
  <c r="R14" i="15"/>
  <c r="R12" i="15" s="1"/>
  <c r="Q82" i="15"/>
  <c r="V82" i="15" s="1"/>
  <c r="U82" i="15"/>
  <c r="R81" i="15"/>
  <c r="P81" i="15"/>
  <c r="P22" i="15"/>
  <c r="R22" i="15"/>
  <c r="R46" i="15"/>
  <c r="P46" i="15"/>
  <c r="R45" i="15"/>
  <c r="P45" i="15"/>
  <c r="R76" i="15"/>
  <c r="P76" i="15"/>
  <c r="R75" i="15"/>
  <c r="P75" i="15"/>
  <c r="M43" i="15"/>
  <c r="P26" i="15"/>
  <c r="R26" i="15"/>
  <c r="R25" i="15"/>
  <c r="P25" i="15"/>
  <c r="P58" i="15"/>
  <c r="R58" i="15"/>
  <c r="R36" i="15"/>
  <c r="R34" i="15" s="1"/>
  <c r="P36" i="15"/>
  <c r="R72" i="15"/>
  <c r="P72" i="15"/>
  <c r="Q39" i="15"/>
  <c r="V39" i="15" s="1"/>
  <c r="U38" i="15"/>
  <c r="Q38" i="15"/>
  <c r="V38" i="15" s="1"/>
  <c r="Q17" i="10"/>
  <c r="V17" i="10" s="1"/>
  <c r="U17" i="10"/>
  <c r="Q57" i="10"/>
  <c r="V57" i="10" s="1"/>
  <c r="U57" i="10"/>
  <c r="Q19" i="10"/>
  <c r="V19" i="10" s="1"/>
  <c r="U19" i="10"/>
  <c r="Q60" i="10"/>
  <c r="V60" i="10" s="1"/>
  <c r="U60" i="10"/>
  <c r="Q48" i="10"/>
  <c r="V48" i="10" s="1"/>
  <c r="U48" i="10"/>
  <c r="Q38" i="10"/>
  <c r="V38" i="10" s="1"/>
  <c r="U38" i="10"/>
  <c r="Q28" i="10"/>
  <c r="V28" i="10" s="1"/>
  <c r="U28" i="10"/>
  <c r="Q16" i="10"/>
  <c r="V16" i="10" s="1"/>
  <c r="U16" i="10"/>
  <c r="M22" i="10"/>
  <c r="R22" i="10" s="1"/>
  <c r="Q78" i="10"/>
  <c r="V78" i="10" s="1"/>
  <c r="U78" i="10"/>
  <c r="Q26" i="10"/>
  <c r="V26" i="10" s="1"/>
  <c r="U26" i="10"/>
  <c r="Q25" i="10"/>
  <c r="V25" i="10" s="1"/>
  <c r="U25" i="10"/>
  <c r="R17" i="10"/>
  <c r="R15" i="10" s="1"/>
  <c r="Q75" i="10"/>
  <c r="V75" i="10" s="1"/>
  <c r="U75" i="10"/>
  <c r="L26" i="9"/>
  <c r="J69" i="9"/>
  <c r="K69" i="9" s="1"/>
  <c r="G81" i="9"/>
  <c r="L81" i="9" s="1"/>
  <c r="Q63" i="10"/>
  <c r="V63" i="10" s="1"/>
  <c r="U63" i="10"/>
  <c r="Q49" i="10"/>
  <c r="V49" i="10" s="1"/>
  <c r="U49" i="10"/>
  <c r="Q29" i="10"/>
  <c r="V29" i="10" s="1"/>
  <c r="U29" i="10"/>
  <c r="Q35" i="10"/>
  <c r="V35" i="10" s="1"/>
  <c r="U35" i="10"/>
  <c r="Q66" i="10"/>
  <c r="V66" i="10" s="1"/>
  <c r="U66" i="10"/>
  <c r="M51" i="13"/>
  <c r="R33" i="13"/>
  <c r="R31" i="13" s="1"/>
  <c r="P32" i="13"/>
  <c r="R67" i="13"/>
  <c r="R65" i="13" s="1"/>
  <c r="P67" i="13"/>
  <c r="R29" i="13"/>
  <c r="P29" i="13"/>
  <c r="R6" i="13"/>
  <c r="P6" i="13"/>
  <c r="R7" i="13"/>
  <c r="P7" i="13"/>
  <c r="R14" i="13"/>
  <c r="P14" i="13"/>
  <c r="R52" i="13"/>
  <c r="P52" i="13"/>
  <c r="I10" i="13"/>
  <c r="M10" i="13" s="1"/>
  <c r="I9" i="13"/>
  <c r="M9" i="13" s="1"/>
  <c r="M28" i="13"/>
  <c r="F95" i="13"/>
  <c r="R25" i="13"/>
  <c r="R24" i="13" s="1"/>
  <c r="P25" i="13"/>
  <c r="R42" i="13"/>
  <c r="P42" i="13"/>
  <c r="R51" i="13"/>
  <c r="R50" i="13" s="1"/>
  <c r="P51" i="13"/>
  <c r="R43" i="13"/>
  <c r="P43" i="13"/>
  <c r="R23" i="13"/>
  <c r="R21" i="13" s="1"/>
  <c r="P23" i="13"/>
  <c r="R79" i="13"/>
  <c r="P79" i="13"/>
  <c r="R73" i="13"/>
  <c r="R71" i="13" s="1"/>
  <c r="P73" i="13"/>
  <c r="R78" i="13"/>
  <c r="P78" i="13"/>
  <c r="P13" i="13"/>
  <c r="R13" i="13"/>
  <c r="R47" i="13"/>
  <c r="I20" i="13"/>
  <c r="M20" i="13" s="1"/>
  <c r="M19" i="13"/>
  <c r="M57" i="13"/>
  <c r="I58" i="13"/>
  <c r="M58" i="13" s="1"/>
  <c r="P54" i="13"/>
  <c r="R54" i="13"/>
  <c r="P36" i="13"/>
  <c r="R36" i="13"/>
  <c r="R17" i="13"/>
  <c r="R15" i="13" s="1"/>
  <c r="P17" i="13"/>
  <c r="M45" i="13"/>
  <c r="I46" i="13"/>
  <c r="M46" i="13" s="1"/>
  <c r="R55" i="13"/>
  <c r="P55" i="13"/>
  <c r="P35" i="13"/>
  <c r="R35" i="13"/>
  <c r="R34" i="13" s="1"/>
  <c r="M57" i="12"/>
  <c r="R36" i="12"/>
  <c r="P36" i="12"/>
  <c r="P55" i="12"/>
  <c r="P9" i="12"/>
  <c r="R33" i="12"/>
  <c r="R31" i="12" s="1"/>
  <c r="P33" i="12"/>
  <c r="R58" i="12"/>
  <c r="P58" i="12"/>
  <c r="R67" i="12"/>
  <c r="P67" i="12"/>
  <c r="R46" i="12"/>
  <c r="P46" i="12"/>
  <c r="P76" i="12"/>
  <c r="R76" i="12"/>
  <c r="R20" i="12"/>
  <c r="P20" i="12"/>
  <c r="R14" i="12"/>
  <c r="P14" i="12"/>
  <c r="P42" i="12"/>
  <c r="R42" i="12"/>
  <c r="M10" i="12"/>
  <c r="R17" i="12"/>
  <c r="R15" i="12" s="1"/>
  <c r="P17" i="12"/>
  <c r="R82" i="12"/>
  <c r="P82" i="12"/>
  <c r="R45" i="12"/>
  <c r="R44" i="12" s="1"/>
  <c r="P45" i="12"/>
  <c r="R34" i="12"/>
  <c r="P73" i="12"/>
  <c r="R73" i="12"/>
  <c r="R71" i="12" s="1"/>
  <c r="R68" i="12"/>
  <c r="F45" i="12"/>
  <c r="F95" i="12" s="1"/>
  <c r="I51" i="12"/>
  <c r="R43" i="12"/>
  <c r="P43" i="12"/>
  <c r="R24" i="12"/>
  <c r="R28" i="12"/>
  <c r="R27" i="12" s="1"/>
  <c r="P28" i="12"/>
  <c r="R57" i="12"/>
  <c r="P57" i="12"/>
  <c r="R49" i="12"/>
  <c r="P49" i="12"/>
  <c r="R22" i="12"/>
  <c r="P22" i="12"/>
  <c r="R6" i="12"/>
  <c r="P6" i="12"/>
  <c r="R23" i="12"/>
  <c r="P23" i="12"/>
  <c r="R47" i="12"/>
  <c r="R80" i="12"/>
  <c r="R12" i="12"/>
  <c r="R74" i="12"/>
  <c r="R54" i="12"/>
  <c r="R53" i="12" s="1"/>
  <c r="P54" i="12"/>
  <c r="R77" i="12"/>
  <c r="M19" i="12"/>
  <c r="R65" i="12"/>
  <c r="L36" i="9"/>
  <c r="J36" i="9"/>
  <c r="K36" i="9" s="1"/>
  <c r="M54" i="10"/>
  <c r="P54" i="10" s="1"/>
  <c r="J13" i="9"/>
  <c r="K13" i="9" s="1"/>
  <c r="L23" i="9"/>
  <c r="M46" i="10"/>
  <c r="P46" i="10" s="1"/>
  <c r="R60" i="10"/>
  <c r="R48" i="10"/>
  <c r="R47" i="10" s="1"/>
  <c r="R25" i="10"/>
  <c r="R24" i="10" s="1"/>
  <c r="J28" i="9"/>
  <c r="K28" i="9" s="1"/>
  <c r="P58" i="10"/>
  <c r="M42" i="10"/>
  <c r="R42" i="10" s="1"/>
  <c r="G72" i="9"/>
  <c r="L72" i="9" s="1"/>
  <c r="L25" i="9"/>
  <c r="L24" i="9" s="1"/>
  <c r="M45" i="10"/>
  <c r="R67" i="10"/>
  <c r="R65" i="10" s="1"/>
  <c r="P67" i="10"/>
  <c r="R76" i="10"/>
  <c r="R74" i="10" s="1"/>
  <c r="P76" i="10"/>
  <c r="P23" i="10"/>
  <c r="R23" i="10"/>
  <c r="G57" i="9"/>
  <c r="J57" i="9" s="1"/>
  <c r="K57" i="9" s="1"/>
  <c r="P69" i="10"/>
  <c r="R54" i="10"/>
  <c r="R28" i="10"/>
  <c r="R27" i="10" s="1"/>
  <c r="I7" i="10"/>
  <c r="M7" i="10" s="1"/>
  <c r="I6" i="10"/>
  <c r="M6" i="10" s="1"/>
  <c r="J49" i="9"/>
  <c r="K49" i="9" s="1"/>
  <c r="C14" i="9"/>
  <c r="G14" i="9" s="1"/>
  <c r="J14" i="9" s="1"/>
  <c r="K14" i="9" s="1"/>
  <c r="L22" i="9"/>
  <c r="G58" i="9"/>
  <c r="J58" i="9" s="1"/>
  <c r="K58" i="9" s="1"/>
  <c r="J70" i="9"/>
  <c r="K70" i="9" s="1"/>
  <c r="P42" i="10"/>
  <c r="P13" i="10"/>
  <c r="I73" i="10"/>
  <c r="M73" i="10" s="1"/>
  <c r="M72" i="10"/>
  <c r="M81" i="10"/>
  <c r="I82" i="10"/>
  <c r="M82" i="10" s="1"/>
  <c r="C51" i="9"/>
  <c r="I51" i="10"/>
  <c r="I10" i="10"/>
  <c r="M10" i="10" s="1"/>
  <c r="R10" i="10" s="1"/>
  <c r="R36" i="10"/>
  <c r="R34" i="10" s="1"/>
  <c r="P36" i="10"/>
  <c r="R64" i="10"/>
  <c r="R62" i="10" s="1"/>
  <c r="P64" i="10"/>
  <c r="R46" i="10"/>
  <c r="P9" i="10"/>
  <c r="R9" i="10"/>
  <c r="P33" i="10"/>
  <c r="R33" i="10"/>
  <c r="R37" i="10"/>
  <c r="R70" i="10"/>
  <c r="R68" i="10" s="1"/>
  <c r="P70" i="10"/>
  <c r="P61" i="10"/>
  <c r="R61" i="10"/>
  <c r="P32" i="10"/>
  <c r="R32" i="10"/>
  <c r="R43" i="10"/>
  <c r="R41" i="10" s="1"/>
  <c r="P43" i="10"/>
  <c r="R79" i="10"/>
  <c r="R77" i="10" s="1"/>
  <c r="P79" i="10"/>
  <c r="R55" i="10"/>
  <c r="P55" i="10"/>
  <c r="R14" i="10"/>
  <c r="R12" i="10" s="1"/>
  <c r="P14" i="10"/>
  <c r="R20" i="10"/>
  <c r="R18" i="10" s="1"/>
  <c r="P20" i="10"/>
  <c r="J42" i="9"/>
  <c r="K42" i="9" s="1"/>
  <c r="L16" i="9"/>
  <c r="L82" i="9"/>
  <c r="J82" i="9"/>
  <c r="K82" i="9" s="1"/>
  <c r="L79" i="9"/>
  <c r="J79" i="9"/>
  <c r="K79" i="9" s="1"/>
  <c r="L78" i="9"/>
  <c r="J78" i="9"/>
  <c r="K78" i="9" s="1"/>
  <c r="L75" i="9"/>
  <c r="J75" i="9"/>
  <c r="K75" i="9" s="1"/>
  <c r="L76" i="9"/>
  <c r="J76" i="9"/>
  <c r="K76" i="9" s="1"/>
  <c r="L73" i="9"/>
  <c r="J73" i="9"/>
  <c r="K73" i="9" s="1"/>
  <c r="L68" i="9"/>
  <c r="L67" i="9"/>
  <c r="J67" i="9"/>
  <c r="K67" i="9" s="1"/>
  <c r="L66" i="9"/>
  <c r="J66" i="9"/>
  <c r="K66" i="9" s="1"/>
  <c r="L63" i="9"/>
  <c r="J63" i="9"/>
  <c r="K63" i="9" s="1"/>
  <c r="L64" i="9"/>
  <c r="J64" i="9"/>
  <c r="K64" i="9" s="1"/>
  <c r="L60" i="9"/>
  <c r="J60" i="9"/>
  <c r="K60" i="9" s="1"/>
  <c r="L61" i="9"/>
  <c r="J61" i="9"/>
  <c r="K61" i="9" s="1"/>
  <c r="L58" i="9"/>
  <c r="L54" i="9"/>
  <c r="J54" i="9"/>
  <c r="K54" i="9" s="1"/>
  <c r="L55" i="9"/>
  <c r="J55" i="9"/>
  <c r="K55" i="9" s="1"/>
  <c r="L47" i="9"/>
  <c r="L41" i="9"/>
  <c r="L45" i="9"/>
  <c r="J45" i="9"/>
  <c r="K45" i="9" s="1"/>
  <c r="L46" i="9"/>
  <c r="J46" i="9"/>
  <c r="K46" i="9" s="1"/>
  <c r="L31" i="9"/>
  <c r="L34" i="9"/>
  <c r="L37" i="9"/>
  <c r="L27" i="9"/>
  <c r="L20" i="9"/>
  <c r="J20" i="9"/>
  <c r="K20" i="9" s="1"/>
  <c r="L19" i="9"/>
  <c r="J19" i="9"/>
  <c r="K19" i="9" s="1"/>
  <c r="J17" i="9"/>
  <c r="K17" i="9" s="1"/>
  <c r="L17" i="9"/>
  <c r="G9" i="9"/>
  <c r="J9" i="9" s="1"/>
  <c r="K9" i="9" s="1"/>
  <c r="G10" i="9"/>
  <c r="L10" i="9" s="1"/>
  <c r="L7" i="9"/>
  <c r="J7" i="9"/>
  <c r="K7" i="9" s="1"/>
  <c r="L6" i="9"/>
  <c r="J6" i="9"/>
  <c r="K6" i="9" s="1"/>
  <c r="F45" i="10"/>
  <c r="F43" i="10"/>
  <c r="F64" i="8"/>
  <c r="C65" i="8"/>
  <c r="F65" i="8" s="1"/>
  <c r="C61" i="8"/>
  <c r="F61" i="8" s="1"/>
  <c r="F59" i="8"/>
  <c r="C31" i="8"/>
  <c r="F31" i="8" s="1"/>
  <c r="F29" i="8"/>
  <c r="F56" i="8"/>
  <c r="F120" i="8" s="1"/>
  <c r="G120" i="8" s="1"/>
  <c r="C61" i="7"/>
  <c r="F61" i="7" s="1"/>
  <c r="F59" i="7"/>
  <c r="F56" i="7"/>
  <c r="F120" i="7" s="1"/>
  <c r="G120" i="7" s="1"/>
  <c r="F56" i="6"/>
  <c r="F120" i="6" s="1"/>
  <c r="F59" i="6"/>
  <c r="C61" i="6"/>
  <c r="F61" i="6" s="1"/>
  <c r="Q35" i="13" l="1"/>
  <c r="V35" i="13" s="1"/>
  <c r="U35" i="13"/>
  <c r="Q55" i="13"/>
  <c r="V55" i="13" s="1"/>
  <c r="U55" i="13"/>
  <c r="Q17" i="13"/>
  <c r="V17" i="13" s="1"/>
  <c r="U17" i="13"/>
  <c r="Q36" i="13"/>
  <c r="V36" i="13" s="1"/>
  <c r="U36" i="13"/>
  <c r="Q54" i="13"/>
  <c r="V54" i="13" s="1"/>
  <c r="U54" i="13"/>
  <c r="Q13" i="13"/>
  <c r="V13" i="13" s="1"/>
  <c r="U13" i="13"/>
  <c r="Q78" i="13"/>
  <c r="V78" i="13" s="1"/>
  <c r="U78" i="13"/>
  <c r="Q73" i="13"/>
  <c r="V73" i="13" s="1"/>
  <c r="U73" i="13"/>
  <c r="Q79" i="13"/>
  <c r="V79" i="13" s="1"/>
  <c r="U79" i="13"/>
  <c r="Q23" i="13"/>
  <c r="V23" i="13" s="1"/>
  <c r="U23" i="13"/>
  <c r="Q43" i="13"/>
  <c r="V43" i="13" s="1"/>
  <c r="U43" i="13"/>
  <c r="Q51" i="13"/>
  <c r="V51" i="13" s="1"/>
  <c r="U51" i="13"/>
  <c r="Q42" i="13"/>
  <c r="V42" i="13" s="1"/>
  <c r="U42" i="13"/>
  <c r="Q25" i="13"/>
  <c r="V25" i="13" s="1"/>
  <c r="U25" i="13"/>
  <c r="Q52" i="13"/>
  <c r="V52" i="13" s="1"/>
  <c r="U52" i="13"/>
  <c r="Q14" i="13"/>
  <c r="V14" i="13" s="1"/>
  <c r="U14" i="13"/>
  <c r="Q7" i="13"/>
  <c r="V7" i="13" s="1"/>
  <c r="U7" i="13"/>
  <c r="Q6" i="13"/>
  <c r="V6" i="13" s="1"/>
  <c r="U6" i="13"/>
  <c r="Q29" i="13"/>
  <c r="V29" i="13" s="1"/>
  <c r="U29" i="13"/>
  <c r="Q67" i="13"/>
  <c r="V67" i="13" s="1"/>
  <c r="U67" i="13"/>
  <c r="Q32" i="13"/>
  <c r="V32" i="13" s="1"/>
  <c r="U32" i="13"/>
  <c r="Q69" i="13"/>
  <c r="V69" i="13" s="1"/>
  <c r="U69" i="13"/>
  <c r="Q75" i="13"/>
  <c r="V75" i="13" s="1"/>
  <c r="U75" i="13"/>
  <c r="Q54" i="12"/>
  <c r="V54" i="12" s="1"/>
  <c r="U54" i="12"/>
  <c r="Q23" i="12"/>
  <c r="V23" i="12" s="1"/>
  <c r="U23" i="12"/>
  <c r="Q6" i="12"/>
  <c r="V6" i="12" s="1"/>
  <c r="U6" i="12"/>
  <c r="Q22" i="12"/>
  <c r="V22" i="12" s="1"/>
  <c r="U22" i="12"/>
  <c r="Q49" i="12"/>
  <c r="V49" i="12" s="1"/>
  <c r="U49" i="12"/>
  <c r="Q57" i="12"/>
  <c r="V57" i="12" s="1"/>
  <c r="U57" i="12"/>
  <c r="Q28" i="12"/>
  <c r="V28" i="12" s="1"/>
  <c r="U28" i="12"/>
  <c r="Q43" i="12"/>
  <c r="V43" i="12" s="1"/>
  <c r="U43" i="12"/>
  <c r="Q73" i="12"/>
  <c r="V73" i="12" s="1"/>
  <c r="U73" i="12"/>
  <c r="Q45" i="12"/>
  <c r="V45" i="12" s="1"/>
  <c r="U45" i="12"/>
  <c r="Q82" i="12"/>
  <c r="V82" i="12" s="1"/>
  <c r="U82" i="12"/>
  <c r="Q17" i="12"/>
  <c r="V17" i="12" s="1"/>
  <c r="U17" i="12"/>
  <c r="Q42" i="12"/>
  <c r="V42" i="12" s="1"/>
  <c r="U42" i="12"/>
  <c r="Q14" i="12"/>
  <c r="V14" i="12" s="1"/>
  <c r="U14" i="12"/>
  <c r="Q20" i="12"/>
  <c r="V20" i="12" s="1"/>
  <c r="U20" i="12"/>
  <c r="Q76" i="12"/>
  <c r="V76" i="12" s="1"/>
  <c r="U76" i="12"/>
  <c r="Q46" i="12"/>
  <c r="V46" i="12" s="1"/>
  <c r="U46" i="12"/>
  <c r="Q67" i="12"/>
  <c r="V67" i="12" s="1"/>
  <c r="U67" i="12"/>
  <c r="Q58" i="12"/>
  <c r="V58" i="12" s="1"/>
  <c r="U58" i="12"/>
  <c r="Q33" i="12"/>
  <c r="V33" i="12" s="1"/>
  <c r="U33" i="12"/>
  <c r="Q9" i="12"/>
  <c r="V9" i="12" s="1"/>
  <c r="U9" i="12"/>
  <c r="Q55" i="12"/>
  <c r="V55" i="12" s="1"/>
  <c r="U55" i="12"/>
  <c r="Q36" i="12"/>
  <c r="V36" i="12" s="1"/>
  <c r="U36" i="12"/>
  <c r="R6" i="15"/>
  <c r="P6" i="15"/>
  <c r="I10" i="15"/>
  <c r="M10" i="15" s="1"/>
  <c r="I9" i="15"/>
  <c r="M9" i="15" s="1"/>
  <c r="I43" i="17"/>
  <c r="M43" i="17" s="1"/>
  <c r="M42" i="17"/>
  <c r="F45" i="15"/>
  <c r="F95" i="15" s="1"/>
  <c r="I51" i="15"/>
  <c r="F45" i="17"/>
  <c r="F95" i="17" s="1"/>
  <c r="I51" i="17"/>
  <c r="Q23" i="17"/>
  <c r="V23" i="17" s="1"/>
  <c r="X23" i="17" s="1"/>
  <c r="Q13" i="17"/>
  <c r="V13" i="17" s="1"/>
  <c r="X13" i="17" s="1"/>
  <c r="Q36" i="17"/>
  <c r="V36" i="17" s="1"/>
  <c r="X36" i="17" s="1"/>
  <c r="R44" i="17"/>
  <c r="P57" i="17"/>
  <c r="U57" i="17" s="1"/>
  <c r="P9" i="17"/>
  <c r="U9" i="17" s="1"/>
  <c r="R71" i="17"/>
  <c r="R65" i="17"/>
  <c r="R10" i="17"/>
  <c r="P10" i="17"/>
  <c r="U10" i="17" s="1"/>
  <c r="R22" i="17"/>
  <c r="R21" i="17" s="1"/>
  <c r="P22" i="17"/>
  <c r="U22" i="17" s="1"/>
  <c r="R56" i="17"/>
  <c r="R18" i="17"/>
  <c r="Q60" i="17"/>
  <c r="V60" i="17" s="1"/>
  <c r="X60" i="17" s="1"/>
  <c r="Q54" i="17"/>
  <c r="V54" i="17" s="1"/>
  <c r="X54" i="17" s="1"/>
  <c r="Q73" i="17"/>
  <c r="V73" i="17" s="1"/>
  <c r="X73" i="17" s="1"/>
  <c r="Q32" i="17"/>
  <c r="V32" i="17" s="1"/>
  <c r="X32" i="17" s="1"/>
  <c r="Q81" i="17"/>
  <c r="V81" i="17" s="1"/>
  <c r="X81" i="17" s="1"/>
  <c r="R24" i="17"/>
  <c r="R49" i="17"/>
  <c r="P49" i="17"/>
  <c r="U49" i="17" s="1"/>
  <c r="Q26" i="17"/>
  <c r="V26" i="17" s="1"/>
  <c r="X26" i="17" s="1"/>
  <c r="R38" i="17"/>
  <c r="P38" i="17"/>
  <c r="U38" i="17" s="1"/>
  <c r="Q19" i="17"/>
  <c r="V19" i="17" s="1"/>
  <c r="X19" i="17" s="1"/>
  <c r="R80" i="17"/>
  <c r="Q25" i="17"/>
  <c r="V25" i="17" s="1"/>
  <c r="X25" i="17" s="1"/>
  <c r="R48" i="17"/>
  <c r="P48" i="17"/>
  <c r="U48" i="17" s="1"/>
  <c r="Q6" i="17"/>
  <c r="V6" i="17" s="1"/>
  <c r="X6" i="17" s="1"/>
  <c r="Q72" i="17"/>
  <c r="V72" i="17" s="1"/>
  <c r="X72" i="17" s="1"/>
  <c r="Q69" i="17"/>
  <c r="V69" i="17" s="1"/>
  <c r="X69" i="17" s="1"/>
  <c r="R31" i="17"/>
  <c r="Q66" i="17"/>
  <c r="V66" i="17" s="1"/>
  <c r="X66" i="17" s="1"/>
  <c r="R27" i="17"/>
  <c r="Q55" i="17"/>
  <c r="V55" i="17" s="1"/>
  <c r="X55" i="17" s="1"/>
  <c r="Q78" i="17"/>
  <c r="V78" i="17" s="1"/>
  <c r="X78" i="17" s="1"/>
  <c r="Q67" i="17"/>
  <c r="V67" i="17" s="1"/>
  <c r="X67" i="17" s="1"/>
  <c r="Q28" i="17"/>
  <c r="V28" i="17" s="1"/>
  <c r="X28" i="17" s="1"/>
  <c r="Q76" i="17"/>
  <c r="V76" i="17" s="1"/>
  <c r="X76" i="17" s="1"/>
  <c r="Q63" i="17"/>
  <c r="V63" i="17" s="1"/>
  <c r="X63" i="17" s="1"/>
  <c r="P16" i="17"/>
  <c r="U16" i="17" s="1"/>
  <c r="R16" i="17"/>
  <c r="R77" i="17"/>
  <c r="V33" i="17"/>
  <c r="X33" i="17" s="1"/>
  <c r="Q35" i="17"/>
  <c r="V35" i="17" s="1"/>
  <c r="X35" i="17" s="1"/>
  <c r="Q20" i="17"/>
  <c r="V20" i="17" s="1"/>
  <c r="X20" i="17" s="1"/>
  <c r="Q29" i="17"/>
  <c r="V29" i="17" s="1"/>
  <c r="X29" i="17" s="1"/>
  <c r="Q7" i="17"/>
  <c r="V7" i="17" s="1"/>
  <c r="X7" i="17" s="1"/>
  <c r="Q64" i="17"/>
  <c r="V64" i="17" s="1"/>
  <c r="X64" i="17" s="1"/>
  <c r="P17" i="17"/>
  <c r="U17" i="17" s="1"/>
  <c r="R17" i="17"/>
  <c r="Q58" i="17"/>
  <c r="V58" i="17" s="1"/>
  <c r="X58" i="17" s="1"/>
  <c r="Q46" i="17"/>
  <c r="V46" i="17" s="1"/>
  <c r="X46" i="17" s="1"/>
  <c r="Q45" i="17"/>
  <c r="V45" i="17" s="1"/>
  <c r="X45" i="17" s="1"/>
  <c r="Q82" i="17"/>
  <c r="V82" i="17" s="1"/>
  <c r="X82" i="17" s="1"/>
  <c r="R53" i="17"/>
  <c r="R39" i="17"/>
  <c r="P39" i="17"/>
  <c r="U39" i="17" s="1"/>
  <c r="Q79" i="17"/>
  <c r="V79" i="17" s="1"/>
  <c r="X79" i="17" s="1"/>
  <c r="R79" i="15"/>
  <c r="R77" i="15" s="1"/>
  <c r="P57" i="15"/>
  <c r="R27" i="15"/>
  <c r="U67" i="15"/>
  <c r="U29" i="15"/>
  <c r="P61" i="15"/>
  <c r="Q61" i="15" s="1"/>
  <c r="V61" i="15" s="1"/>
  <c r="R18" i="15"/>
  <c r="R71" i="15"/>
  <c r="P19" i="15"/>
  <c r="Q19" i="15" s="1"/>
  <c r="V19" i="15" s="1"/>
  <c r="Q73" i="15"/>
  <c r="V73" i="15" s="1"/>
  <c r="P23" i="15"/>
  <c r="R21" i="15"/>
  <c r="P48" i="15"/>
  <c r="Q48" i="15" s="1"/>
  <c r="V48" i="15" s="1"/>
  <c r="R56" i="15"/>
  <c r="P28" i="15"/>
  <c r="Q28" i="15" s="1"/>
  <c r="V28" i="15" s="1"/>
  <c r="R80" i="15"/>
  <c r="Q20" i="15"/>
  <c r="V20" i="15" s="1"/>
  <c r="R24" i="15"/>
  <c r="U60" i="15"/>
  <c r="R74" i="15"/>
  <c r="R63" i="15"/>
  <c r="P63" i="15"/>
  <c r="R64" i="15"/>
  <c r="P64" i="15"/>
  <c r="P54" i="15"/>
  <c r="R54" i="15"/>
  <c r="R55" i="15"/>
  <c r="P55" i="15"/>
  <c r="R47" i="15"/>
  <c r="U16" i="15"/>
  <c r="Q36" i="15"/>
  <c r="V36" i="15" s="1"/>
  <c r="U36" i="15"/>
  <c r="U70" i="15"/>
  <c r="Q70" i="15"/>
  <c r="V70" i="15" s="1"/>
  <c r="U76" i="15"/>
  <c r="Q76" i="15"/>
  <c r="V76" i="15" s="1"/>
  <c r="Q58" i="15"/>
  <c r="V58" i="15" s="1"/>
  <c r="U58" i="15"/>
  <c r="R33" i="15"/>
  <c r="P33" i="15"/>
  <c r="Q26" i="15"/>
  <c r="V26" i="15" s="1"/>
  <c r="U26" i="15"/>
  <c r="Q14" i="15"/>
  <c r="V14" i="15" s="1"/>
  <c r="U14" i="15"/>
  <c r="U49" i="15"/>
  <c r="Q49" i="15"/>
  <c r="V49" i="15" s="1"/>
  <c r="U6" i="15"/>
  <c r="Q6" i="15"/>
  <c r="V6" i="15" s="1"/>
  <c r="Q25" i="15"/>
  <c r="V25" i="15" s="1"/>
  <c r="U25" i="15"/>
  <c r="U66" i="15"/>
  <c r="Q66" i="15"/>
  <c r="V66" i="15" s="1"/>
  <c r="Q46" i="15"/>
  <c r="V46" i="15" s="1"/>
  <c r="U46" i="15"/>
  <c r="R44" i="15"/>
  <c r="Q22" i="15"/>
  <c r="V22" i="15" s="1"/>
  <c r="U22" i="15"/>
  <c r="Q23" i="15"/>
  <c r="V23" i="15" s="1"/>
  <c r="U23" i="15"/>
  <c r="R42" i="15"/>
  <c r="P42" i="15"/>
  <c r="U79" i="15"/>
  <c r="Q79" i="15"/>
  <c r="V79" i="15" s="1"/>
  <c r="U7" i="15"/>
  <c r="Q7" i="15"/>
  <c r="V7" i="15" s="1"/>
  <c r="R32" i="15"/>
  <c r="P32" i="15"/>
  <c r="U45" i="15"/>
  <c r="Q45" i="15"/>
  <c r="V45" i="15" s="1"/>
  <c r="R43" i="15"/>
  <c r="P43" i="15"/>
  <c r="Q72" i="15"/>
  <c r="V72" i="15" s="1"/>
  <c r="U72" i="15"/>
  <c r="Q75" i="15"/>
  <c r="V75" i="15" s="1"/>
  <c r="U75" i="15"/>
  <c r="U57" i="15"/>
  <c r="Q57" i="15"/>
  <c r="V57" i="15" s="1"/>
  <c r="U81" i="15"/>
  <c r="Q81" i="15"/>
  <c r="V81" i="15" s="1"/>
  <c r="Q46" i="10"/>
  <c r="V46" i="10" s="1"/>
  <c r="U46" i="10"/>
  <c r="Q20" i="10"/>
  <c r="V20" i="10" s="1"/>
  <c r="U20" i="10"/>
  <c r="Q43" i="10"/>
  <c r="V43" i="10" s="1"/>
  <c r="U43" i="10"/>
  <c r="Q70" i="10"/>
  <c r="V70" i="10" s="1"/>
  <c r="U70" i="10"/>
  <c r="Q69" i="10"/>
  <c r="V69" i="10" s="1"/>
  <c r="U69" i="10"/>
  <c r="Q79" i="10"/>
  <c r="V79" i="10" s="1"/>
  <c r="U79" i="10"/>
  <c r="Q9" i="10"/>
  <c r="V9" i="10" s="1"/>
  <c r="U9" i="10"/>
  <c r="P22" i="10"/>
  <c r="Q67" i="10"/>
  <c r="V67" i="10" s="1"/>
  <c r="U67" i="10"/>
  <c r="J81" i="9"/>
  <c r="K81" i="9" s="1"/>
  <c r="Q14" i="10"/>
  <c r="V14" i="10" s="1"/>
  <c r="U14" i="10"/>
  <c r="R21" i="10"/>
  <c r="Q61" i="10"/>
  <c r="V61" i="10" s="1"/>
  <c r="U61" i="10"/>
  <c r="Q36" i="10"/>
  <c r="V36" i="10" s="1"/>
  <c r="U36" i="10"/>
  <c r="Q23" i="10"/>
  <c r="V23" i="10" s="1"/>
  <c r="U23" i="10"/>
  <c r="Q32" i="10"/>
  <c r="V32" i="10" s="1"/>
  <c r="U32" i="10"/>
  <c r="Q42" i="10"/>
  <c r="V42" i="10" s="1"/>
  <c r="U42" i="10"/>
  <c r="Q64" i="10"/>
  <c r="V64" i="10" s="1"/>
  <c r="U64" i="10"/>
  <c r="Q55" i="10"/>
  <c r="V55" i="10" s="1"/>
  <c r="U55" i="10"/>
  <c r="Q33" i="10"/>
  <c r="V33" i="10" s="1"/>
  <c r="U33" i="10"/>
  <c r="Q13" i="10"/>
  <c r="V13" i="10" s="1"/>
  <c r="U13" i="10"/>
  <c r="Q76" i="10"/>
  <c r="V76" i="10" s="1"/>
  <c r="U76" i="10"/>
  <c r="Q58" i="10"/>
  <c r="V58" i="10" s="1"/>
  <c r="U58" i="10"/>
  <c r="Q54" i="10"/>
  <c r="V54" i="10" s="1"/>
  <c r="U54" i="10"/>
  <c r="R28" i="13"/>
  <c r="R27" i="13" s="1"/>
  <c r="P28" i="13"/>
  <c r="R20" i="13"/>
  <c r="P20" i="13"/>
  <c r="R9" i="13"/>
  <c r="P9" i="13"/>
  <c r="R12" i="13"/>
  <c r="R10" i="13"/>
  <c r="P10" i="13"/>
  <c r="R53" i="13"/>
  <c r="R41" i="13"/>
  <c r="R19" i="13"/>
  <c r="R18" i="13" s="1"/>
  <c r="P19" i="13"/>
  <c r="R46" i="13"/>
  <c r="P46" i="13"/>
  <c r="R58" i="13"/>
  <c r="P58" i="13"/>
  <c r="R77" i="13"/>
  <c r="R45" i="13"/>
  <c r="P45" i="13"/>
  <c r="R57" i="13"/>
  <c r="P57" i="13"/>
  <c r="R56" i="12"/>
  <c r="R41" i="12"/>
  <c r="M51" i="12"/>
  <c r="I52" i="12"/>
  <c r="M52" i="12" s="1"/>
  <c r="R19" i="12"/>
  <c r="R18" i="12" s="1"/>
  <c r="P19" i="12"/>
  <c r="R21" i="12"/>
  <c r="R10" i="12"/>
  <c r="R4" i="12" s="1"/>
  <c r="P10" i="12"/>
  <c r="R45" i="10"/>
  <c r="P45" i="10"/>
  <c r="L65" i="9"/>
  <c r="L21" i="9"/>
  <c r="L9" i="9"/>
  <c r="L4" i="9" s="1"/>
  <c r="L18" i="9"/>
  <c r="R53" i="10"/>
  <c r="J72" i="9"/>
  <c r="K72" i="9" s="1"/>
  <c r="L77" i="9"/>
  <c r="R59" i="10"/>
  <c r="F95" i="10"/>
  <c r="R44" i="10"/>
  <c r="P6" i="10"/>
  <c r="U6" i="10" s="1"/>
  <c r="R6" i="10"/>
  <c r="L57" i="9"/>
  <c r="L56" i="9" s="1"/>
  <c r="P10" i="10"/>
  <c r="I52" i="10"/>
  <c r="M52" i="10" s="1"/>
  <c r="M51" i="10"/>
  <c r="P7" i="10"/>
  <c r="R7" i="10"/>
  <c r="L14" i="9"/>
  <c r="L12" i="9" s="1"/>
  <c r="C52" i="9"/>
  <c r="G52" i="9" s="1"/>
  <c r="G51" i="9"/>
  <c r="P73" i="10"/>
  <c r="R73" i="10"/>
  <c r="J10" i="9"/>
  <c r="K10" i="9" s="1"/>
  <c r="R82" i="10"/>
  <c r="P82" i="10"/>
  <c r="L80" i="9"/>
  <c r="R31" i="10"/>
  <c r="P81" i="10"/>
  <c r="R81" i="10"/>
  <c r="L15" i="9"/>
  <c r="R72" i="10"/>
  <c r="P72" i="10"/>
  <c r="L71" i="9"/>
  <c r="L74" i="9"/>
  <c r="L59" i="9"/>
  <c r="L62" i="9"/>
  <c r="L53" i="9"/>
  <c r="L44" i="9"/>
  <c r="Q57" i="13" l="1"/>
  <c r="V57" i="13" s="1"/>
  <c r="U57" i="13"/>
  <c r="Q45" i="13"/>
  <c r="V45" i="13" s="1"/>
  <c r="U45" i="13"/>
  <c r="Q58" i="13"/>
  <c r="V58" i="13" s="1"/>
  <c r="U58" i="13"/>
  <c r="Q46" i="13"/>
  <c r="V46" i="13" s="1"/>
  <c r="U46" i="13"/>
  <c r="Q19" i="13"/>
  <c r="V19" i="13" s="1"/>
  <c r="U19" i="13"/>
  <c r="Q10" i="13"/>
  <c r="V10" i="13" s="1"/>
  <c r="U10" i="13"/>
  <c r="Q9" i="13"/>
  <c r="V9" i="13" s="1"/>
  <c r="U9" i="13"/>
  <c r="Q20" i="13"/>
  <c r="V20" i="13" s="1"/>
  <c r="U20" i="13"/>
  <c r="Q28" i="13"/>
  <c r="V28" i="13" s="1"/>
  <c r="U28" i="13"/>
  <c r="Q10" i="12"/>
  <c r="V10" i="12" s="1"/>
  <c r="U10" i="12"/>
  <c r="Q19" i="12"/>
  <c r="V19" i="12" s="1"/>
  <c r="U19" i="12"/>
  <c r="I52" i="17"/>
  <c r="M52" i="17" s="1"/>
  <c r="M51" i="17"/>
  <c r="M51" i="15"/>
  <c r="I52" i="15"/>
  <c r="M52" i="15" s="1"/>
  <c r="P42" i="17"/>
  <c r="R42" i="17"/>
  <c r="R43" i="17"/>
  <c r="P43" i="17"/>
  <c r="R9" i="15"/>
  <c r="P9" i="15"/>
  <c r="R10" i="15"/>
  <c r="P10" i="15"/>
  <c r="Q9" i="17"/>
  <c r="V9" i="17" s="1"/>
  <c r="X9" i="17" s="1"/>
  <c r="Q22" i="17"/>
  <c r="V22" i="17" s="1"/>
  <c r="X22" i="17" s="1"/>
  <c r="Q10" i="17"/>
  <c r="V10" i="17" s="1"/>
  <c r="X10" i="17" s="1"/>
  <c r="Q57" i="17"/>
  <c r="V57" i="17" s="1"/>
  <c r="X57" i="17" s="1"/>
  <c r="R4" i="17"/>
  <c r="R15" i="17"/>
  <c r="Q39" i="17"/>
  <c r="V39" i="17" s="1"/>
  <c r="X39" i="17" s="1"/>
  <c r="Q49" i="17"/>
  <c r="V49" i="17" s="1"/>
  <c r="X49" i="17" s="1"/>
  <c r="Q17" i="17"/>
  <c r="V17" i="17" s="1"/>
  <c r="X17" i="17" s="1"/>
  <c r="Q16" i="17"/>
  <c r="V16" i="17" s="1"/>
  <c r="X16" i="17" s="1"/>
  <c r="Q38" i="17"/>
  <c r="V38" i="17" s="1"/>
  <c r="X38" i="17" s="1"/>
  <c r="Q48" i="17"/>
  <c r="V48" i="17" s="1"/>
  <c r="X48" i="17" s="1"/>
  <c r="R37" i="17"/>
  <c r="R47" i="17"/>
  <c r="U61" i="15"/>
  <c r="U48" i="15"/>
  <c r="U19" i="15"/>
  <c r="R62" i="15"/>
  <c r="U28" i="15"/>
  <c r="R41" i="15"/>
  <c r="Q64" i="15"/>
  <c r="V64" i="15" s="1"/>
  <c r="U64" i="15"/>
  <c r="U63" i="15"/>
  <c r="Q63" i="15"/>
  <c r="V63" i="15" s="1"/>
  <c r="Q55" i="15"/>
  <c r="V55" i="15" s="1"/>
  <c r="U55" i="15"/>
  <c r="R53" i="15"/>
  <c r="U54" i="15"/>
  <c r="Q54" i="15"/>
  <c r="V54" i="15" s="1"/>
  <c r="R31" i="15"/>
  <c r="U32" i="15"/>
  <c r="Q32" i="15"/>
  <c r="V32" i="15" s="1"/>
  <c r="U33" i="15"/>
  <c r="Q33" i="15"/>
  <c r="V33" i="15" s="1"/>
  <c r="U43" i="15"/>
  <c r="Q43" i="15"/>
  <c r="V43" i="15" s="1"/>
  <c r="U42" i="15"/>
  <c r="Q42" i="15"/>
  <c r="V42" i="15" s="1"/>
  <c r="Q81" i="10"/>
  <c r="V81" i="10" s="1"/>
  <c r="U81" i="10"/>
  <c r="Q82" i="10"/>
  <c r="V82" i="10" s="1"/>
  <c r="U82" i="10"/>
  <c r="Q22" i="10"/>
  <c r="V22" i="10" s="1"/>
  <c r="U22" i="10"/>
  <c r="R71" i="10"/>
  <c r="Q45" i="10"/>
  <c r="V45" i="10" s="1"/>
  <c r="U45" i="10"/>
  <c r="Q72" i="10"/>
  <c r="V72" i="10" s="1"/>
  <c r="U72" i="10"/>
  <c r="Q7" i="10"/>
  <c r="V7" i="10" s="1"/>
  <c r="U7" i="10"/>
  <c r="Q73" i="10"/>
  <c r="V73" i="10" s="1"/>
  <c r="U73" i="10"/>
  <c r="Q10" i="10"/>
  <c r="V10" i="10" s="1"/>
  <c r="U10" i="10"/>
  <c r="Q6" i="10"/>
  <c r="V6" i="10" s="1"/>
  <c r="R4" i="13"/>
  <c r="R56" i="13"/>
  <c r="R44" i="13"/>
  <c r="R52" i="12"/>
  <c r="P52" i="12"/>
  <c r="P51" i="12"/>
  <c r="R51" i="12"/>
  <c r="R52" i="10"/>
  <c r="P52" i="10"/>
  <c r="P51" i="10"/>
  <c r="R51" i="10"/>
  <c r="L51" i="9"/>
  <c r="J51" i="9"/>
  <c r="K51" i="9" s="1"/>
  <c r="R4" i="10"/>
  <c r="R80" i="10"/>
  <c r="L52" i="9"/>
  <c r="J52" i="9"/>
  <c r="K52" i="9" s="1"/>
  <c r="Q51" i="12" l="1"/>
  <c r="V51" i="12" s="1"/>
  <c r="U51" i="12"/>
  <c r="Q52" i="12"/>
  <c r="V52" i="12" s="1"/>
  <c r="U52" i="12"/>
  <c r="Q10" i="15"/>
  <c r="V10" i="15" s="1"/>
  <c r="U10" i="15"/>
  <c r="U9" i="15"/>
  <c r="Q9" i="15"/>
  <c r="V9" i="15" s="1"/>
  <c r="R4" i="15"/>
  <c r="U43" i="17"/>
  <c r="Q43" i="17"/>
  <c r="V43" i="17" s="1"/>
  <c r="X43" i="17" s="1"/>
  <c r="R41" i="17"/>
  <c r="U42" i="17"/>
  <c r="Q42" i="17"/>
  <c r="V42" i="17" s="1"/>
  <c r="X42" i="17" s="1"/>
  <c r="P52" i="15"/>
  <c r="R52" i="15"/>
  <c r="R51" i="15"/>
  <c r="P51" i="15"/>
  <c r="R51" i="17"/>
  <c r="P51" i="17"/>
  <c r="P52" i="17"/>
  <c r="R52" i="17"/>
  <c r="Q51" i="10"/>
  <c r="V51" i="10" s="1"/>
  <c r="U51" i="10"/>
  <c r="Q52" i="10"/>
  <c r="V52" i="10" s="1"/>
  <c r="U52" i="10"/>
  <c r="R83" i="13"/>
  <c r="I85" i="13" s="1"/>
  <c r="R50" i="12"/>
  <c r="R83" i="12" s="1"/>
  <c r="I85" i="12" s="1"/>
  <c r="R50" i="10"/>
  <c r="R83" i="10" s="1"/>
  <c r="I85" i="10" s="1"/>
  <c r="L50" i="9"/>
  <c r="L83" i="9" s="1"/>
  <c r="U52" i="17" l="1"/>
  <c r="Q52" i="17"/>
  <c r="V52" i="17" s="1"/>
  <c r="X52" i="17" s="1"/>
  <c r="U51" i="17"/>
  <c r="Q51" i="17"/>
  <c r="V51" i="17" s="1"/>
  <c r="X51" i="17" s="1"/>
  <c r="R50" i="17"/>
  <c r="R83" i="17" s="1"/>
  <c r="Q51" i="15"/>
  <c r="V51" i="15" s="1"/>
  <c r="U51" i="15"/>
  <c r="R50" i="15"/>
  <c r="R83" i="15" s="1"/>
  <c r="I89" i="15" s="1"/>
  <c r="K89" i="15" s="1"/>
  <c r="U52" i="15"/>
  <c r="Q52" i="15"/>
  <c r="V52" i="15" s="1"/>
  <c r="I85" i="17"/>
  <c r="K89" i="17" s="1"/>
  <c r="R86" i="17"/>
  <c r="E46" i="2" l="1"/>
  <c r="D46" i="2"/>
  <c r="E41" i="2" l="1"/>
  <c r="E43" i="2"/>
  <c r="E15" i="2"/>
  <c r="E17" i="2"/>
  <c r="E22" i="2"/>
  <c r="E40" i="2"/>
  <c r="E44" i="2"/>
  <c r="E21" i="2"/>
  <c r="E42" i="2"/>
  <c r="E24" i="2"/>
  <c r="E23" i="2"/>
  <c r="E36" i="2"/>
  <c r="E14" i="2"/>
  <c r="E12" i="2"/>
  <c r="E19" i="2"/>
  <c r="E18" i="2"/>
  <c r="E8" i="2"/>
  <c r="E20" i="2"/>
  <c r="E11" i="2"/>
  <c r="E25" i="2"/>
  <c r="E32" i="2"/>
  <c r="E37" i="2"/>
  <c r="E10" i="2"/>
  <c r="E39" i="2"/>
  <c r="E9" i="2"/>
  <c r="E38" i="2"/>
  <c r="E6" i="2"/>
  <c r="E35" i="2"/>
  <c r="E31" i="2"/>
  <c r="E26" i="2"/>
  <c r="E5" i="2"/>
  <c r="E7" i="2"/>
  <c r="E13" i="2"/>
  <c r="E28" i="2"/>
  <c r="E16" i="2"/>
  <c r="E2" i="2"/>
  <c r="E4" i="2"/>
  <c r="E3" i="2"/>
  <c r="E27" i="2"/>
  <c r="E34" i="2"/>
  <c r="E33" i="2"/>
  <c r="E30" i="2"/>
  <c r="E29" i="2"/>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2" i="1"/>
  <c r="D8" i="1"/>
  <c r="D12" i="1"/>
  <c r="D21" i="1"/>
  <c r="D29" i="1"/>
  <c r="D46" i="1"/>
  <c r="D2" i="1"/>
  <c r="D5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3" authorId="0" shapeId="0" xr:uid="{00000000-0006-0000-0000-00000A000000}">
      <text>
        <r>
          <rPr>
            <sz val="11"/>
            <color theme="1"/>
            <rFont val="Calibri"/>
            <family val="2"/>
            <scheme val="minor"/>
          </rPr>
          <t>Bathroom sink with faucet
Bathtub with faucet and drain
Shower with showerhead, faucet, and drain
Toilet with tank, bowl, seat, and supply line
freestanding bathtub, freestanding bathtub faucet and drain
Valves as needed througout the house
Kitchen sink with faucet and drain
Garbage disposal with switch
water heater
Laundry valves</t>
        </r>
      </text>
    </comment>
    <comment ref="C25" authorId="0" shapeId="0" xr:uid="{00000000-0006-0000-0000-00000C000000}">
      <text>
        <r>
          <rPr>
            <sz val="11"/>
            <color theme="1"/>
            <rFont val="Calibri"/>
            <family val="2"/>
            <scheme val="minor"/>
          </rPr>
          <t>Electrical panel with breakers
Wall switches for lights and fans
Electrical outlets for appliances and devices (GFCI where applicable per code)
Ceiling light fixtures and fans
Bathroom light fixtures and exhaust fans
Kitchen light fixtures
Closet light fixtures
Doorbell and chime
Smoke detectors and carbon monoxide detectors
Thermostat for heating and cooling system</t>
        </r>
      </text>
    </comment>
    <comment ref="C33" authorId="0" shapeId="0" xr:uid="{00000000-0006-0000-0000-000004000000}">
      <text>
        <r>
          <rPr>
            <sz val="11"/>
            <color theme="1"/>
            <rFont val="Calibri"/>
            <family val="2"/>
            <scheme val="minor"/>
          </rPr>
          <t xml:space="preserve">Interior doors: Craftsman 3-panel door
Base board: 5 1/4” Speed Base (without molding)
</t>
        </r>
      </text>
    </comment>
    <comment ref="C34" authorId="0" shapeId="0" xr:uid="{00000000-0006-0000-0000-000006000000}">
      <text>
        <r>
          <rPr>
            <sz val="11"/>
            <color theme="1"/>
            <rFont val="Calibri"/>
            <family val="2"/>
            <scheme val="minor"/>
          </rPr>
          <t xml:space="preserve">- Ceiling and walls: PROMAR400 FLAT (white)
- Trim: PROMAR400 SEMIGLOSS 
- Accent master: PROMAR400 SEMIGLOSS 
</t>
        </r>
      </text>
    </comment>
    <comment ref="C35" authorId="0" shapeId="0" xr:uid="{00000000-0006-0000-0000-00000D000000}">
      <text>
        <r>
          <rPr>
            <sz val="11"/>
            <color theme="1"/>
            <rFont val="Calibri"/>
            <family val="2"/>
            <scheme val="minor"/>
          </rPr>
          <t>- Foundation: Black
- Trim, Soffit and Fascia: Black Tricorn Black 6258
- Siding: White West Highland 7566
- Deck and porch: Item # 85925 MINWAX SPECIAL WALNUT</t>
        </r>
      </text>
    </comment>
    <comment ref="C36" authorId="0" shapeId="0" xr:uid="{00000000-0006-0000-0000-000009000000}">
      <text>
        <r>
          <rPr>
            <sz val="11"/>
            <color theme="1"/>
            <rFont val="Calibri"/>
            <family val="2"/>
            <scheme val="minor"/>
          </rPr>
          <t>- Hardwood: Flooring Material: 2 1/4" White Oak
- Carpet: Bayside</t>
        </r>
      </text>
    </comment>
    <comment ref="C37" authorId="0" shapeId="0" xr:uid="{00000000-0006-0000-0000-000008000000}">
      <text>
        <r>
          <rPr>
            <sz val="11"/>
            <color theme="1"/>
            <rFont val="Calibri"/>
            <family val="2"/>
            <scheme val="minor"/>
          </rPr>
          <t xml:space="preserve">- FLOOR TILE: Dimarmi Bianco Porcelain Tile
- SHOWER FLOOR AND ACCENT WATERFALL: Carrara Marble white Herringbone marble mosaic
- SHOWER SURROUND: Montalcino Dimarmi Bianco Stone look porcelain tile
Guest bath:
- FLOOR TILE: Adessi Apache black and white matte porcelain tile
- SHOWER SURROUND AND LARGE (WIDE) SOAP BOX: Canvas Meringue ceramic tile
</t>
        </r>
      </text>
    </comment>
    <comment ref="C40" authorId="0" shapeId="0" xr:uid="{00000000-0006-0000-0000-000002000000}">
      <text>
        <r>
          <rPr>
            <sz val="11"/>
            <color theme="1"/>
            <rFont val="Calibri"/>
            <family val="2"/>
            <scheme val="minor"/>
          </rPr>
          <t>Master: Anchester White
Guest bath: LOWES
Item # 642555
Style Selections Drayden Gray (31”x19”)Bathroom Vanity
w/Cultured Marble Top
Jack and Jill bath: Same as guest but double</t>
        </r>
      </text>
    </comment>
    <comment ref="C43" authorId="0" shapeId="0" xr:uid="{00000000-0006-0000-0000-000001000000}">
      <text>
        <r>
          <rPr>
            <sz val="11"/>
            <color theme="1"/>
            <rFont val="Calibri"/>
            <family val="2"/>
            <scheme val="minor"/>
          </rPr>
          <t>Privacy doorknobs (baths and beds)
Passage doorknobs
Blinds
Towel kits
Door stopers
Mirrors
Handles (Cabinets)</t>
        </r>
      </text>
    </comment>
    <comment ref="C45" authorId="0" shapeId="0" xr:uid="{00000000-0006-0000-0000-000007000000}">
      <text>
        <r>
          <rPr>
            <sz val="11"/>
            <color theme="1"/>
            <rFont val="Calibri"/>
            <family val="2"/>
            <scheme val="minor"/>
          </rPr>
          <t>Fridge (french door), diswasher, microwave, gas stove, hood fan, wine cooler</t>
        </r>
      </text>
    </comment>
    <comment ref="C48" authorId="0" shapeId="0" xr:uid="{00000000-0006-0000-0000-000003000000}">
      <text>
        <r>
          <rPr>
            <sz val="11"/>
            <color theme="1"/>
            <rFont val="Calibri"/>
            <family val="2"/>
            <scheme val="minor"/>
          </rPr>
          <t xml:space="preserve">Mulch and bushes on the front and pinestraw around the house and sidewalks
</t>
        </r>
      </text>
    </comment>
    <comment ref="C49" authorId="0" shapeId="0" xr:uid="{00000000-0006-0000-0000-000005000000}">
      <text>
        <r>
          <rPr>
            <sz val="11"/>
            <color theme="1"/>
            <rFont val="Calibri"/>
            <family val="2"/>
            <scheme val="minor"/>
          </rPr>
          <t>Door numbers: Item Number:1217254
Hillman 5-in Black House Number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C75141BE-C0D5-4326-8532-D151C1CF4405}">
      <text>
        <r>
          <rPr>
            <sz val="11"/>
            <color theme="1"/>
            <rFont val="Calibri"/>
            <family val="2"/>
            <scheme val="minor"/>
          </rPr>
          <t xml:space="preserve">Interior doors: Craftsman 3-panel door
Base board: 5 1/4” Speed Base (without molding)
</t>
        </r>
      </text>
    </comment>
    <comment ref="C12" authorId="0" shapeId="0" xr:uid="{D5159B9B-9CF4-4ACD-99EA-6BF001D0BDAB}">
      <text>
        <r>
          <rPr>
            <sz val="11"/>
            <color theme="1"/>
            <rFont val="Calibri"/>
            <family val="2"/>
            <scheme val="minor"/>
          </rPr>
          <t>- Hardwood: Flooring Material: 2 1/4" White Oak
- Carpet: Bayside</t>
        </r>
      </text>
    </comment>
    <comment ref="C14" authorId="0" shapeId="0" xr:uid="{69FA0B22-39CB-4557-B0AF-EF9B94749F5A}">
      <text>
        <r>
          <rPr>
            <sz val="11"/>
            <color theme="1"/>
            <rFont val="Calibri"/>
            <family val="2"/>
            <scheme val="minor"/>
          </rPr>
          <t xml:space="preserve">- FLOOR TILE: Dimarmi Bianco Porcelain Tile
- SHOWER FLOOR AND ACCENT WATERFALL: Carrara Marble white Herringbone marble mosaic
- SHOWER SURROUND: Montalcino Dimarmi Bianco Stone look porcelain tile
Guest bath:
- FLOOR TILE: Adessi Apache black and white matte porcelain tile
- SHOWER SURROUND AND LARGE (WIDE) SOAP BOX: Canvas Meringue ceramic tile
</t>
        </r>
      </text>
    </comment>
    <comment ref="C15" authorId="0" shapeId="0" xr:uid="{3B7178C2-5BCB-4916-95EE-D39D81A58DB4}">
      <text>
        <r>
          <rPr>
            <sz val="11"/>
            <color theme="1"/>
            <rFont val="Calibri"/>
            <family val="2"/>
            <scheme val="minor"/>
          </rPr>
          <t xml:space="preserve">Mulch and bushes on the front and pinestraw around the house and sidewalks
</t>
        </r>
      </text>
    </comment>
    <comment ref="C18" authorId="0" shapeId="0" xr:uid="{CA05A0B8-FEB6-4130-99AD-8B4063B530E9}">
      <text>
        <r>
          <rPr>
            <sz val="11"/>
            <color theme="1"/>
            <rFont val="Calibri"/>
            <family val="2"/>
            <scheme val="minor"/>
          </rPr>
          <t xml:space="preserve">- Ceiling and walls: PROMAR400 FLAT (white)
- Trim: PROMAR400 SEMIGLOSS 
- Accent master: PROMAR400 SEMIGLOSS 
</t>
        </r>
      </text>
    </comment>
    <comment ref="C19" authorId="0" shapeId="0" xr:uid="{A1BBC82B-8B33-44E8-A117-14E68DADEA75}">
      <text>
        <r>
          <rPr>
            <sz val="11"/>
            <color theme="1"/>
            <rFont val="Calibri"/>
            <family val="2"/>
            <scheme val="minor"/>
          </rPr>
          <t>- Foundation: Black
- Trim, Soffit and Fascia: Black Tricorn Black 6258
- Siding: White West Highland 7566
- Deck and porch: Item # 85925 MINWAX SPECIAL WALNUT</t>
        </r>
      </text>
    </comment>
    <comment ref="C22" authorId="0" shapeId="0" xr:uid="{77FA55DB-8BC4-480B-9F73-23DEFF1410C7}">
      <text>
        <r>
          <rPr>
            <sz val="11"/>
            <color theme="1"/>
            <rFont val="Calibri"/>
            <family val="2"/>
            <scheme val="minor"/>
          </rPr>
          <t>Fridge (french door), diswasher, microwave, gas stove, hood fan, wine cooler</t>
        </r>
      </text>
    </comment>
    <comment ref="C24" authorId="0" shapeId="0" xr:uid="{14E80FF9-3245-4CDC-8DC6-81A20C21E7AA}">
      <text>
        <r>
          <rPr>
            <sz val="11"/>
            <color theme="1"/>
            <rFont val="Calibri"/>
            <family val="2"/>
            <scheme val="minor"/>
          </rPr>
          <t>Master: Anchester White
Guest bath: LOWES
Item # 642555
Style Selections Drayden Gray (31”x19”)Bathroom Vanity
w/Cultured Marble Top
Jack and Jill bath: Same as guest but double</t>
        </r>
      </text>
    </comment>
    <comment ref="C38" authorId="0" shapeId="0" xr:uid="{3AE920EC-85A7-4021-990D-6E94BEAD14B5}">
      <text>
        <r>
          <rPr>
            <sz val="11"/>
            <color theme="1"/>
            <rFont val="Calibri"/>
            <family val="2"/>
            <scheme val="minor"/>
          </rPr>
          <t>Bathroom sink with faucet
Bathtub with faucet and drain
Shower with showerhead, faucet, and drain
Toilet with tank, bowl, seat, and supply line
freestanding bathtub, freestanding bathtub faucet and drain
Valves as needed througout the house
Kitchen sink with faucet and drain
Garbage disposal with switch
water heater
Laundry valves</t>
        </r>
      </text>
    </comment>
    <comment ref="C39" authorId="0" shapeId="0" xr:uid="{2D11B439-592C-46C5-A57C-B10E43AF87EA}">
      <text>
        <r>
          <rPr>
            <sz val="11"/>
            <color theme="1"/>
            <rFont val="Calibri"/>
            <family val="2"/>
            <scheme val="minor"/>
          </rPr>
          <t>Electrical panel with breakers
Wall switches for lights and fans
Electrical outlets for appliances and devices (GFCI where applicable per code)
Ceiling light fixtures and fans
Bathroom light fixtures and exhaust fans
Kitchen light fixtures
Closet light fixtures
Doorbell and chime
Smoke detectors and carbon monoxide detectors
Thermostat for heating and cooling system</t>
        </r>
      </text>
    </comment>
    <comment ref="C43" authorId="0" shapeId="0" xr:uid="{501350D9-D0BA-4EAB-ADC4-F3AAD08EE4F5}">
      <text>
        <r>
          <rPr>
            <sz val="11"/>
            <color theme="1"/>
            <rFont val="Calibri"/>
            <family val="2"/>
            <scheme val="minor"/>
          </rPr>
          <t>Door numbers: Item Number:1217254
Hillman 5-in Black House Number</t>
        </r>
      </text>
    </comment>
    <comment ref="C44" authorId="0" shapeId="0" xr:uid="{CE773B5F-3261-4DD3-B4F6-91E6EB33A9B0}">
      <text>
        <r>
          <rPr>
            <sz val="11"/>
            <color theme="1"/>
            <rFont val="Calibri"/>
            <family val="2"/>
            <scheme val="minor"/>
          </rPr>
          <t>Privacy doorknobs (baths and beds)
Passage doorknobs
Blinds
Towel kits
Door stopers
Mirrors
Handles (Cabinets)</t>
        </r>
      </text>
    </comment>
  </commentList>
</comments>
</file>

<file path=xl/sharedStrings.xml><?xml version="1.0" encoding="utf-8"?>
<sst xmlns="http://schemas.openxmlformats.org/spreadsheetml/2006/main" count="2743" uniqueCount="474">
  <si>
    <t>SPECS LIST MODULAR HOME</t>
  </si>
  <si>
    <t>Spec Code</t>
  </si>
  <si>
    <t>Exterior</t>
  </si>
  <si>
    <t>Unit</t>
  </si>
  <si>
    <t>Cost</t>
  </si>
  <si>
    <t>PAINT-01</t>
  </si>
  <si>
    <t>TRIM - SOFFIT - FASCIA - PAINTING</t>
  </si>
  <si>
    <t>HGTV HOME® by Sherwin-Williams 
Everlast Satin Base 4 Enamel Tintable Latex Exterior Paint + Primer (1-Gallon)</t>
  </si>
  <si>
    <t>Item 4663647
Model EV0024004-16
Black Tricorn Black 6258</t>
  </si>
  <si>
    <t>LOWE´S</t>
  </si>
  <si>
    <t>Can</t>
  </si>
  <si>
    <t>PAINT-02</t>
  </si>
  <si>
    <t>SIDING PAINTING</t>
  </si>
  <si>
    <t xml:space="preserve">
Emerald Urethane Trim Enamel - 
SW 7566
Westhighland White</t>
  </si>
  <si>
    <t>Sales Number:  6511-99598
Product Number:  K37W01753</t>
  </si>
  <si>
    <t>SHERWIN WILLIAMS</t>
  </si>
  <si>
    <t>DOOR-01</t>
  </si>
  <si>
    <t>EXTERIOR DOOR</t>
  </si>
  <si>
    <t>Therma-Tru Benchmark Doors 36-in x 80-in Steel Craftsman Right-Hand Inswing Ready To Paint Prehung Single Front Door with Brickmould Insulating Core</t>
  </si>
  <si>
    <t>Item #935541
Model #10087741</t>
  </si>
  <si>
    <t>N01</t>
  </si>
  <si>
    <t>EXTERIOR NUMBERS</t>
  </si>
  <si>
    <t>Hillman Distinctions 5-in Black Number 7</t>
  </si>
  <si>
    <t>Item #1217254
Model #844717</t>
  </si>
  <si>
    <t>WDW-02</t>
  </si>
  <si>
    <t>WINDOWS</t>
  </si>
  <si>
    <t>1 WIDE Vinyl Single-Hung Window
36" x 61"</t>
  </si>
  <si>
    <t>American Craftsman 35.75 in. x 61.25 in. 70 Pro Series Low-E Argon Glass Double Hung White Vinyl Replacement Window, Screen Incl 3662786 - The Home Depot</t>
  </si>
  <si>
    <t>Home Depot</t>
  </si>
  <si>
    <t>WDW-03</t>
  </si>
  <si>
    <t>35.5 in. x 23.5 in. V-4500 Series White Vinyl Picture Window w/ Low-E 366 Glass</t>
  </si>
  <si>
    <t>JELD-WEN 35.5 in. x 23.5 in. V-4500 Series White Vinyl Picture Window w/ Low-E 366 Glass THDJW142100086 - The Home Depot</t>
  </si>
  <si>
    <t>WDW-04</t>
  </si>
  <si>
    <t>AWNING WINDOW</t>
  </si>
  <si>
    <t>24 in. x 25.5 in in. Master View Louver Awning Aluminum Window in White</t>
  </si>
  <si>
    <t>Air Master Windows and Doors 24 in. x 25.5 in in. Master View Louver Awning Aluminum Window in White 91057 - The Home Depot</t>
  </si>
  <si>
    <t>ROOF-01</t>
  </si>
  <si>
    <t>SHINGLES</t>
  </si>
  <si>
    <t>GAF Timberline Natural Shadow Charcoal Laminated Architectural Roof Shingles</t>
  </si>
  <si>
    <t>Item #652976
Model #0600180</t>
  </si>
  <si>
    <t>sft</t>
  </si>
  <si>
    <t>SID-01</t>
  </si>
  <si>
    <t>FIBER CEMENT SIDING</t>
  </si>
  <si>
    <t>James Hardie Primed HZ 10 Fiber Cement Lap Siding 8.25-in x 144-in</t>
  </si>
  <si>
    <t>HARDD825TEXT
HARDIPLANK HZ 10 TEXTURED LAP SIDING</t>
  </si>
  <si>
    <t>RANDALL BROTHERS</t>
  </si>
  <si>
    <t>DOORBELL RING</t>
  </si>
  <si>
    <t>Defiant
Wired Deluxe Contractor Doorbell Kit with 2 Wired Push Buttons</t>
  </si>
  <si>
    <t>Model# 18000042
StoreSKU# 1008718087
Internet# 322707442</t>
  </si>
  <si>
    <t>HOME DEPOT</t>
  </si>
  <si>
    <t>Interior</t>
  </si>
  <si>
    <t>FLOOR-01</t>
  </si>
  <si>
    <t>CARPET</t>
  </si>
  <si>
    <t>Gray color</t>
  </si>
  <si>
    <t>Carpet in bedrooms and closets</t>
  </si>
  <si>
    <t>No carpet in bedroom 4 and closet.
Use engineering hardwood</t>
  </si>
  <si>
    <t>FLOOR-02</t>
  </si>
  <si>
    <t>INTERIOR FLOOR</t>
  </si>
  <si>
    <t>LVP</t>
  </si>
  <si>
    <t>White Oak</t>
  </si>
  <si>
    <t>APP-01</t>
  </si>
  <si>
    <t>REFRIGERATOR</t>
  </si>
  <si>
    <t>APP-02</t>
  </si>
  <si>
    <t>DISHWASHER</t>
  </si>
  <si>
    <t>APP-03</t>
  </si>
  <si>
    <t>STOVE</t>
  </si>
  <si>
    <t>APP-04</t>
  </si>
  <si>
    <t>MICROWAVE
BUILT IN</t>
  </si>
  <si>
    <t>Embedded in upper cabinets</t>
  </si>
  <si>
    <t>GRANITE - KITCHEN COUNTERTOPS</t>
  </si>
  <si>
    <t xml:space="preserve">CASHEMERE CARRARA </t>
  </si>
  <si>
    <t>https://graniteselection.com/msi-quartz-countertops/cashmere-carrara/</t>
  </si>
  <si>
    <t>GRANITE SELECTION</t>
  </si>
  <si>
    <t>KITCHEN CABINETS</t>
  </si>
  <si>
    <t>WHITE SHAKER STYLE</t>
  </si>
  <si>
    <t>LifeArt Cabinetry Anchester White
36' on uppers</t>
  </si>
  <si>
    <t>USA CABINETS</t>
  </si>
  <si>
    <t>BATHS VANITIES</t>
  </si>
  <si>
    <t>INCLUDED IN CABINETS ESTIMATION</t>
  </si>
  <si>
    <t>GRANITE - BATHS VANITIES</t>
  </si>
  <si>
    <t>WALLS PAINTING</t>
  </si>
  <si>
    <t>White flat
Brite SW901 flat
Sherwin Williams</t>
  </si>
  <si>
    <t>CEILING PAINTING</t>
  </si>
  <si>
    <t>DOORS AND TRIM
PAINTING</t>
  </si>
  <si>
    <t>White Semigloss
Brite SW901 semigloss
Sherwin Williams</t>
  </si>
  <si>
    <t>Door, Base board and trim</t>
  </si>
  <si>
    <t>KITCHEN
PAINTING</t>
  </si>
  <si>
    <t>BATHROOM
PAINTING</t>
  </si>
  <si>
    <t>EF-01</t>
  </si>
  <si>
    <t>LED - FLUSH MOUNT
BEDROOMS 2-3-4</t>
  </si>
  <si>
    <t>13 in. Matte Black Selectable LED Flush Mount
Warm yellow light</t>
  </si>
  <si>
    <t>EF-03</t>
  </si>
  <si>
    <t>EXTERIOR LIGHT</t>
  </si>
  <si>
    <t>Cerdeco Aureole-Series
Warm yellow light</t>
  </si>
  <si>
    <t>https://www.amazon.com/gp/product/B01NAMTYZN/ref=ppx_yo_dt_b_asin_title_o07_s02?ie=UTF8&amp;psc=1</t>
  </si>
  <si>
    <t>AMAZON</t>
  </si>
  <si>
    <t>EF-05</t>
  </si>
  <si>
    <t>RECESSED DOWN LIGHT 6</t>
  </si>
  <si>
    <t>HLB Series 6 in. Adjustable CCT Canless IC Rated Dimmable Indoor, Outdoor Integrated LED Recessed Light Kit</t>
  </si>
  <si>
    <t>Model# HLB6099FS1EMWR
StoreSKU# 1003401295
Internet# 306051064</t>
  </si>
  <si>
    <t>EF-07</t>
  </si>
  <si>
    <t>FAN &amp; LIGHT</t>
  </si>
  <si>
    <t>Minka Ceiling Fan Co. Baskinville 52-in Black LED Indoor Ceiling Fan with Light Remote (5-Blade)
Warm yellow light</t>
  </si>
  <si>
    <t>PRIVACY DOORKNOB</t>
  </si>
  <si>
    <t>Kwikset 94002-950 Cove - Pomo de puerta de entrada, color negro mate</t>
  </si>
  <si>
    <t>https://www.amazon.com/-/es/Kwikset-94002-950-Cove-puerta-entrada/dp/B0B2BT78J5/ref=sr_1_4?__mk_es_US=%C3%85M%C3%85%C5%BD%C3%95%C3%91&amp;crid=7PSCBNFBKZYD&amp;keywords=BLACK%2BMATTE%2BKWIKSET&amp;qid=1694048207&amp;sprefix=black%2Bmatte%2Bkwikse%2Caps%2C205&amp;sr=8-4&amp;th=1</t>
  </si>
  <si>
    <t xml:space="preserve">EXTERIOR DOORKNOB </t>
  </si>
  <si>
    <t>Azdele Manija de puerta delantera negra moderna con cerrojo de un solo cilindro y juego de palanca, reversible para diestros y zurdos, negro mate</t>
  </si>
  <si>
    <t>https://www.amazon.com/gp/product/B08S3C3ZQ6/ref=ppx_yo_dt_b_asin_title_o03_s01?ie=UTF8&amp;psc=1</t>
  </si>
  <si>
    <t>DOOR-04</t>
  </si>
  <si>
    <t>INTERIOR DOORS</t>
  </si>
  <si>
    <t>RELIABILT 3 Panel Craftsman 30-in x 80-in 3-panel Craftsman Hollow Core Primed Molded Composite Left Hand Inswing/Outswing Single Prehung Interior Door</t>
  </si>
  <si>
    <t>Item #373183
Model #373183</t>
  </si>
  <si>
    <t>DOOR-06</t>
  </si>
  <si>
    <t>BIFOLD DOOR</t>
  </si>
  <si>
    <t>Bifold Door</t>
  </si>
  <si>
    <t xml:space="preserve">Model: THDJW160200121
SKU:  205664741 </t>
  </si>
  <si>
    <t>HANDLES</t>
  </si>
  <si>
    <t>Hickory Hardware Bar Pulls 3-3/4-in Center to Center Brushed Black Nickel Rectangular Bar Drawer Pulls</t>
  </si>
  <si>
    <t>Item #1076934
Model #HH075594-BBLN</t>
  </si>
  <si>
    <t>PF-01</t>
  </si>
  <si>
    <t>KITCHEN FAUCET</t>
  </si>
  <si>
    <t>Delta Antoni 1.8 GPM Single-Handle Pull-Down Pre-Rinse Kitchen Faucet with Magnetic Docking Spray Head</t>
  </si>
  <si>
    <t>Model:18803-BL-DST</t>
  </si>
  <si>
    <t>BUILD WITH FERGUSON</t>
  </si>
  <si>
    <t>PF-02</t>
  </si>
  <si>
    <t>KITCHEN SINK</t>
  </si>
  <si>
    <t>Houzer Platus PTS-4100 WH - Fregadero de cocina de estilo rústico de la serie Fireclay frontal de 30 pulgadas, duradero, resistente a las astillas y a las grietas</t>
  </si>
  <si>
    <t>https://www.amazon.com/gp/product/B00WIQ9596/ref=ppx_yo_dt_b_asin_title_o00_s00?ie=UTF8&amp;th=1</t>
  </si>
  <si>
    <t>PF-03</t>
  </si>
  <si>
    <t>GARBAGE DISPOSAL
SWITCH ON COUNTERTOP</t>
  </si>
  <si>
    <t>InSinkErator
Badger 500 Standard Series 1/2 HP Continuous Feed Garbage Disposal</t>
  </si>
  <si>
    <t>Internet #
203144509</t>
  </si>
  <si>
    <t>PF-04</t>
  </si>
  <si>
    <t>UNDERMOUNT
BATHROOM SINK</t>
  </si>
  <si>
    <t>Kohler Verticyl 19-13/16" Rectangular Undermount Bathroom Sink with Vertical Sides and Overflow</t>
  </si>
  <si>
    <t xml:space="preserve">Model: K-2882-0 
Item: bci985855  </t>
  </si>
  <si>
    <t>PF-10</t>
  </si>
  <si>
    <t>MIRROR</t>
  </si>
  <si>
    <t>Amanti Art Lucie Black Frame Collection 19-in W x 24-in H Lucie Black Rectangular Bathroom Vanity Mirror</t>
  </si>
  <si>
    <t>Item #2517330
Model #DSW4819424</t>
  </si>
  <si>
    <t>PF-11</t>
  </si>
  <si>
    <t>VANITY FAUCET</t>
  </si>
  <si>
    <t>allen + roth Harlow Matte Black 2-handle Widespread WaterSense High-arc Bathroom Sink Faucet with Drain</t>
  </si>
  <si>
    <t>Item #1102764
Model #67693W-617001</t>
  </si>
  <si>
    <t>PF-12</t>
  </si>
  <si>
    <t>SHOWER FAUCET</t>
  </si>
  <si>
    <t>Moen Genta Posi- Ducha moderna con equilibrio de presión y temperatura, rendimiento ecológico, solo parte exterior</t>
  </si>
  <si>
    <t>https://www.amazon.com/gp/product/B07N1J1T9J/ref=ppx_yo_dt_b_asin_title_o03_s01?ie=UTF8&amp;th=1</t>
  </si>
  <si>
    <t>PF-13</t>
  </si>
  <si>
    <t>TOWEL KIT</t>
  </si>
  <si>
    <t>DEGULAS Juego de 4 piezas de accesorios de baño, juego de toallas negro mate, incluye toallero de 24 pulgadas, anillo de toalla, ganchos para toallas de bata, soporte para papel higiénico, juego de toallero de baño</t>
  </si>
  <si>
    <t>https://www.amazon.com/-/es/DEGULAS-accesorios-toallero-pulgadas-higi%C3%A9nico/dp/B097B1YKSB/ref=sr_1_1?__mk_es_US=%C3%85M%C3%85%C5%BD%C3%95%C3%91&amp;crid=MFTCSZALMKIM&amp;keywords=Towel%2BKit%2BBlack%2BMatte&amp;qid=1694032501&amp;sprefix=towel%2Bkit%2Bblack%2Bmatte%2Caps%2C254&amp;sr=8-1&amp;th=1</t>
  </si>
  <si>
    <t>PF-14</t>
  </si>
  <si>
    <t>SOAP HARDWARE</t>
  </si>
  <si>
    <t>Allied Brass 2-Piece Dottingham Matte Black Decorative Bathroom Hardware Set</t>
  </si>
  <si>
    <t>https://www.lowes.com/pd/Allied-Brass-Dottingham-Matte-Black-Brass-Bath-Accessory-Set/1000919916</t>
  </si>
  <si>
    <t>PF-15</t>
  </si>
  <si>
    <t>PUSH BUTTOM TOILET</t>
  </si>
  <si>
    <t>BASE-01</t>
  </si>
  <si>
    <t>BASEBOARD</t>
  </si>
  <si>
    <t>1 x 6 Baseboard</t>
  </si>
  <si>
    <t>P16MDF
1X6 PRIMED MDF BOARD 16´</t>
  </si>
  <si>
    <t>ft</t>
  </si>
  <si>
    <t>EF-10</t>
  </si>
  <si>
    <t>TOGGLE SWITCH</t>
  </si>
  <si>
    <t>Decora 15 Amp 3-Way Switch, White</t>
  </si>
  <si>
    <t>#100078412</t>
  </si>
  <si>
    <t>1-GANG WALL PLATE</t>
  </si>
  <si>
    <t xml:space="preserve">
Decora 15 Amp Single-Pole Switch, White</t>
  </si>
  <si>
    <t>#100058788</t>
  </si>
  <si>
    <t>2-GANG WALL PLATE</t>
  </si>
  <si>
    <t>Decora 2-Gang Midway Nylon Decorator/Rocker Wall Plate - White</t>
  </si>
  <si>
    <t>#100356912</t>
  </si>
  <si>
    <t>3-GANG WALL PLATE</t>
  </si>
  <si>
    <t>White 3-Gang Decorator/Rocker Wall Plate (1-Pack)</t>
  </si>
  <si>
    <t>#100356922</t>
  </si>
  <si>
    <t>DOORSTOPPER</t>
  </si>
  <si>
    <t>HOMOTEK Paquete de 12 topes de puerta de resorte negros, tope de puerta resistente de 3-1/8 pulgadas, tope de puerta de resorte flexible con puntas de parachoques de goma negra montadas bajo</t>
  </si>
  <si>
    <t>https://www.amazon.com/gp/product/B07V8FMK2J/ref=ppx_yo_dt_b_asin_title_o02_s00?ie=UTF8&amp;th=1</t>
  </si>
  <si>
    <t>EF-11</t>
  </si>
  <si>
    <t>VENTILATION FAN</t>
  </si>
  <si>
    <t>Broan-NuTone 688 - Ventilador de techo y pared, 50 CFM 4.0 Sones, color blanco</t>
  </si>
  <si>
    <t>https://www.amazon.com/-/es/Broan-NuTone-688-Ventilador-techo-blanco/dp/B00004TTZZ/ref=sr_1_1_pp?__mk_es_US=%C3%85M%C3%85%C5%BD%C3%95%C3%91&amp;crid=2GTLXY9TQWW4D&amp;keywords=broan%2B50%2Bcfm&amp;qid=1694037163&amp;s=hi&amp;sprefix=broan%2B50cfm%2Ctools%2C468&amp;sr=1-1&amp;th=1</t>
  </si>
  <si>
    <t>EF-12</t>
  </si>
  <si>
    <t>SMOKE DETECTOR</t>
  </si>
  <si>
    <t>Kidde
Battery Operated Smoke Detector with Ionization Sensor and Wire-Free Interconnect</t>
  </si>
  <si>
    <t>TILE-01</t>
  </si>
  <si>
    <t>BACK SPLASH</t>
  </si>
  <si>
    <t>White 3x6 Subway tile</t>
  </si>
  <si>
    <t>Tile until ceiling</t>
  </si>
  <si>
    <t>TILE-03</t>
  </si>
  <si>
    <t>TILE</t>
  </si>
  <si>
    <t>BATHROOM FLOOR TILE</t>
  </si>
  <si>
    <t>EVOKE DECO PORCELAIN TILE
100585454</t>
  </si>
  <si>
    <t>FLOOR AND DECOR</t>
  </si>
  <si>
    <t>TILE-04</t>
  </si>
  <si>
    <t xml:space="preserve"> BATHRROM FLOOR TILE</t>
  </si>
  <si>
    <t>DIMARMI BIANCO PORCELAIN TILE
100568856</t>
  </si>
  <si>
    <t>TILE-05</t>
  </si>
  <si>
    <t xml:space="preserve"> SHOWER SURROUND</t>
  </si>
  <si>
    <t>DIMARMI BIANCO STONE LOOK PORCELAIN TILE
100434638</t>
  </si>
  <si>
    <t>Item</t>
  </si>
  <si>
    <t>Description</t>
  </si>
  <si>
    <t>Notes</t>
  </si>
  <si>
    <t>Cost per house</t>
  </si>
  <si>
    <t>Pre construction</t>
  </si>
  <si>
    <t>General conditions</t>
  </si>
  <si>
    <t>Porta potty, Dumpster and weekly cleaning</t>
  </si>
  <si>
    <t>Silt Fence and Tree Fencing</t>
  </si>
  <si>
    <t>Install silt fencing and tree fencing</t>
  </si>
  <si>
    <t>Tree removal</t>
  </si>
  <si>
    <t>Tree removal and disposal</t>
  </si>
  <si>
    <t>Electrical temporal post</t>
  </si>
  <si>
    <t>Temporal post and electricity fees</t>
  </si>
  <si>
    <t>Lot clearing</t>
  </si>
  <si>
    <t>Clear area, grading and mark site</t>
  </si>
  <si>
    <t>Structure</t>
  </si>
  <si>
    <t>Foundation</t>
  </si>
  <si>
    <t>Crawlspace foundation, includes dig footing and pouring</t>
  </si>
  <si>
    <t>Includes vapor barrier</t>
  </si>
  <si>
    <t>Framing</t>
  </si>
  <si>
    <t>Framing labor</t>
  </si>
  <si>
    <t>Framing material</t>
  </si>
  <si>
    <t>Roofing shingles</t>
  </si>
  <si>
    <t>Install new architectural 30 year warranty shingles</t>
  </si>
  <si>
    <t>Color Charcoal</t>
  </si>
  <si>
    <t>Roofing metal</t>
  </si>
  <si>
    <t>Install metal Roof on Front Porch</t>
  </si>
  <si>
    <t>Decking</t>
  </si>
  <si>
    <t>Install decking and railing for deck and porch</t>
  </si>
  <si>
    <t>Windows</t>
  </si>
  <si>
    <t>Install new vinyl windows</t>
  </si>
  <si>
    <t xml:space="preserve">Double Hung White Vinyl </t>
  </si>
  <si>
    <t>Siding</t>
  </si>
  <si>
    <t>House wrap and siding instalation</t>
  </si>
  <si>
    <t>HardiePlank fiber cement siding (per plans)</t>
  </si>
  <si>
    <t>Exterior trim</t>
  </si>
  <si>
    <t>Exterior Trim, Soffit and Fascia</t>
  </si>
  <si>
    <t>Exterior doors</t>
  </si>
  <si>
    <t>Install exterior doors and trim</t>
  </si>
  <si>
    <t>LOWES Item# 658198 
Back door: Double Hinged French Door</t>
  </si>
  <si>
    <t>Gutters</t>
  </si>
  <si>
    <t>Install gutters, downspouts and lot filtration flow wells</t>
  </si>
  <si>
    <t>Black gutters per site plans</t>
  </si>
  <si>
    <t>MEPs</t>
  </si>
  <si>
    <t>Rough plumbing</t>
  </si>
  <si>
    <t>Rough plumbing from house to sewer and water taps</t>
  </si>
  <si>
    <t>(final plumbing and water heater)</t>
  </si>
  <si>
    <t>plumbing fixtures</t>
  </si>
  <si>
    <t>Install all plumbing fixtures</t>
  </si>
  <si>
    <t>Bathroom sink with faucet - Bathtub with faucet and drain - Shower with showerhead, faucet, and drain - Toilet with tank, bowl, seat, and supply line - freestanding bathtub, freestanding bathtub faucet and drain - Valves as needed througout the house
Kitchen sink with faucet and drain - Garbage disposal with switch - water heater - Laundry valves</t>
  </si>
  <si>
    <t>Rough electrical</t>
  </si>
  <si>
    <t>Install all electrical wires</t>
  </si>
  <si>
    <t>(and final)</t>
  </si>
  <si>
    <t>Electrical fixtures</t>
  </si>
  <si>
    <t>Install all electrical fixtures (see note)</t>
  </si>
  <si>
    <t>Electrical panel with breakers - Wall switches for lights and fans - Electrical outlets for appliances and devices (GFCI where applicable per code) - Ceiling light fixtures and fans - Bathroom light fixtures and exhaust fans - Kitchen light fixtures
Closet light fixtures - Doorbell and chime - Smoke detectors and carbon monoxide detectors
Thermostat for heating and cooling system</t>
  </si>
  <si>
    <t>HVAC</t>
  </si>
  <si>
    <t>Install 2 HVAC systems</t>
  </si>
  <si>
    <t>Gas lines for kitchen and heater</t>
  </si>
  <si>
    <t>Interior and exterior lines</t>
  </si>
  <si>
    <t>Sewer lateral connection</t>
  </si>
  <si>
    <t>Finishes</t>
  </si>
  <si>
    <t>Insulation</t>
  </si>
  <si>
    <t>Wall, floor, ceiling and attic insulation</t>
  </si>
  <si>
    <t>Drywall</t>
  </si>
  <si>
    <t>Hang, finish and sand drywall throughout (ready to paint)</t>
  </si>
  <si>
    <t>Shiplab (Accent Wall)</t>
  </si>
  <si>
    <t>Fire place and mudroom</t>
  </si>
  <si>
    <t>Interior doors and trim</t>
  </si>
  <si>
    <t>Install Interior doors, Interior baseboard, Doors &amp;
Windows Trim</t>
  </si>
  <si>
    <t>Interior doors: Craftsman 3-panel door
Base board: 5 1/4” Speed Base (without molding)</t>
  </si>
  <si>
    <t>Interior painting</t>
  </si>
  <si>
    <t>Painting in all interior walls, ceilings, doors and trim</t>
  </si>
  <si>
    <t>Ceiling and walls: PROMAR400 FLAT (white) - Trim: PROMAR400 SEMIGLOSS - Accent master: PROMAR400 SEMIGLOSS</t>
  </si>
  <si>
    <t>Exterior painting</t>
  </si>
  <si>
    <t>Paint foundation, siding, trim and paint/stain all decking</t>
  </si>
  <si>
    <t>Foundation: Black - Trim, Soffit and Fascia: Black Tricorn Black 6258 - Siding: White West Highland 7566 - Deck and porch: Item # 85925 MINWAX SPECIAL WALNUT</t>
  </si>
  <si>
    <t>Flooring</t>
  </si>
  <si>
    <t>Hardwood in common areas and carpet in bedrooms</t>
  </si>
  <si>
    <t>Hardwood: Flooring Material: 2 1/4" White Oak - Carpet: Bayside</t>
  </si>
  <si>
    <t>Bathroom Tiling</t>
  </si>
  <si>
    <t>Tile all bathrooms</t>
  </si>
  <si>
    <t>FLOOR TILE: Dimarmi Bianco Porcelain Tile - SHOWER FLOOR AND ACCENT WATERFALL: Carrara Marble white Herringbone marble mosaic - SHOWER SURROUND: Montalcino Dimarmi Bianco Stone look porcelain tile
Bath: - FLOOR TILE: Adessi Apache black and white matte porcelain tile
- SHOWER SURROUND AND LARGE (WIDE) SOAP BOX: Canvas Meringue ceramic tile</t>
  </si>
  <si>
    <t>Hand drails and steps</t>
  </si>
  <si>
    <t>Wood steps, wood hand drail, and iron baluster</t>
  </si>
  <si>
    <t>Kitchen cabinets</t>
  </si>
  <si>
    <t>New kitchen shaker style and Island</t>
  </si>
  <si>
    <t>LifeArt Cabinetry Anchester White 42' on uppers</t>
  </si>
  <si>
    <t>Bathroom cabinets</t>
  </si>
  <si>
    <t>New bath vanities</t>
  </si>
  <si>
    <t>Master: Anchester White - Guest bath: LOWES Item # 642555 - Style Selections Drayden Gray (31”x19”)Bathroom Vanity - w/Cultured Marble Top - Jack and Jill bath: Same as guest but double</t>
  </si>
  <si>
    <t>kitchen backsplash</t>
  </si>
  <si>
    <t>Backsplash for kitchen area. (until ceiling in hood fan area)</t>
  </si>
  <si>
    <t>Canvas Meringue Ceramic Tile</t>
  </si>
  <si>
    <t>Countertops (kitch &amp; baths)</t>
  </si>
  <si>
    <t>Quartz countertop for Kitchen and Baths</t>
  </si>
  <si>
    <t>Cashmere Carrara quartz</t>
  </si>
  <si>
    <t>Hardware alowance</t>
  </si>
  <si>
    <t>Install house hardware</t>
  </si>
  <si>
    <t>Privacy doorknobs (baths and beds) - Passage doorknobs - Blinds - Towel kits - Door stopers
Mirrors - Handles (Cabinets)</t>
  </si>
  <si>
    <t>Frameless glass</t>
  </si>
  <si>
    <t>Install frameless glass per plans (master shower)</t>
  </si>
  <si>
    <t>Appliances</t>
  </si>
  <si>
    <t>Stainless steel appliances</t>
  </si>
  <si>
    <t>Fridge (french door), diswasher, microwave, gas stove, hood fan, wine cooler</t>
  </si>
  <si>
    <t>Outdoor</t>
  </si>
  <si>
    <t>Driveway and sidewalks</t>
  </si>
  <si>
    <t>Pour driveway slabs and sidewalks to front door</t>
  </si>
  <si>
    <t>Land scaping</t>
  </si>
  <si>
    <t>General landscaping</t>
  </si>
  <si>
    <t>Mulch and bushes on the front and pinestraw around the house and sidewalks</t>
  </si>
  <si>
    <t>Door numbers and mailbox</t>
  </si>
  <si>
    <t>Install door numbers and mailbox</t>
  </si>
  <si>
    <t>Door numbers: Item Number:1217254
Hillman 5-in Black House Number</t>
  </si>
  <si>
    <t>Cleaning</t>
  </si>
  <si>
    <t>Final deep cleaning</t>
  </si>
  <si>
    <t>TOTAL</t>
  </si>
  <si>
    <t>*Each item includes labor and material</t>
  </si>
  <si>
    <t>Total</t>
  </si>
  <si>
    <t>Area</t>
  </si>
  <si>
    <t>Cost code</t>
  </si>
  <si>
    <t>Quantity</t>
  </si>
  <si>
    <t>unit</t>
  </si>
  <si>
    <t>Unitary cost</t>
  </si>
  <si>
    <t>Total cost</t>
  </si>
  <si>
    <t>Framing Material</t>
  </si>
  <si>
    <t>Framing Labor</t>
  </si>
  <si>
    <t>Roofing Material</t>
  </si>
  <si>
    <t>Roofing labor</t>
  </si>
  <si>
    <t>Exteriors</t>
  </si>
  <si>
    <t>Roofing Shingles</t>
  </si>
  <si>
    <t>Architectural 30 year warranty shingles</t>
  </si>
  <si>
    <t>Labor</t>
  </si>
  <si>
    <t>1 wide Single Hung Vinyl window 36" x 61"</t>
  </si>
  <si>
    <t>Picture Fixed Vinyl Window 35.5" x 23.5"</t>
  </si>
  <si>
    <t>House Wrap</t>
  </si>
  <si>
    <t>HardiePlank fiber cement siding</t>
  </si>
  <si>
    <t xml:space="preserve"> </t>
  </si>
  <si>
    <t>Exterior Trim</t>
  </si>
  <si>
    <t>Doors and Windows trim</t>
  </si>
  <si>
    <t>Soffit and Fascia</t>
  </si>
  <si>
    <t>Exterior Doors</t>
  </si>
  <si>
    <t>Front door Single Hinged Steel</t>
  </si>
  <si>
    <t>Black Gutters</t>
  </si>
  <si>
    <t>Black Downspots</t>
  </si>
  <si>
    <t xml:space="preserve">MEP's </t>
  </si>
  <si>
    <t>Plumbing Roughs</t>
  </si>
  <si>
    <t>Water lines and materials</t>
  </si>
  <si>
    <t>House Sewer pipes and materials</t>
  </si>
  <si>
    <t>Water heater</t>
  </si>
  <si>
    <t>Electrical Roughs</t>
  </si>
  <si>
    <t>Electrical Roughs Materials</t>
  </si>
  <si>
    <t>HVAC System</t>
  </si>
  <si>
    <t>Wall insulation</t>
  </si>
  <si>
    <t>Attic Insulation</t>
  </si>
  <si>
    <t>Drywall and materials</t>
  </si>
  <si>
    <t>Hang, finish and sand drywall, ready to paint</t>
  </si>
  <si>
    <t>Interior Doors and Trim</t>
  </si>
  <si>
    <t>Inswing/Outswing Single Prehung Door</t>
  </si>
  <si>
    <t>Bifold</t>
  </si>
  <si>
    <t xml:space="preserve">Baseboard 1x6 </t>
  </si>
  <si>
    <t>Doors and windows trim</t>
  </si>
  <si>
    <t>Painting</t>
  </si>
  <si>
    <t>Interior Painting</t>
  </si>
  <si>
    <t>Bedrooms carpet</t>
  </si>
  <si>
    <t>Vynil plank</t>
  </si>
  <si>
    <t>Floor tile</t>
  </si>
  <si>
    <t>Shower Surround Tile</t>
  </si>
  <si>
    <t>Shower floor tile</t>
  </si>
  <si>
    <t>Kitchen Backsplash</t>
  </si>
  <si>
    <t>3x6 Subway tile</t>
  </si>
  <si>
    <t>Kitchen Cabinets</t>
  </si>
  <si>
    <t>Base Cabinets</t>
  </si>
  <si>
    <t>Uppers 36" Cabinets</t>
  </si>
  <si>
    <t>Bathroom Cabinets</t>
  </si>
  <si>
    <t>Base Single Vanity Cabinets</t>
  </si>
  <si>
    <t>Countertops</t>
  </si>
  <si>
    <t>Kitchen Countertop</t>
  </si>
  <si>
    <t>House Hardware</t>
  </si>
  <si>
    <t>Privacy Doorknob</t>
  </si>
  <si>
    <t>Exterior Doorknob</t>
  </si>
  <si>
    <t>Cabinet Handles</t>
  </si>
  <si>
    <t>Doorstopper</t>
  </si>
  <si>
    <t>Doorbell Ring</t>
  </si>
  <si>
    <t>Door numbers</t>
  </si>
  <si>
    <t>Refrigerator</t>
  </si>
  <si>
    <t>Dishwasher</t>
  </si>
  <si>
    <t>Stove</t>
  </si>
  <si>
    <t>Microwave</t>
  </si>
  <si>
    <t>Plumbing Fixtures</t>
  </si>
  <si>
    <t>Kitchen Sink</t>
  </si>
  <si>
    <t>Garbage Disposal</t>
  </si>
  <si>
    <t>Kitchen Faucet</t>
  </si>
  <si>
    <t>Bathroom Sink</t>
  </si>
  <si>
    <t>Shower Faucet</t>
  </si>
  <si>
    <t>Mirror</t>
  </si>
  <si>
    <t>Vanity Faucet</t>
  </si>
  <si>
    <t>Towel Kit</t>
  </si>
  <si>
    <t>Soap Hardware</t>
  </si>
  <si>
    <t>Toilet</t>
  </si>
  <si>
    <t>Electrical Fixtures</t>
  </si>
  <si>
    <t>Led - Flush Mount</t>
  </si>
  <si>
    <t>Recessed Down Light 6"</t>
  </si>
  <si>
    <t>Fan and light</t>
  </si>
  <si>
    <t>Exterior light</t>
  </si>
  <si>
    <t>Exhaust</t>
  </si>
  <si>
    <t>Switch</t>
  </si>
  <si>
    <t>Gang wall plate</t>
  </si>
  <si>
    <t>Smoke detector</t>
  </si>
  <si>
    <t>Man hour / 1.000 sft</t>
  </si>
  <si>
    <t>Hr / unit</t>
  </si>
  <si>
    <t>Total man hour</t>
  </si>
  <si>
    <t>Unitary cost ($/hr)</t>
  </si>
  <si>
    <t>People</t>
  </si>
  <si>
    <t>Total hr</t>
  </si>
  <si>
    <t>Total months</t>
  </si>
  <si>
    <t>Horas hombre</t>
  </si>
  <si>
    <t>Carpintero</t>
  </si>
  <si>
    <t>Carpenter - Armador</t>
  </si>
  <si>
    <t>Laborer</t>
  </si>
  <si>
    <t>Carpenter</t>
  </si>
  <si>
    <t>Año</t>
  </si>
  <si>
    <t>Total año</t>
  </si>
  <si>
    <t>Total mes</t>
  </si>
  <si>
    <t>Roofer</t>
  </si>
  <si>
    <t>Helper</t>
  </si>
  <si>
    <t>Plumber</t>
  </si>
  <si>
    <t>Electrician</t>
  </si>
  <si>
    <t xml:space="preserve"> (Per 1.000 - 100 sft)</t>
  </si>
  <si>
    <t>Units per year</t>
  </si>
  <si>
    <t>Man hour</t>
  </si>
  <si>
    <t>Total man hr</t>
  </si>
  <si>
    <t>Hr / year</t>
  </si>
  <si>
    <t>Meses labor</t>
  </si>
  <si>
    <t>SUB TOTAL LABOR</t>
  </si>
  <si>
    <t>TOTAL MATERIALS + LABOR</t>
  </si>
  <si>
    <t>SUB TOTAL MATERIALS</t>
  </si>
  <si>
    <t>TOTAL HOUSE</t>
  </si>
  <si>
    <t>Cost code labor</t>
  </si>
  <si>
    <t>Carpintero y armador</t>
  </si>
  <si>
    <t>Auxiliar carpintería</t>
  </si>
  <si>
    <t>Roofer and gutters</t>
  </si>
  <si>
    <t>Helper roffer and gutters</t>
  </si>
  <si>
    <t>Laborer windows and siding</t>
  </si>
  <si>
    <t>Helper windows and siding</t>
  </si>
  <si>
    <t>Laborer Doors and trim</t>
  </si>
  <si>
    <t>Helper doors and trim</t>
  </si>
  <si>
    <t>Helper electrician</t>
  </si>
  <si>
    <t>HVAC professional</t>
  </si>
  <si>
    <t>Laborer Insulation</t>
  </si>
  <si>
    <t>Helper Insulation</t>
  </si>
  <si>
    <t>Laborer Drywall</t>
  </si>
  <si>
    <t>Helper Drywall</t>
  </si>
  <si>
    <t>Laborer Door and trim</t>
  </si>
  <si>
    <t>Laborer Painting</t>
  </si>
  <si>
    <t>Helper  Painting</t>
  </si>
  <si>
    <t>Laborer flooring</t>
  </si>
  <si>
    <t>Helper flooring</t>
  </si>
  <si>
    <t>Laborer Tiling and backsplash</t>
  </si>
  <si>
    <t>Helper Tiling and backsplash</t>
  </si>
  <si>
    <t>Laborer Cabinets and countertops</t>
  </si>
  <si>
    <t>Helper Cabinets and countertops</t>
  </si>
  <si>
    <t>Laborer Hardware and appliances</t>
  </si>
  <si>
    <t>Helper Hardware and appliances</t>
  </si>
  <si>
    <t>Laborer plumbing fixtures</t>
  </si>
  <si>
    <t>Helper roofer and gutters</t>
  </si>
  <si>
    <t>Etiquetas de fila</t>
  </si>
  <si>
    <t>Promedio de Unitary cost ($/hr)</t>
  </si>
  <si>
    <t>Suma de People</t>
  </si>
  <si>
    <t>Suma de Total hr</t>
  </si>
  <si>
    <t>Suma de Total cost</t>
  </si>
  <si>
    <t>Total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</si>
</sst>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 #,##0.00_-;\-&quot;$&quot;\ * #,##0.00_-;_-&quot;$&quot;\ * &quot;-&quot;??_-;_-@_-"/>
    <numFmt numFmtId="164" formatCode="&quot;$&quot;#,##0.00_);[Red]\(&quot;$&quot;#,##0.00\)"/>
    <numFmt numFmtId="165" formatCode="_(&quot;$&quot;* #,##0.00_);_(&quot;$&quot;* \(#,##0.00\);_(&quot;$&quot;* &quot;-&quot;??_);_(@_)"/>
    <numFmt numFmtId="166" formatCode="_(&quot;$&quot;* #,##0_);_(&quot;$&quot;* \(#,##0\);_(&quot;$&quot;* &quot;-&quot;??_);_(@_)"/>
    <numFmt numFmtId="167" formatCode="_-[$$-409]* #,##0_ ;_-[$$-409]* \-#,##0\ ;_-[$$-409]* &quot;-&quot;??_ ;_-@_ "/>
    <numFmt numFmtId="168" formatCode="_-[$$-409]* #,##0.00_ ;_-[$$-409]* \-#,##0.00\ ;_-[$$-409]* &quot;-&quot;??_ ;_-@_ "/>
    <numFmt numFmtId="169" formatCode="0.000"/>
    <numFmt numFmtId="170" formatCode="0.0"/>
    <numFmt numFmtId="171" formatCode="0.0000"/>
  </numFmts>
  <fonts count="35" x14ac:knownFonts="1">
    <font>
      <sz val="11"/>
      <color theme="1"/>
      <name val="Calibri"/>
      <scheme val="minor"/>
    </font>
    <font>
      <sz val="11"/>
      <color theme="1"/>
      <name val="Calibri"/>
      <family val="2"/>
      <scheme val="minor"/>
    </font>
    <font>
      <b/>
      <sz val="11"/>
      <color theme="1"/>
      <name val="Calibri"/>
      <family val="2"/>
    </font>
    <font>
      <sz val="11"/>
      <color theme="1"/>
      <name val="Calibri"/>
      <family val="2"/>
    </font>
    <font>
      <sz val="11"/>
      <color theme="1"/>
      <name val="Calibri"/>
      <family val="2"/>
      <scheme val="minor"/>
    </font>
    <font>
      <sz val="11"/>
      <name val="Calibri"/>
      <family val="2"/>
    </font>
    <font>
      <sz val="8"/>
      <name val="Calibri"/>
      <family val="2"/>
      <scheme val="minor"/>
    </font>
    <font>
      <b/>
      <sz val="11"/>
      <color theme="1"/>
      <name val="Calibri"/>
      <family val="2"/>
      <scheme val="minor"/>
    </font>
    <font>
      <b/>
      <sz val="11"/>
      <color theme="0"/>
      <name val="Calibri"/>
      <family val="2"/>
      <scheme val="minor"/>
    </font>
    <font>
      <sz val="10"/>
      <color rgb="FF000000"/>
      <name val="Times New Roman"/>
      <family val="1"/>
    </font>
    <font>
      <sz val="8"/>
      <color rgb="FF000000"/>
      <name val="Arial"/>
      <family val="2"/>
    </font>
    <font>
      <b/>
      <sz val="14"/>
      <color rgb="FF000000"/>
      <name val="Arial"/>
      <family val="2"/>
    </font>
    <font>
      <b/>
      <sz val="10"/>
      <color theme="0"/>
      <name val="Arial"/>
      <family val="2"/>
    </font>
    <font>
      <b/>
      <sz val="8"/>
      <name val="Arial"/>
      <family val="2"/>
    </font>
    <font>
      <b/>
      <sz val="8"/>
      <color rgb="FF000000"/>
      <name val="Arial"/>
      <family val="2"/>
    </font>
    <font>
      <u/>
      <sz val="10"/>
      <color theme="10"/>
      <name val="Times New Roman"/>
      <family val="1"/>
    </font>
    <font>
      <u/>
      <sz val="8"/>
      <color theme="10"/>
      <name val="Arial"/>
      <family val="2"/>
    </font>
    <font>
      <b/>
      <sz val="10"/>
      <color rgb="FF000000"/>
      <name val="Arial"/>
      <family val="2"/>
    </font>
    <font>
      <sz val="11"/>
      <color theme="1"/>
      <name val="Calibri"/>
      <family val="2"/>
      <scheme val="minor"/>
    </font>
    <font>
      <u/>
      <sz val="11"/>
      <color theme="10"/>
      <name val="Calibri"/>
      <family val="2"/>
      <scheme val="minor"/>
    </font>
    <font>
      <b/>
      <sz val="10"/>
      <color rgb="FF000000"/>
      <name val="Times New Roman"/>
      <family val="1"/>
    </font>
    <font>
      <sz val="11"/>
      <color theme="0"/>
      <name val="Calibri"/>
      <family val="2"/>
      <scheme val="minor"/>
    </font>
    <font>
      <b/>
      <sz val="11"/>
      <color theme="1"/>
      <name val="Calibri"/>
      <family val="2"/>
      <scheme val="minor"/>
    </font>
    <font>
      <sz val="11"/>
      <color rgb="FF000000"/>
      <name val="Calibri"/>
      <family val="2"/>
    </font>
    <font>
      <sz val="11"/>
      <color rgb="FF0070C0"/>
      <name val="Calibri"/>
      <family val="2"/>
      <scheme val="minor"/>
    </font>
    <font>
      <sz val="11"/>
      <color rgb="FF000000"/>
      <name val="Calibri"/>
      <family val="2"/>
      <scheme val="minor"/>
    </font>
    <font>
      <sz val="9"/>
      <color theme="1"/>
      <name val="Calibri"/>
      <scheme val="minor"/>
    </font>
    <font>
      <b/>
      <sz val="9"/>
      <color theme="1"/>
      <name val="Calibri"/>
      <family val="2"/>
      <scheme val="minor"/>
    </font>
    <font>
      <sz val="9"/>
      <color theme="0"/>
      <name val="Calibri"/>
      <family val="2"/>
      <scheme val="minor"/>
    </font>
    <font>
      <b/>
      <sz val="9"/>
      <color theme="1"/>
      <name val="Calibri"/>
      <family val="2"/>
    </font>
    <font>
      <sz val="9"/>
      <color theme="1"/>
      <name val="Calibri"/>
      <family val="2"/>
    </font>
    <font>
      <sz val="9"/>
      <color theme="1"/>
      <name val="Calibri"/>
      <family val="2"/>
      <scheme val="minor"/>
    </font>
    <font>
      <sz val="9"/>
      <color rgb="FF0070C0"/>
      <name val="Calibri"/>
      <family val="2"/>
      <scheme val="minor"/>
    </font>
    <font>
      <sz val="9"/>
      <color rgb="FF000000"/>
      <name val="Calibri"/>
      <family val="2"/>
      <scheme val="minor"/>
    </font>
    <font>
      <b/>
      <sz val="9"/>
      <color theme="0"/>
      <name val="Calibri"/>
      <family val="2"/>
      <scheme val="minor"/>
    </font>
  </fonts>
  <fills count="11">
    <fill>
      <patternFill patternType="none"/>
    </fill>
    <fill>
      <patternFill patternType="gray125"/>
    </fill>
    <fill>
      <patternFill patternType="solid">
        <fgColor theme="6"/>
        <bgColor theme="6"/>
      </patternFill>
    </fill>
    <fill>
      <patternFill patternType="solid">
        <fgColor rgb="FFE7E6E6"/>
        <bgColor rgb="FFE7E6E6"/>
      </patternFill>
    </fill>
    <fill>
      <patternFill patternType="solid">
        <fgColor theme="4" tint="0.39997558519241921"/>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249977111117893"/>
        <bgColor indexed="64"/>
      </patternFill>
    </fill>
    <fill>
      <patternFill patternType="solid">
        <fgColor rgb="FFD9E1F2"/>
        <bgColor rgb="FF000000"/>
      </patternFill>
    </fill>
    <fill>
      <patternFill patternType="solid">
        <fgColor rgb="FFFFFF00"/>
        <bgColor indexed="64"/>
      </patternFill>
    </fill>
  </fills>
  <borders count="15">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s>
  <cellStyleXfs count="7">
    <xf numFmtId="0" fontId="0" fillId="0" borderId="0"/>
    <xf numFmtId="165" fontId="4" fillId="0" borderId="0" applyFont="0" applyFill="0" applyBorder="0" applyAlignment="0" applyProtection="0"/>
    <xf numFmtId="0" fontId="9" fillId="0" borderId="0"/>
    <xf numFmtId="44" fontId="9" fillId="0" borderId="0" applyFont="0" applyFill="0" applyBorder="0" applyAlignment="0" applyProtection="0"/>
    <xf numFmtId="0" fontId="15" fillId="0" borderId="0" applyNumberFormat="0" applyFill="0" applyBorder="0" applyAlignment="0" applyProtection="0"/>
    <xf numFmtId="9" fontId="18" fillId="0" borderId="0" applyFont="0" applyFill="0" applyBorder="0" applyAlignment="0" applyProtection="0"/>
    <xf numFmtId="0" fontId="19" fillId="0" borderId="0" applyNumberFormat="0" applyFill="0" applyBorder="0" applyAlignment="0" applyProtection="0"/>
  </cellStyleXfs>
  <cellXfs count="161">
    <xf numFmtId="0" fontId="0" fillId="0" borderId="0" xfId="0"/>
    <xf numFmtId="0" fontId="2" fillId="2" borderId="1" xfId="0" applyFont="1" applyFill="1" applyBorder="1"/>
    <xf numFmtId="0" fontId="2" fillId="3" borderId="1" xfId="0" applyFont="1" applyFill="1" applyBorder="1"/>
    <xf numFmtId="166" fontId="2" fillId="3" borderId="1" xfId="0" applyNumberFormat="1" applyFont="1" applyFill="1" applyBorder="1"/>
    <xf numFmtId="0" fontId="3" fillId="0" borderId="1" xfId="0" applyFont="1" applyBorder="1"/>
    <xf numFmtId="166" fontId="3" fillId="0" borderId="1" xfId="1" applyNumberFormat="1" applyFont="1" applyBorder="1" applyAlignment="1"/>
    <xf numFmtId="0" fontId="5" fillId="0" borderId="1" xfId="0" applyFont="1" applyBorder="1"/>
    <xf numFmtId="0" fontId="3" fillId="0" borderId="3" xfId="0" applyFont="1" applyBorder="1"/>
    <xf numFmtId="166" fontId="3" fillId="0" borderId="3" xfId="1" applyNumberFormat="1" applyFont="1" applyBorder="1" applyAlignment="1"/>
    <xf numFmtId="0" fontId="2" fillId="3" borderId="4" xfId="0" applyFont="1" applyFill="1" applyBorder="1"/>
    <xf numFmtId="0" fontId="2" fillId="0" borderId="0" xfId="0" applyFont="1"/>
    <xf numFmtId="165" fontId="0" fillId="0" borderId="0" xfId="1" applyFont="1"/>
    <xf numFmtId="164" fontId="0" fillId="0" borderId="0" xfId="0" applyNumberFormat="1"/>
    <xf numFmtId="166" fontId="0" fillId="0" borderId="0" xfId="1" applyNumberFormat="1" applyFont="1"/>
    <xf numFmtId="166" fontId="2" fillId="3" borderId="4" xfId="0" applyNumberFormat="1" applyFont="1" applyFill="1" applyBorder="1"/>
    <xf numFmtId="0" fontId="3" fillId="0" borderId="2" xfId="0" applyFont="1" applyBorder="1"/>
    <xf numFmtId="165" fontId="0" fillId="0" borderId="5" xfId="1" applyFont="1" applyBorder="1"/>
    <xf numFmtId="166" fontId="0" fillId="0" borderId="2" xfId="0" applyNumberFormat="1" applyBorder="1"/>
    <xf numFmtId="0" fontId="0" fillId="0" borderId="2" xfId="0" applyBorder="1"/>
    <xf numFmtId="0" fontId="2" fillId="2" borderId="6" xfId="0" applyFont="1" applyFill="1" applyBorder="1"/>
    <xf numFmtId="166" fontId="3" fillId="0" borderId="6" xfId="1" applyNumberFormat="1" applyFont="1" applyBorder="1" applyAlignment="1"/>
    <xf numFmtId="166" fontId="3" fillId="0" borderId="7" xfId="1" applyNumberFormat="1" applyFont="1" applyBorder="1" applyAlignment="1"/>
    <xf numFmtId="166" fontId="3" fillId="0" borderId="8" xfId="1" applyNumberFormat="1" applyFont="1" applyBorder="1" applyAlignment="1"/>
    <xf numFmtId="0" fontId="2" fillId="2" borderId="2" xfId="0" applyFont="1" applyFill="1" applyBorder="1"/>
    <xf numFmtId="165" fontId="0" fillId="0" borderId="2" xfId="1" applyFont="1" applyBorder="1"/>
    <xf numFmtId="0" fontId="9" fillId="0" borderId="0" xfId="2" applyAlignment="1">
      <alignment horizontal="left" vertical="top"/>
    </xf>
    <xf numFmtId="0" fontId="9" fillId="0" borderId="0" xfId="2" applyAlignment="1">
      <alignment horizontal="left" vertical="top" wrapText="1"/>
    </xf>
    <xf numFmtId="0" fontId="9" fillId="0" borderId="2" xfId="2" applyBorder="1" applyAlignment="1">
      <alignment horizontal="left" vertical="top"/>
    </xf>
    <xf numFmtId="0" fontId="13" fillId="0" borderId="2" xfId="2" applyFont="1" applyBorder="1" applyAlignment="1">
      <alignment horizontal="center" vertical="center" wrapText="1"/>
    </xf>
    <xf numFmtId="0" fontId="14" fillId="0" borderId="2" xfId="2" applyFont="1" applyBorder="1" applyAlignment="1">
      <alignment horizontal="center" vertical="center" wrapText="1"/>
    </xf>
    <xf numFmtId="44" fontId="14" fillId="0" borderId="2" xfId="3" applyFont="1" applyBorder="1" applyAlignment="1">
      <alignment horizontal="center" vertical="center" wrapText="1"/>
    </xf>
    <xf numFmtId="0" fontId="16" fillId="0" borderId="2" xfId="4" applyFont="1" applyBorder="1" applyAlignment="1">
      <alignment horizontal="center" vertical="center" wrapText="1"/>
    </xf>
    <xf numFmtId="0" fontId="15" fillId="0" borderId="2" xfId="4" applyBorder="1" applyAlignment="1">
      <alignment horizontal="center" vertical="center" wrapText="1"/>
    </xf>
    <xf numFmtId="0" fontId="14" fillId="0" borderId="2" xfId="2" applyFont="1" applyBorder="1" applyAlignment="1">
      <alignment horizontal="right" vertical="center" wrapText="1"/>
    </xf>
    <xf numFmtId="0" fontId="10" fillId="7" borderId="0" xfId="2" applyFont="1" applyFill="1" applyAlignment="1">
      <alignment horizontal="left" vertical="top"/>
    </xf>
    <xf numFmtId="0" fontId="10" fillId="0" borderId="0" xfId="2" applyFont="1" applyAlignment="1">
      <alignment horizontal="left" vertical="top"/>
    </xf>
    <xf numFmtId="0" fontId="9" fillId="0" borderId="9" xfId="2" applyBorder="1" applyAlignment="1">
      <alignment horizontal="left" vertical="top"/>
    </xf>
    <xf numFmtId="0" fontId="10" fillId="7" borderId="10" xfId="2" applyFont="1" applyFill="1" applyBorder="1" applyAlignment="1">
      <alignment horizontal="left" vertical="top"/>
    </xf>
    <xf numFmtId="0" fontId="9" fillId="0" borderId="12" xfId="2" applyBorder="1" applyAlignment="1">
      <alignment horizontal="left" vertical="top"/>
    </xf>
    <xf numFmtId="0" fontId="10" fillId="7" borderId="13" xfId="2" applyFont="1" applyFill="1" applyBorder="1" applyAlignment="1">
      <alignment horizontal="left" vertical="top"/>
    </xf>
    <xf numFmtId="0" fontId="12" fillId="8" borderId="2" xfId="2" applyFont="1" applyFill="1" applyBorder="1" applyAlignment="1">
      <alignment vertical="center"/>
    </xf>
    <xf numFmtId="0" fontId="12" fillId="5" borderId="2" xfId="2" applyFont="1" applyFill="1" applyBorder="1" applyAlignment="1">
      <alignment vertical="center"/>
    </xf>
    <xf numFmtId="0" fontId="11" fillId="7" borderId="10" xfId="2" applyFont="1" applyFill="1" applyBorder="1" applyAlignment="1">
      <alignment vertical="center"/>
    </xf>
    <xf numFmtId="0" fontId="11" fillId="7" borderId="0" xfId="2" applyFont="1" applyFill="1" applyAlignment="1">
      <alignment vertical="center"/>
    </xf>
    <xf numFmtId="0" fontId="11" fillId="7" borderId="13" xfId="2" applyFont="1" applyFill="1" applyBorder="1" applyAlignment="1">
      <alignment vertical="center"/>
    </xf>
    <xf numFmtId="0" fontId="17" fillId="7" borderId="13" xfId="2" applyFont="1" applyFill="1" applyBorder="1" applyAlignment="1">
      <alignment vertical="center"/>
    </xf>
    <xf numFmtId="0" fontId="7" fillId="0" borderId="0" xfId="0" applyFont="1"/>
    <xf numFmtId="0" fontId="2" fillId="4" borderId="0" xfId="0" applyFont="1" applyFill="1" applyAlignment="1">
      <alignment horizontal="left" indent="2"/>
    </xf>
    <xf numFmtId="0" fontId="2" fillId="6" borderId="0" xfId="0" applyFont="1" applyFill="1" applyAlignment="1">
      <alignment horizontal="left" indent="4"/>
    </xf>
    <xf numFmtId="0" fontId="3" fillId="0" borderId="0" xfId="0" applyFont="1" applyAlignment="1">
      <alignment horizontal="left" indent="6"/>
    </xf>
    <xf numFmtId="44" fontId="13" fillId="0" borderId="2" xfId="3" applyFont="1" applyFill="1" applyBorder="1" applyAlignment="1">
      <alignment horizontal="center" vertical="center" wrapText="1"/>
    </xf>
    <xf numFmtId="44" fontId="14" fillId="0" borderId="2" xfId="3" applyFont="1" applyFill="1" applyBorder="1" applyAlignment="1">
      <alignment horizontal="center" vertical="center" wrapText="1"/>
    </xf>
    <xf numFmtId="165" fontId="14" fillId="0" borderId="2" xfId="1" applyFont="1" applyFill="1" applyBorder="1" applyAlignment="1">
      <alignment horizontal="center" vertical="center" wrapText="1"/>
    </xf>
    <xf numFmtId="0" fontId="19" fillId="0" borderId="2" xfId="6" applyBorder="1" applyAlignment="1">
      <alignment horizontal="center" vertical="center" wrapText="1"/>
    </xf>
    <xf numFmtId="44" fontId="14" fillId="0" borderId="0" xfId="2" applyNumberFormat="1" applyFont="1" applyAlignment="1">
      <alignment horizontal="left" vertical="top"/>
    </xf>
    <xf numFmtId="9" fontId="14" fillId="0" borderId="0" xfId="5" applyFont="1" applyAlignment="1">
      <alignment horizontal="center" vertical="top"/>
    </xf>
    <xf numFmtId="0" fontId="20" fillId="0" borderId="11" xfId="2" applyFont="1" applyBorder="1" applyAlignment="1">
      <alignment horizontal="left" vertical="top"/>
    </xf>
    <xf numFmtId="1" fontId="0" fillId="0" borderId="0" xfId="0" applyNumberFormat="1"/>
    <xf numFmtId="0" fontId="21" fillId="5" borderId="0" xfId="0" applyFont="1" applyFill="1"/>
    <xf numFmtId="165" fontId="21" fillId="5" borderId="0" xfId="1" applyFont="1" applyFill="1"/>
    <xf numFmtId="166" fontId="21" fillId="5" borderId="0" xfId="1" applyNumberFormat="1" applyFont="1" applyFill="1"/>
    <xf numFmtId="166" fontId="22" fillId="0" borderId="0" xfId="1" applyNumberFormat="1" applyFont="1"/>
    <xf numFmtId="166" fontId="8" fillId="5" borderId="0" xfId="1" applyNumberFormat="1" applyFont="1" applyFill="1"/>
    <xf numFmtId="167" fontId="22" fillId="0" borderId="0" xfId="1" applyNumberFormat="1" applyFont="1"/>
    <xf numFmtId="167" fontId="21" fillId="5" borderId="0" xfId="1" applyNumberFormat="1" applyFont="1" applyFill="1"/>
    <xf numFmtId="167" fontId="2" fillId="4" borderId="0" xfId="0" applyNumberFormat="1" applyFont="1" applyFill="1" applyAlignment="1">
      <alignment horizontal="left" indent="2"/>
    </xf>
    <xf numFmtId="167" fontId="2" fillId="6" borderId="0" xfId="0" applyNumberFormat="1" applyFont="1" applyFill="1" applyAlignment="1">
      <alignment horizontal="left" indent="4"/>
    </xf>
    <xf numFmtId="167" fontId="8" fillId="5" borderId="0" xfId="1" applyNumberFormat="1" applyFont="1" applyFill="1"/>
    <xf numFmtId="167" fontId="0" fillId="0" borderId="0" xfId="0" applyNumberFormat="1"/>
    <xf numFmtId="0" fontId="23" fillId="9" borderId="14" xfId="0" applyFont="1" applyFill="1" applyBorder="1"/>
    <xf numFmtId="168" fontId="0" fillId="0" borderId="0" xfId="0" applyNumberFormat="1"/>
    <xf numFmtId="169" fontId="0" fillId="0" borderId="0" xfId="0" applyNumberFormat="1"/>
    <xf numFmtId="170" fontId="0" fillId="0" borderId="0" xfId="0" applyNumberFormat="1"/>
    <xf numFmtId="0" fontId="2" fillId="0" borderId="0" xfId="0" applyFont="1" applyAlignment="1">
      <alignment horizontal="left" indent="6"/>
    </xf>
    <xf numFmtId="0" fontId="3" fillId="0" borderId="0" xfId="0" applyFont="1" applyAlignment="1">
      <alignment horizontal="left" indent="7"/>
    </xf>
    <xf numFmtId="167" fontId="0" fillId="0" borderId="0" xfId="1" applyNumberFormat="1" applyFont="1"/>
    <xf numFmtId="0" fontId="21" fillId="5" borderId="0" xfId="1" applyNumberFormat="1" applyFont="1" applyFill="1"/>
    <xf numFmtId="0" fontId="0" fillId="0" borderId="0" xfId="1" applyNumberFormat="1" applyFont="1"/>
    <xf numFmtId="2" fontId="0" fillId="0" borderId="0" xfId="1" applyNumberFormat="1" applyFont="1"/>
    <xf numFmtId="1" fontId="0" fillId="0" borderId="0" xfId="1" applyNumberFormat="1" applyFont="1"/>
    <xf numFmtId="165" fontId="24" fillId="0" borderId="0" xfId="1" applyFont="1"/>
    <xf numFmtId="0" fontId="24" fillId="0" borderId="0" xfId="1" applyNumberFormat="1" applyFont="1"/>
    <xf numFmtId="0" fontId="24" fillId="0" borderId="0" xfId="0" applyFont="1"/>
    <xf numFmtId="0" fontId="25" fillId="0" borderId="0" xfId="0" applyFont="1"/>
    <xf numFmtId="169" fontId="25" fillId="0" borderId="0" xfId="0" applyNumberFormat="1" applyFont="1"/>
    <xf numFmtId="169" fontId="2" fillId="4" borderId="0" xfId="0" applyNumberFormat="1" applyFont="1" applyFill="1" applyAlignment="1">
      <alignment horizontal="left" indent="2"/>
    </xf>
    <xf numFmtId="169" fontId="2" fillId="6" borderId="0" xfId="0" applyNumberFormat="1" applyFont="1" applyFill="1" applyAlignment="1">
      <alignment horizontal="left" indent="4"/>
    </xf>
    <xf numFmtId="0" fontId="1" fillId="0" borderId="0" xfId="0" applyFont="1"/>
    <xf numFmtId="0" fontId="7" fillId="6" borderId="0" xfId="0" applyFont="1" applyFill="1"/>
    <xf numFmtId="0" fontId="0" fillId="6" borderId="0" xfId="0" applyFill="1"/>
    <xf numFmtId="0" fontId="0" fillId="4" borderId="0" xfId="0" applyFill="1"/>
    <xf numFmtId="1" fontId="1" fillId="4" borderId="0" xfId="0" applyNumberFormat="1" applyFont="1" applyFill="1"/>
    <xf numFmtId="0" fontId="1" fillId="4" borderId="0" xfId="0" applyFont="1" applyFill="1"/>
    <xf numFmtId="2" fontId="24" fillId="0" borderId="0" xfId="1" applyNumberFormat="1" applyFont="1"/>
    <xf numFmtId="170" fontId="24" fillId="0" borderId="0" xfId="1" applyNumberFormat="1" applyFont="1"/>
    <xf numFmtId="4" fontId="0" fillId="0" borderId="0" xfId="0" applyNumberFormat="1"/>
    <xf numFmtId="3" fontId="0" fillId="0" borderId="0" xfId="0" applyNumberFormat="1"/>
    <xf numFmtId="3" fontId="21" fillId="5" borderId="0" xfId="0" applyNumberFormat="1" applyFont="1" applyFill="1"/>
    <xf numFmtId="3" fontId="2" fillId="4" borderId="0" xfId="0" applyNumberFormat="1" applyFont="1" applyFill="1" applyAlignment="1">
      <alignment horizontal="left" indent="2"/>
    </xf>
    <xf numFmtId="3" fontId="2" fillId="6" borderId="0" xfId="0" applyNumberFormat="1" applyFont="1" applyFill="1" applyAlignment="1">
      <alignment horizontal="left" indent="4"/>
    </xf>
    <xf numFmtId="0" fontId="0" fillId="0" borderId="0" xfId="0" pivotButton="1"/>
    <xf numFmtId="0" fontId="0" fillId="0" borderId="0" xfId="0" applyAlignment="1">
      <alignment horizontal="left"/>
    </xf>
    <xf numFmtId="0" fontId="1" fillId="0" borderId="2" xfId="0" applyFont="1" applyBorder="1"/>
    <xf numFmtId="166" fontId="1" fillId="0" borderId="2" xfId="1" applyNumberFormat="1" applyFont="1" applyFill="1" applyBorder="1" applyAlignment="1"/>
    <xf numFmtId="0" fontId="1" fillId="0" borderId="1" xfId="0" applyFont="1" applyBorder="1"/>
    <xf numFmtId="166" fontId="1" fillId="0" borderId="6" xfId="1" applyNumberFormat="1" applyFont="1" applyFill="1" applyBorder="1" applyAlignment="1"/>
    <xf numFmtId="166" fontId="7" fillId="0" borderId="0" xfId="1" applyNumberFormat="1" applyFont="1"/>
    <xf numFmtId="0" fontId="7" fillId="0" borderId="0" xfId="1" applyNumberFormat="1" applyFont="1"/>
    <xf numFmtId="167" fontId="7" fillId="0" borderId="0" xfId="1" applyNumberFormat="1" applyFont="1"/>
    <xf numFmtId="165" fontId="1" fillId="0" borderId="0" xfId="1" applyFont="1"/>
    <xf numFmtId="1" fontId="7" fillId="0" borderId="0" xfId="1" applyNumberFormat="1" applyFont="1"/>
    <xf numFmtId="171" fontId="7" fillId="0" borderId="0" xfId="0" applyNumberFormat="1" applyFont="1"/>
    <xf numFmtId="165" fontId="7" fillId="0" borderId="0" xfId="1" applyFont="1"/>
    <xf numFmtId="1" fontId="7" fillId="0" borderId="0" xfId="0" applyNumberFormat="1" applyFont="1"/>
    <xf numFmtId="169" fontId="1" fillId="0" borderId="0" xfId="0" applyNumberFormat="1" applyFont="1"/>
    <xf numFmtId="1" fontId="1" fillId="0" borderId="0" xfId="0" applyNumberFormat="1" applyFont="1"/>
    <xf numFmtId="0" fontId="26" fillId="0" borderId="0" xfId="0" applyFont="1"/>
    <xf numFmtId="166" fontId="27" fillId="0" borderId="0" xfId="1" applyNumberFormat="1" applyFont="1"/>
    <xf numFmtId="0" fontId="27" fillId="0" borderId="0" xfId="1" applyNumberFormat="1" applyFont="1"/>
    <xf numFmtId="0" fontId="28" fillId="5" borderId="0" xfId="0" applyFont="1" applyFill="1" applyAlignment="1">
      <alignment wrapText="1"/>
    </xf>
    <xf numFmtId="165" fontId="28" fillId="5" borderId="0" xfId="1" applyFont="1" applyFill="1" applyAlignment="1">
      <alignment wrapText="1"/>
    </xf>
    <xf numFmtId="0" fontId="28" fillId="5" borderId="0" xfId="1" applyNumberFormat="1" applyFont="1" applyFill="1" applyAlignment="1">
      <alignment wrapText="1"/>
    </xf>
    <xf numFmtId="167" fontId="28" fillId="5" borderId="0" xfId="1" applyNumberFormat="1" applyFont="1" applyFill="1" applyAlignment="1">
      <alignment wrapText="1"/>
    </xf>
    <xf numFmtId="0" fontId="29" fillId="4" borderId="0" xfId="0" applyFont="1" applyFill="1" applyAlignment="1">
      <alignment horizontal="left" indent="2"/>
    </xf>
    <xf numFmtId="167" fontId="29" fillId="4" borderId="0" xfId="0" applyNumberFormat="1" applyFont="1" applyFill="1" applyAlignment="1">
      <alignment horizontal="left" indent="2"/>
    </xf>
    <xf numFmtId="0" fontId="29" fillId="6" borderId="0" xfId="0" applyFont="1" applyFill="1" applyAlignment="1">
      <alignment horizontal="left" indent="4"/>
    </xf>
    <xf numFmtId="167" fontId="29" fillId="6" borderId="0" xfId="0" applyNumberFormat="1" applyFont="1" applyFill="1" applyAlignment="1">
      <alignment horizontal="left" indent="4"/>
    </xf>
    <xf numFmtId="0" fontId="29" fillId="0" borderId="0" xfId="0" applyFont="1" applyAlignment="1">
      <alignment horizontal="left" indent="6"/>
    </xf>
    <xf numFmtId="0" fontId="27" fillId="0" borderId="0" xfId="0" applyFont="1"/>
    <xf numFmtId="171" fontId="27" fillId="0" borderId="0" xfId="0" applyNumberFormat="1" applyFont="1"/>
    <xf numFmtId="165" fontId="27" fillId="0" borderId="0" xfId="1" applyFont="1"/>
    <xf numFmtId="167" fontId="27" fillId="0" borderId="0" xfId="1" applyNumberFormat="1" applyFont="1" applyAlignment="1">
      <alignment horizontal="left"/>
    </xf>
    <xf numFmtId="0" fontId="30" fillId="0" borderId="0" xfId="0" applyFont="1" applyAlignment="1">
      <alignment horizontal="left" indent="7"/>
    </xf>
    <xf numFmtId="0" fontId="31" fillId="0" borderId="0" xfId="0" applyFont="1"/>
    <xf numFmtId="0" fontId="32" fillId="0" borderId="0" xfId="0" applyFont="1"/>
    <xf numFmtId="169" fontId="33" fillId="0" borderId="0" xfId="0" applyNumberFormat="1" applyFont="1"/>
    <xf numFmtId="1" fontId="26" fillId="0" borderId="0" xfId="0" applyNumberFormat="1" applyFont="1"/>
    <xf numFmtId="165" fontId="32" fillId="0" borderId="0" xfId="1" applyFont="1"/>
    <xf numFmtId="0" fontId="32" fillId="0" borderId="0" xfId="1" applyNumberFormat="1" applyFont="1"/>
    <xf numFmtId="1" fontId="26" fillId="0" borderId="0" xfId="1" applyNumberFormat="1" applyFont="1"/>
    <xf numFmtId="2" fontId="26" fillId="0" borderId="0" xfId="1" applyNumberFormat="1" applyFont="1"/>
    <xf numFmtId="167" fontId="26" fillId="0" borderId="0" xfId="1" applyNumberFormat="1" applyFont="1" applyAlignment="1">
      <alignment horizontal="left"/>
    </xf>
    <xf numFmtId="169" fontId="26" fillId="0" borderId="0" xfId="0" applyNumberFormat="1" applyFont="1"/>
    <xf numFmtId="165" fontId="26" fillId="0" borderId="0" xfId="1" applyFont="1"/>
    <xf numFmtId="0" fontId="26" fillId="0" borderId="0" xfId="1" applyNumberFormat="1" applyFont="1"/>
    <xf numFmtId="0" fontId="33" fillId="0" borderId="0" xfId="0" applyFont="1"/>
    <xf numFmtId="169" fontId="31" fillId="0" borderId="0" xfId="0" applyNumberFormat="1" applyFont="1"/>
    <xf numFmtId="0" fontId="30" fillId="0" borderId="0" xfId="0" applyFont="1" applyAlignment="1">
      <alignment horizontal="left" indent="6"/>
    </xf>
    <xf numFmtId="1" fontId="31" fillId="0" borderId="0" xfId="0" applyNumberFormat="1" applyFont="1"/>
    <xf numFmtId="0" fontId="28" fillId="5" borderId="0" xfId="0" applyFont="1" applyFill="1"/>
    <xf numFmtId="167" fontId="34" fillId="5" borderId="0" xfId="1" applyNumberFormat="1" applyFont="1" applyFill="1" applyAlignment="1">
      <alignment horizontal="left"/>
    </xf>
    <xf numFmtId="0" fontId="34" fillId="5" borderId="0" xfId="0" applyFont="1" applyFill="1"/>
    <xf numFmtId="167" fontId="34" fillId="5" borderId="0" xfId="1" applyNumberFormat="1" applyFont="1" applyFill="1"/>
    <xf numFmtId="167" fontId="27" fillId="0" borderId="0" xfId="1" applyNumberFormat="1" applyFont="1"/>
    <xf numFmtId="167" fontId="26" fillId="0" borderId="0" xfId="1" applyNumberFormat="1" applyFont="1"/>
    <xf numFmtId="169" fontId="29" fillId="4" borderId="0" xfId="0" applyNumberFormat="1" applyFont="1" applyFill="1" applyAlignment="1">
      <alignment horizontal="left" indent="2"/>
    </xf>
    <xf numFmtId="169" fontId="29" fillId="6" borderId="0" xfId="0" applyNumberFormat="1" applyFont="1" applyFill="1" applyAlignment="1">
      <alignment horizontal="left" indent="4"/>
    </xf>
    <xf numFmtId="2" fontId="32" fillId="0" borderId="0" xfId="1" applyNumberFormat="1" applyFont="1"/>
    <xf numFmtId="0" fontId="0" fillId="10" borderId="0" xfId="0" applyFill="1"/>
    <xf numFmtId="0" fontId="29" fillId="6" borderId="0" xfId="0" applyFont="1" applyFill="1" applyAlignment="1">
      <alignment horizontal="left" indent="4"/>
    </xf>
    <xf numFmtId="0" fontId="29" fillId="4" borderId="0" xfId="0" applyFont="1" applyFill="1" applyAlignment="1">
      <alignment horizontal="left" indent="2"/>
    </xf>
  </cellXfs>
  <cellStyles count="7">
    <cellStyle name="Hipervínculo" xfId="6" builtinId="8"/>
    <cellStyle name="Hipervínculo 2" xfId="4" xr:uid="{36F3FD05-E9A3-4C6E-887F-F9A147A9FC77}"/>
    <cellStyle name="Moneda" xfId="1" builtinId="4"/>
    <cellStyle name="Moneda 2" xfId="3" xr:uid="{D1558FA2-E3A6-47B9-A6D6-17D00BFE9C15}"/>
    <cellStyle name="Normal" xfId="0" builtinId="0"/>
    <cellStyle name="Normal 2" xfId="2" xr:uid="{9143A92B-6D92-408E-8752-ABEC2DD943C6}"/>
    <cellStyle name="Porcentaje" xfId="5" builtinId="5"/>
  </cellStyles>
  <dxfs count="4">
    <dxf>
      <numFmt numFmtId="4" formatCode="#,##0.00"/>
    </dxf>
    <dxf>
      <numFmt numFmtId="4" formatCode="#,##0.00"/>
    </dxf>
    <dxf>
      <numFmt numFmtId="166" formatCode="_(&quot;$&quot;* #,##0_);_(&quot;$&quot;* \(#,##0\);_(&quot;$&quot;* &quot;-&quot;??_);_(@_)"/>
    </dxf>
    <dxf>
      <numFmt numFmtId="166" formatCode="_(&quot;$&quot;* #,##0_);_(&quot;$&quot;* \(#,##0\);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323851</xdr:colOff>
      <xdr:row>7</xdr:row>
      <xdr:rowOff>28575</xdr:rowOff>
    </xdr:from>
    <xdr:to>
      <xdr:col>3</xdr:col>
      <xdr:colOff>704851</xdr:colOff>
      <xdr:row>7</xdr:row>
      <xdr:rowOff>550686</xdr:rowOff>
    </xdr:to>
    <xdr:pic>
      <xdr:nvPicPr>
        <xdr:cNvPr id="2" name="Imagen 1">
          <a:extLst>
            <a:ext uri="{FF2B5EF4-FFF2-40B4-BE49-F238E27FC236}">
              <a16:creationId xmlns:a16="http://schemas.microsoft.com/office/drawing/2014/main" id="{4A95CFED-1A43-427E-9184-2ACFFE0ACE32}"/>
            </a:ext>
          </a:extLst>
        </xdr:cNvPr>
        <xdr:cNvPicPr>
          <a:picLocks noChangeAspect="1"/>
        </xdr:cNvPicPr>
      </xdr:nvPicPr>
      <xdr:blipFill>
        <a:blip xmlns:r="http://schemas.openxmlformats.org/officeDocument/2006/relationships" r:embed="rId1"/>
        <a:stretch>
          <a:fillRect/>
        </a:stretch>
      </xdr:blipFill>
      <xdr:spPr>
        <a:xfrm>
          <a:off x="1685926" y="5153025"/>
          <a:ext cx="381000" cy="522111"/>
        </a:xfrm>
        <a:prstGeom prst="rect">
          <a:avLst/>
        </a:prstGeom>
      </xdr:spPr>
    </xdr:pic>
    <xdr:clientData/>
  </xdr:twoCellAnchor>
  <xdr:twoCellAnchor editAs="oneCell">
    <xdr:from>
      <xdr:col>3</xdr:col>
      <xdr:colOff>47627</xdr:colOff>
      <xdr:row>30</xdr:row>
      <xdr:rowOff>28575</xdr:rowOff>
    </xdr:from>
    <xdr:to>
      <xdr:col>3</xdr:col>
      <xdr:colOff>902895</xdr:colOff>
      <xdr:row>30</xdr:row>
      <xdr:rowOff>447674</xdr:rowOff>
    </xdr:to>
    <xdr:pic>
      <xdr:nvPicPr>
        <xdr:cNvPr id="3" name="Imagen 2">
          <a:extLst>
            <a:ext uri="{FF2B5EF4-FFF2-40B4-BE49-F238E27FC236}">
              <a16:creationId xmlns:a16="http://schemas.microsoft.com/office/drawing/2014/main" id="{3FA84982-BD03-4C6C-8D6B-881DFCC34D57}"/>
            </a:ext>
          </a:extLst>
        </xdr:cNvPr>
        <xdr:cNvPicPr>
          <a:picLocks noChangeAspect="1"/>
        </xdr:cNvPicPr>
      </xdr:nvPicPr>
      <xdr:blipFill>
        <a:blip xmlns:r="http://schemas.openxmlformats.org/officeDocument/2006/relationships" r:embed="rId2"/>
        <a:stretch>
          <a:fillRect/>
        </a:stretch>
      </xdr:blipFill>
      <xdr:spPr>
        <a:xfrm>
          <a:off x="1409702" y="41795700"/>
          <a:ext cx="855268" cy="419099"/>
        </a:xfrm>
        <a:prstGeom prst="rect">
          <a:avLst/>
        </a:prstGeom>
      </xdr:spPr>
    </xdr:pic>
    <xdr:clientData/>
  </xdr:twoCellAnchor>
  <xdr:twoCellAnchor editAs="oneCell">
    <xdr:from>
      <xdr:col>3</xdr:col>
      <xdr:colOff>314327</xdr:colOff>
      <xdr:row>31</xdr:row>
      <xdr:rowOff>38100</xdr:rowOff>
    </xdr:from>
    <xdr:to>
      <xdr:col>3</xdr:col>
      <xdr:colOff>641643</xdr:colOff>
      <xdr:row>31</xdr:row>
      <xdr:rowOff>733425</xdr:rowOff>
    </xdr:to>
    <xdr:pic>
      <xdr:nvPicPr>
        <xdr:cNvPr id="5" name="Imagen 4">
          <a:extLst>
            <a:ext uri="{FF2B5EF4-FFF2-40B4-BE49-F238E27FC236}">
              <a16:creationId xmlns:a16="http://schemas.microsoft.com/office/drawing/2014/main" id="{C372D929-DCFF-433D-B105-5EA1154B52A4}"/>
            </a:ext>
          </a:extLst>
        </xdr:cNvPr>
        <xdr:cNvPicPr>
          <a:picLocks noChangeAspect="1"/>
        </xdr:cNvPicPr>
      </xdr:nvPicPr>
      <xdr:blipFill>
        <a:blip xmlns:r="http://schemas.openxmlformats.org/officeDocument/2006/relationships" r:embed="rId3"/>
        <a:stretch>
          <a:fillRect/>
        </a:stretch>
      </xdr:blipFill>
      <xdr:spPr>
        <a:xfrm>
          <a:off x="1676402" y="43072050"/>
          <a:ext cx="327316" cy="695325"/>
        </a:xfrm>
        <a:prstGeom prst="rect">
          <a:avLst/>
        </a:prstGeom>
      </xdr:spPr>
    </xdr:pic>
    <xdr:clientData/>
  </xdr:twoCellAnchor>
  <xdr:twoCellAnchor editAs="oneCell">
    <xdr:from>
      <xdr:col>3</xdr:col>
      <xdr:colOff>152400</xdr:colOff>
      <xdr:row>35</xdr:row>
      <xdr:rowOff>104776</xdr:rowOff>
    </xdr:from>
    <xdr:to>
      <xdr:col>3</xdr:col>
      <xdr:colOff>790575</xdr:colOff>
      <xdr:row>35</xdr:row>
      <xdr:rowOff>899484</xdr:rowOff>
    </xdr:to>
    <xdr:pic>
      <xdr:nvPicPr>
        <xdr:cNvPr id="8" name="Imagen 7">
          <a:extLst>
            <a:ext uri="{FF2B5EF4-FFF2-40B4-BE49-F238E27FC236}">
              <a16:creationId xmlns:a16="http://schemas.microsoft.com/office/drawing/2014/main" id="{2F9679C8-EA2F-4C6F-8DA7-8C9AA666411B}"/>
            </a:ext>
          </a:extLst>
        </xdr:cNvPr>
        <xdr:cNvPicPr>
          <a:picLocks noChangeAspect="1"/>
        </xdr:cNvPicPr>
      </xdr:nvPicPr>
      <xdr:blipFill>
        <a:blip xmlns:r="http://schemas.openxmlformats.org/officeDocument/2006/relationships" r:embed="rId4"/>
        <a:stretch>
          <a:fillRect/>
        </a:stretch>
      </xdr:blipFill>
      <xdr:spPr>
        <a:xfrm>
          <a:off x="1514475" y="51844576"/>
          <a:ext cx="638175" cy="794708"/>
        </a:xfrm>
        <a:prstGeom prst="rect">
          <a:avLst/>
        </a:prstGeom>
      </xdr:spPr>
    </xdr:pic>
    <xdr:clientData/>
  </xdr:twoCellAnchor>
  <xdr:twoCellAnchor editAs="oneCell">
    <xdr:from>
      <xdr:col>3</xdr:col>
      <xdr:colOff>238125</xdr:colOff>
      <xdr:row>36</xdr:row>
      <xdr:rowOff>57150</xdr:rowOff>
    </xdr:from>
    <xdr:to>
      <xdr:col>3</xdr:col>
      <xdr:colOff>638175</xdr:colOff>
      <xdr:row>36</xdr:row>
      <xdr:rowOff>945336</xdr:rowOff>
    </xdr:to>
    <xdr:pic>
      <xdr:nvPicPr>
        <xdr:cNvPr id="9" name="Imagen 8">
          <a:extLst>
            <a:ext uri="{FF2B5EF4-FFF2-40B4-BE49-F238E27FC236}">
              <a16:creationId xmlns:a16="http://schemas.microsoft.com/office/drawing/2014/main" id="{F911803A-99FD-4F63-BE99-EC6685D5DE52}"/>
            </a:ext>
          </a:extLst>
        </xdr:cNvPr>
        <xdr:cNvPicPr>
          <a:picLocks noChangeAspect="1"/>
        </xdr:cNvPicPr>
      </xdr:nvPicPr>
      <xdr:blipFill>
        <a:blip xmlns:r="http://schemas.openxmlformats.org/officeDocument/2006/relationships" r:embed="rId5"/>
        <a:stretch>
          <a:fillRect/>
        </a:stretch>
      </xdr:blipFill>
      <xdr:spPr>
        <a:xfrm>
          <a:off x="1600200" y="53978175"/>
          <a:ext cx="400050" cy="888186"/>
        </a:xfrm>
        <a:prstGeom prst="rect">
          <a:avLst/>
        </a:prstGeom>
      </xdr:spPr>
    </xdr:pic>
    <xdr:clientData/>
  </xdr:twoCellAnchor>
  <xdr:twoCellAnchor editAs="oneCell">
    <xdr:from>
      <xdr:col>3</xdr:col>
      <xdr:colOff>114300</xdr:colOff>
      <xdr:row>38</xdr:row>
      <xdr:rowOff>152400</xdr:rowOff>
    </xdr:from>
    <xdr:to>
      <xdr:col>3</xdr:col>
      <xdr:colOff>885631</xdr:colOff>
      <xdr:row>38</xdr:row>
      <xdr:rowOff>609600</xdr:rowOff>
    </xdr:to>
    <xdr:pic>
      <xdr:nvPicPr>
        <xdr:cNvPr id="14" name="Imagen 13">
          <a:extLst>
            <a:ext uri="{FF2B5EF4-FFF2-40B4-BE49-F238E27FC236}">
              <a16:creationId xmlns:a16="http://schemas.microsoft.com/office/drawing/2014/main" id="{CD278303-FF87-4DE9-9DFC-05246E41A753}"/>
            </a:ext>
          </a:extLst>
        </xdr:cNvPr>
        <xdr:cNvPicPr>
          <a:picLocks noChangeAspect="1"/>
        </xdr:cNvPicPr>
      </xdr:nvPicPr>
      <xdr:blipFill>
        <a:blip xmlns:r="http://schemas.openxmlformats.org/officeDocument/2006/relationships" r:embed="rId6"/>
        <a:stretch>
          <a:fillRect/>
        </a:stretch>
      </xdr:blipFill>
      <xdr:spPr>
        <a:xfrm>
          <a:off x="1476375" y="59026425"/>
          <a:ext cx="771331" cy="457200"/>
        </a:xfrm>
        <a:prstGeom prst="rect">
          <a:avLst/>
        </a:prstGeom>
      </xdr:spPr>
    </xdr:pic>
    <xdr:clientData/>
  </xdr:twoCellAnchor>
  <xdr:twoCellAnchor editAs="oneCell">
    <xdr:from>
      <xdr:col>3</xdr:col>
      <xdr:colOff>161926</xdr:colOff>
      <xdr:row>39</xdr:row>
      <xdr:rowOff>57150</xdr:rowOff>
    </xdr:from>
    <xdr:to>
      <xdr:col>3</xdr:col>
      <xdr:colOff>824912</xdr:colOff>
      <xdr:row>39</xdr:row>
      <xdr:rowOff>695672</xdr:rowOff>
    </xdr:to>
    <xdr:pic>
      <xdr:nvPicPr>
        <xdr:cNvPr id="15" name="Imagen 14">
          <a:extLst>
            <a:ext uri="{FF2B5EF4-FFF2-40B4-BE49-F238E27FC236}">
              <a16:creationId xmlns:a16="http://schemas.microsoft.com/office/drawing/2014/main" id="{A237DF50-C95F-45DF-A0AF-2555ECAF50DE}"/>
            </a:ext>
          </a:extLst>
        </xdr:cNvPr>
        <xdr:cNvPicPr>
          <a:picLocks noChangeAspect="1"/>
        </xdr:cNvPicPr>
      </xdr:nvPicPr>
      <xdr:blipFill>
        <a:blip xmlns:r="http://schemas.openxmlformats.org/officeDocument/2006/relationships" r:embed="rId7"/>
        <a:stretch>
          <a:fillRect/>
        </a:stretch>
      </xdr:blipFill>
      <xdr:spPr>
        <a:xfrm>
          <a:off x="1524001" y="59702700"/>
          <a:ext cx="662986" cy="638522"/>
        </a:xfrm>
        <a:prstGeom prst="rect">
          <a:avLst/>
        </a:prstGeom>
      </xdr:spPr>
    </xdr:pic>
    <xdr:clientData/>
  </xdr:twoCellAnchor>
  <xdr:twoCellAnchor editAs="oneCell">
    <xdr:from>
      <xdr:col>3</xdr:col>
      <xdr:colOff>123826</xdr:colOff>
      <xdr:row>40</xdr:row>
      <xdr:rowOff>66675</xdr:rowOff>
    </xdr:from>
    <xdr:to>
      <xdr:col>3</xdr:col>
      <xdr:colOff>904876</xdr:colOff>
      <xdr:row>40</xdr:row>
      <xdr:rowOff>663279</xdr:rowOff>
    </xdr:to>
    <xdr:pic>
      <xdr:nvPicPr>
        <xdr:cNvPr id="16" name="Imagen 15">
          <a:extLst>
            <a:ext uri="{FF2B5EF4-FFF2-40B4-BE49-F238E27FC236}">
              <a16:creationId xmlns:a16="http://schemas.microsoft.com/office/drawing/2014/main" id="{1EC948A2-3FA7-45E4-966C-455F1A5911BC}"/>
            </a:ext>
          </a:extLst>
        </xdr:cNvPr>
        <xdr:cNvPicPr>
          <a:picLocks noChangeAspect="1"/>
        </xdr:cNvPicPr>
      </xdr:nvPicPr>
      <xdr:blipFill>
        <a:blip xmlns:r="http://schemas.openxmlformats.org/officeDocument/2006/relationships" r:embed="rId8"/>
        <a:stretch>
          <a:fillRect/>
        </a:stretch>
      </xdr:blipFill>
      <xdr:spPr>
        <a:xfrm>
          <a:off x="1485901" y="60483750"/>
          <a:ext cx="781050" cy="596604"/>
        </a:xfrm>
        <a:prstGeom prst="rect">
          <a:avLst/>
        </a:prstGeom>
      </xdr:spPr>
    </xdr:pic>
    <xdr:clientData/>
  </xdr:twoCellAnchor>
  <xdr:twoCellAnchor editAs="oneCell">
    <xdr:from>
      <xdr:col>3</xdr:col>
      <xdr:colOff>285751</xdr:colOff>
      <xdr:row>41</xdr:row>
      <xdr:rowOff>38100</xdr:rowOff>
    </xdr:from>
    <xdr:to>
      <xdr:col>3</xdr:col>
      <xdr:colOff>682626</xdr:colOff>
      <xdr:row>41</xdr:row>
      <xdr:rowOff>752475</xdr:rowOff>
    </xdr:to>
    <xdr:pic>
      <xdr:nvPicPr>
        <xdr:cNvPr id="17" name="Imagen 16">
          <a:extLst>
            <a:ext uri="{FF2B5EF4-FFF2-40B4-BE49-F238E27FC236}">
              <a16:creationId xmlns:a16="http://schemas.microsoft.com/office/drawing/2014/main" id="{59B0A053-743C-47B3-8947-1B8977F52612}"/>
            </a:ext>
          </a:extLst>
        </xdr:cNvPr>
        <xdr:cNvPicPr>
          <a:picLocks noChangeAspect="1"/>
        </xdr:cNvPicPr>
      </xdr:nvPicPr>
      <xdr:blipFill>
        <a:blip xmlns:r="http://schemas.openxmlformats.org/officeDocument/2006/relationships" r:embed="rId9"/>
        <a:stretch>
          <a:fillRect/>
        </a:stretch>
      </xdr:blipFill>
      <xdr:spPr>
        <a:xfrm>
          <a:off x="1647826" y="61226700"/>
          <a:ext cx="396875" cy="714375"/>
        </a:xfrm>
        <a:prstGeom prst="rect">
          <a:avLst/>
        </a:prstGeom>
      </xdr:spPr>
    </xdr:pic>
    <xdr:clientData/>
  </xdr:twoCellAnchor>
  <xdr:twoCellAnchor editAs="oneCell">
    <xdr:from>
      <xdr:col>3</xdr:col>
      <xdr:colOff>200026</xdr:colOff>
      <xdr:row>43</xdr:row>
      <xdr:rowOff>19050</xdr:rowOff>
    </xdr:from>
    <xdr:to>
      <xdr:col>3</xdr:col>
      <xdr:colOff>771526</xdr:colOff>
      <xdr:row>43</xdr:row>
      <xdr:rowOff>737937</xdr:rowOff>
    </xdr:to>
    <xdr:pic>
      <xdr:nvPicPr>
        <xdr:cNvPr id="20" name="Imagen 19">
          <a:extLst>
            <a:ext uri="{FF2B5EF4-FFF2-40B4-BE49-F238E27FC236}">
              <a16:creationId xmlns:a16="http://schemas.microsoft.com/office/drawing/2014/main" id="{6E994862-AFEE-41E9-A9FB-EEC9DAF46D02}"/>
            </a:ext>
          </a:extLst>
        </xdr:cNvPr>
        <xdr:cNvPicPr>
          <a:picLocks noChangeAspect="1"/>
        </xdr:cNvPicPr>
      </xdr:nvPicPr>
      <xdr:blipFill>
        <a:blip xmlns:r="http://schemas.openxmlformats.org/officeDocument/2006/relationships" r:embed="rId10"/>
        <a:stretch>
          <a:fillRect/>
        </a:stretch>
      </xdr:blipFill>
      <xdr:spPr>
        <a:xfrm>
          <a:off x="1562101" y="65379600"/>
          <a:ext cx="571500" cy="718887"/>
        </a:xfrm>
        <a:prstGeom prst="rect">
          <a:avLst/>
        </a:prstGeom>
      </xdr:spPr>
    </xdr:pic>
    <xdr:clientData/>
  </xdr:twoCellAnchor>
  <xdr:twoCellAnchor editAs="oneCell">
    <xdr:from>
      <xdr:col>3</xdr:col>
      <xdr:colOff>200025</xdr:colOff>
      <xdr:row>44</xdr:row>
      <xdr:rowOff>76200</xdr:rowOff>
    </xdr:from>
    <xdr:to>
      <xdr:col>3</xdr:col>
      <xdr:colOff>866775</xdr:colOff>
      <xdr:row>44</xdr:row>
      <xdr:rowOff>698867</xdr:rowOff>
    </xdr:to>
    <xdr:pic>
      <xdr:nvPicPr>
        <xdr:cNvPr id="21" name="Imagen 20">
          <a:extLst>
            <a:ext uri="{FF2B5EF4-FFF2-40B4-BE49-F238E27FC236}">
              <a16:creationId xmlns:a16="http://schemas.microsoft.com/office/drawing/2014/main" id="{1A6D27AC-24A8-4793-A73A-565E05A94EFE}"/>
            </a:ext>
          </a:extLst>
        </xdr:cNvPr>
        <xdr:cNvPicPr>
          <a:picLocks noChangeAspect="1"/>
        </xdr:cNvPicPr>
      </xdr:nvPicPr>
      <xdr:blipFill>
        <a:blip xmlns:r="http://schemas.openxmlformats.org/officeDocument/2006/relationships" r:embed="rId11"/>
        <a:stretch>
          <a:fillRect/>
        </a:stretch>
      </xdr:blipFill>
      <xdr:spPr>
        <a:xfrm>
          <a:off x="1562100" y="66208275"/>
          <a:ext cx="666750" cy="622667"/>
        </a:xfrm>
        <a:prstGeom prst="rect">
          <a:avLst/>
        </a:prstGeom>
      </xdr:spPr>
    </xdr:pic>
    <xdr:clientData/>
  </xdr:twoCellAnchor>
  <xdr:twoCellAnchor editAs="oneCell">
    <xdr:from>
      <xdr:col>3</xdr:col>
      <xdr:colOff>228600</xdr:colOff>
      <xdr:row>45</xdr:row>
      <xdr:rowOff>47626</xdr:rowOff>
    </xdr:from>
    <xdr:to>
      <xdr:col>3</xdr:col>
      <xdr:colOff>704850</xdr:colOff>
      <xdr:row>45</xdr:row>
      <xdr:rowOff>684996</xdr:rowOff>
    </xdr:to>
    <xdr:pic>
      <xdr:nvPicPr>
        <xdr:cNvPr id="22" name="Imagen 21">
          <a:extLst>
            <a:ext uri="{FF2B5EF4-FFF2-40B4-BE49-F238E27FC236}">
              <a16:creationId xmlns:a16="http://schemas.microsoft.com/office/drawing/2014/main" id="{9BB3172E-1E8C-43A6-8E69-0FDA46F0F06B}"/>
            </a:ext>
          </a:extLst>
        </xdr:cNvPr>
        <xdr:cNvPicPr>
          <a:picLocks noChangeAspect="1"/>
        </xdr:cNvPicPr>
      </xdr:nvPicPr>
      <xdr:blipFill>
        <a:blip xmlns:r="http://schemas.openxmlformats.org/officeDocument/2006/relationships" r:embed="rId12"/>
        <a:stretch>
          <a:fillRect/>
        </a:stretch>
      </xdr:blipFill>
      <xdr:spPr>
        <a:xfrm>
          <a:off x="1590675" y="66951226"/>
          <a:ext cx="476250" cy="637370"/>
        </a:xfrm>
        <a:prstGeom prst="rect">
          <a:avLst/>
        </a:prstGeom>
      </xdr:spPr>
    </xdr:pic>
    <xdr:clientData/>
  </xdr:twoCellAnchor>
  <xdr:twoCellAnchor editAs="oneCell">
    <xdr:from>
      <xdr:col>3</xdr:col>
      <xdr:colOff>142875</xdr:colOff>
      <xdr:row>46</xdr:row>
      <xdr:rowOff>38100</xdr:rowOff>
    </xdr:from>
    <xdr:to>
      <xdr:col>3</xdr:col>
      <xdr:colOff>914400</xdr:colOff>
      <xdr:row>46</xdr:row>
      <xdr:rowOff>713981</xdr:rowOff>
    </xdr:to>
    <xdr:pic>
      <xdr:nvPicPr>
        <xdr:cNvPr id="23" name="Imagen 22">
          <a:extLst>
            <a:ext uri="{FF2B5EF4-FFF2-40B4-BE49-F238E27FC236}">
              <a16:creationId xmlns:a16="http://schemas.microsoft.com/office/drawing/2014/main" id="{B420F328-6454-4F22-AAEF-7AC6CB5731C6}"/>
            </a:ext>
          </a:extLst>
        </xdr:cNvPr>
        <xdr:cNvPicPr>
          <a:picLocks noChangeAspect="1"/>
        </xdr:cNvPicPr>
      </xdr:nvPicPr>
      <xdr:blipFill>
        <a:blip xmlns:r="http://schemas.openxmlformats.org/officeDocument/2006/relationships" r:embed="rId13"/>
        <a:stretch>
          <a:fillRect/>
        </a:stretch>
      </xdr:blipFill>
      <xdr:spPr>
        <a:xfrm>
          <a:off x="1504950" y="67713225"/>
          <a:ext cx="771525" cy="675881"/>
        </a:xfrm>
        <a:prstGeom prst="rect">
          <a:avLst/>
        </a:prstGeom>
      </xdr:spPr>
    </xdr:pic>
    <xdr:clientData/>
  </xdr:twoCellAnchor>
  <xdr:twoCellAnchor editAs="oneCell">
    <xdr:from>
      <xdr:col>3</xdr:col>
      <xdr:colOff>57151</xdr:colOff>
      <xdr:row>47</xdr:row>
      <xdr:rowOff>85725</xdr:rowOff>
    </xdr:from>
    <xdr:to>
      <xdr:col>3</xdr:col>
      <xdr:colOff>948627</xdr:colOff>
      <xdr:row>47</xdr:row>
      <xdr:rowOff>714375</xdr:rowOff>
    </xdr:to>
    <xdr:pic>
      <xdr:nvPicPr>
        <xdr:cNvPr id="24" name="Imagen 23">
          <a:extLst>
            <a:ext uri="{FF2B5EF4-FFF2-40B4-BE49-F238E27FC236}">
              <a16:creationId xmlns:a16="http://schemas.microsoft.com/office/drawing/2014/main" id="{8000FFEA-C8CF-436C-B82B-D2C9F9DA5761}"/>
            </a:ext>
          </a:extLst>
        </xdr:cNvPr>
        <xdr:cNvPicPr>
          <a:picLocks noChangeAspect="1"/>
        </xdr:cNvPicPr>
      </xdr:nvPicPr>
      <xdr:blipFill>
        <a:blip xmlns:r="http://schemas.openxmlformats.org/officeDocument/2006/relationships" r:embed="rId14"/>
        <a:stretch>
          <a:fillRect/>
        </a:stretch>
      </xdr:blipFill>
      <xdr:spPr>
        <a:xfrm>
          <a:off x="1419226" y="68532375"/>
          <a:ext cx="891476" cy="628650"/>
        </a:xfrm>
        <a:prstGeom prst="rect">
          <a:avLst/>
        </a:prstGeom>
      </xdr:spPr>
    </xdr:pic>
    <xdr:clientData/>
  </xdr:twoCellAnchor>
  <xdr:twoCellAnchor editAs="oneCell">
    <xdr:from>
      <xdr:col>3</xdr:col>
      <xdr:colOff>66675</xdr:colOff>
      <xdr:row>55</xdr:row>
      <xdr:rowOff>95250</xdr:rowOff>
    </xdr:from>
    <xdr:to>
      <xdr:col>3</xdr:col>
      <xdr:colOff>918804</xdr:colOff>
      <xdr:row>55</xdr:row>
      <xdr:rowOff>714375</xdr:rowOff>
    </xdr:to>
    <xdr:pic>
      <xdr:nvPicPr>
        <xdr:cNvPr id="26" name="Imagen 25">
          <a:extLst>
            <a:ext uri="{FF2B5EF4-FFF2-40B4-BE49-F238E27FC236}">
              <a16:creationId xmlns:a16="http://schemas.microsoft.com/office/drawing/2014/main" id="{2543015F-320F-448D-A8F1-9D0A33108A7E}"/>
            </a:ext>
          </a:extLst>
        </xdr:cNvPr>
        <xdr:cNvPicPr>
          <a:picLocks noChangeAspect="1"/>
        </xdr:cNvPicPr>
      </xdr:nvPicPr>
      <xdr:blipFill>
        <a:blip xmlns:r="http://schemas.openxmlformats.org/officeDocument/2006/relationships" r:embed="rId15"/>
        <a:stretch>
          <a:fillRect/>
        </a:stretch>
      </xdr:blipFill>
      <xdr:spPr>
        <a:xfrm>
          <a:off x="1428750" y="79428975"/>
          <a:ext cx="852129" cy="619125"/>
        </a:xfrm>
        <a:prstGeom prst="rect">
          <a:avLst/>
        </a:prstGeom>
      </xdr:spPr>
    </xdr:pic>
    <xdr:clientData/>
  </xdr:twoCellAnchor>
  <xdr:twoCellAnchor editAs="oneCell">
    <xdr:from>
      <xdr:col>3</xdr:col>
      <xdr:colOff>47626</xdr:colOff>
      <xdr:row>54</xdr:row>
      <xdr:rowOff>152400</xdr:rowOff>
    </xdr:from>
    <xdr:to>
      <xdr:col>3</xdr:col>
      <xdr:colOff>998800</xdr:colOff>
      <xdr:row>54</xdr:row>
      <xdr:rowOff>590550</xdr:rowOff>
    </xdr:to>
    <xdr:pic>
      <xdr:nvPicPr>
        <xdr:cNvPr id="27" name="Imagen 26">
          <a:extLst>
            <a:ext uri="{FF2B5EF4-FFF2-40B4-BE49-F238E27FC236}">
              <a16:creationId xmlns:a16="http://schemas.microsoft.com/office/drawing/2014/main" id="{4D65388B-4E0C-4005-9D89-A6FBCFDC05DF}"/>
            </a:ext>
          </a:extLst>
        </xdr:cNvPr>
        <xdr:cNvPicPr>
          <a:picLocks noChangeAspect="1"/>
        </xdr:cNvPicPr>
      </xdr:nvPicPr>
      <xdr:blipFill>
        <a:blip xmlns:r="http://schemas.openxmlformats.org/officeDocument/2006/relationships" r:embed="rId16"/>
        <a:stretch>
          <a:fillRect/>
        </a:stretch>
      </xdr:blipFill>
      <xdr:spPr>
        <a:xfrm>
          <a:off x="1409701" y="78714600"/>
          <a:ext cx="951174" cy="438150"/>
        </a:xfrm>
        <a:prstGeom prst="rect">
          <a:avLst/>
        </a:prstGeom>
      </xdr:spPr>
    </xdr:pic>
    <xdr:clientData/>
  </xdr:twoCellAnchor>
  <xdr:twoCellAnchor editAs="oneCell">
    <xdr:from>
      <xdr:col>3</xdr:col>
      <xdr:colOff>95250</xdr:colOff>
      <xdr:row>53</xdr:row>
      <xdr:rowOff>92658</xdr:rowOff>
    </xdr:from>
    <xdr:to>
      <xdr:col>3</xdr:col>
      <xdr:colOff>923925</xdr:colOff>
      <xdr:row>53</xdr:row>
      <xdr:rowOff>729302</xdr:rowOff>
    </xdr:to>
    <xdr:pic>
      <xdr:nvPicPr>
        <xdr:cNvPr id="28" name="Imagen 27">
          <a:extLst>
            <a:ext uri="{FF2B5EF4-FFF2-40B4-BE49-F238E27FC236}">
              <a16:creationId xmlns:a16="http://schemas.microsoft.com/office/drawing/2014/main" id="{F2F5D773-AF75-4792-9F1F-744D377B802F}"/>
            </a:ext>
          </a:extLst>
        </xdr:cNvPr>
        <xdr:cNvPicPr>
          <a:picLocks noChangeAspect="1"/>
        </xdr:cNvPicPr>
      </xdr:nvPicPr>
      <xdr:blipFill>
        <a:blip xmlns:r="http://schemas.openxmlformats.org/officeDocument/2006/relationships" r:embed="rId17"/>
        <a:stretch>
          <a:fillRect/>
        </a:stretch>
      </xdr:blipFill>
      <xdr:spPr>
        <a:xfrm>
          <a:off x="1457325" y="74797233"/>
          <a:ext cx="828675" cy="636644"/>
        </a:xfrm>
        <a:prstGeom prst="rect">
          <a:avLst/>
        </a:prstGeom>
      </xdr:spPr>
    </xdr:pic>
    <xdr:clientData/>
  </xdr:twoCellAnchor>
  <xdr:twoCellAnchor editAs="oneCell">
    <xdr:from>
      <xdr:col>3</xdr:col>
      <xdr:colOff>171451</xdr:colOff>
      <xdr:row>52</xdr:row>
      <xdr:rowOff>66675</xdr:rowOff>
    </xdr:from>
    <xdr:to>
      <xdr:col>3</xdr:col>
      <xdr:colOff>831423</xdr:colOff>
      <xdr:row>52</xdr:row>
      <xdr:rowOff>714375</xdr:rowOff>
    </xdr:to>
    <xdr:pic>
      <xdr:nvPicPr>
        <xdr:cNvPr id="29" name="Imagen 28">
          <a:extLst>
            <a:ext uri="{FF2B5EF4-FFF2-40B4-BE49-F238E27FC236}">
              <a16:creationId xmlns:a16="http://schemas.microsoft.com/office/drawing/2014/main" id="{0E49E787-44BC-4921-8B27-4B5C0C4DB179}"/>
            </a:ext>
          </a:extLst>
        </xdr:cNvPr>
        <xdr:cNvPicPr>
          <a:picLocks noChangeAspect="1"/>
        </xdr:cNvPicPr>
      </xdr:nvPicPr>
      <xdr:blipFill>
        <a:blip xmlns:r="http://schemas.openxmlformats.org/officeDocument/2006/relationships" r:embed="rId18"/>
        <a:stretch>
          <a:fillRect/>
        </a:stretch>
      </xdr:blipFill>
      <xdr:spPr>
        <a:xfrm>
          <a:off x="1533526" y="73999725"/>
          <a:ext cx="659972" cy="647700"/>
        </a:xfrm>
        <a:prstGeom prst="rect">
          <a:avLst/>
        </a:prstGeom>
      </xdr:spPr>
    </xdr:pic>
    <xdr:clientData/>
  </xdr:twoCellAnchor>
  <xdr:twoCellAnchor editAs="oneCell">
    <xdr:from>
      <xdr:col>3</xdr:col>
      <xdr:colOff>180976</xdr:colOff>
      <xdr:row>51</xdr:row>
      <xdr:rowOff>38099</xdr:rowOff>
    </xdr:from>
    <xdr:to>
      <xdr:col>3</xdr:col>
      <xdr:colOff>755074</xdr:colOff>
      <xdr:row>51</xdr:row>
      <xdr:rowOff>723900</xdr:rowOff>
    </xdr:to>
    <xdr:pic>
      <xdr:nvPicPr>
        <xdr:cNvPr id="31" name="Imagen 30">
          <a:extLst>
            <a:ext uri="{FF2B5EF4-FFF2-40B4-BE49-F238E27FC236}">
              <a16:creationId xmlns:a16="http://schemas.microsoft.com/office/drawing/2014/main" id="{AC935F81-6298-4DC3-BA8E-AA6616973AD3}"/>
            </a:ext>
          </a:extLst>
        </xdr:cNvPr>
        <xdr:cNvPicPr>
          <a:picLocks noChangeAspect="1"/>
        </xdr:cNvPicPr>
      </xdr:nvPicPr>
      <xdr:blipFill>
        <a:blip xmlns:r="http://schemas.openxmlformats.org/officeDocument/2006/relationships" r:embed="rId19"/>
        <a:stretch>
          <a:fillRect/>
        </a:stretch>
      </xdr:blipFill>
      <xdr:spPr>
        <a:xfrm>
          <a:off x="1543051" y="73199624"/>
          <a:ext cx="574098" cy="685801"/>
        </a:xfrm>
        <a:prstGeom prst="rect">
          <a:avLst/>
        </a:prstGeom>
      </xdr:spPr>
    </xdr:pic>
    <xdr:clientData/>
  </xdr:twoCellAnchor>
  <xdr:twoCellAnchor editAs="oneCell">
    <xdr:from>
      <xdr:col>3</xdr:col>
      <xdr:colOff>333376</xdr:colOff>
      <xdr:row>50</xdr:row>
      <xdr:rowOff>85725</xdr:rowOff>
    </xdr:from>
    <xdr:to>
      <xdr:col>3</xdr:col>
      <xdr:colOff>628650</xdr:colOff>
      <xdr:row>50</xdr:row>
      <xdr:rowOff>727829</xdr:rowOff>
    </xdr:to>
    <xdr:pic>
      <xdr:nvPicPr>
        <xdr:cNvPr id="32" name="Imagen 31">
          <a:extLst>
            <a:ext uri="{FF2B5EF4-FFF2-40B4-BE49-F238E27FC236}">
              <a16:creationId xmlns:a16="http://schemas.microsoft.com/office/drawing/2014/main" id="{F32D2348-DD1D-485E-AB32-2932C2274C22}"/>
            </a:ext>
          </a:extLst>
        </xdr:cNvPr>
        <xdr:cNvPicPr>
          <a:picLocks noChangeAspect="1"/>
        </xdr:cNvPicPr>
      </xdr:nvPicPr>
      <xdr:blipFill>
        <a:blip xmlns:r="http://schemas.openxmlformats.org/officeDocument/2006/relationships" r:embed="rId20"/>
        <a:stretch>
          <a:fillRect/>
        </a:stretch>
      </xdr:blipFill>
      <xdr:spPr>
        <a:xfrm>
          <a:off x="2419351" y="81562575"/>
          <a:ext cx="295274" cy="642104"/>
        </a:xfrm>
        <a:prstGeom prst="rect">
          <a:avLst/>
        </a:prstGeom>
      </xdr:spPr>
    </xdr:pic>
    <xdr:clientData/>
  </xdr:twoCellAnchor>
  <xdr:twoCellAnchor editAs="oneCell">
    <xdr:from>
      <xdr:col>3</xdr:col>
      <xdr:colOff>200026</xdr:colOff>
      <xdr:row>6</xdr:row>
      <xdr:rowOff>133350</xdr:rowOff>
    </xdr:from>
    <xdr:to>
      <xdr:col>3</xdr:col>
      <xdr:colOff>711487</xdr:colOff>
      <xdr:row>6</xdr:row>
      <xdr:rowOff>1114425</xdr:rowOff>
    </xdr:to>
    <xdr:pic>
      <xdr:nvPicPr>
        <xdr:cNvPr id="36" name="Imagen 35">
          <a:extLst>
            <a:ext uri="{FF2B5EF4-FFF2-40B4-BE49-F238E27FC236}">
              <a16:creationId xmlns:a16="http://schemas.microsoft.com/office/drawing/2014/main" id="{977341C5-FFE2-4264-A096-0AEA04FC45C6}"/>
            </a:ext>
          </a:extLst>
        </xdr:cNvPr>
        <xdr:cNvPicPr>
          <a:picLocks noChangeAspect="1"/>
        </xdr:cNvPicPr>
      </xdr:nvPicPr>
      <xdr:blipFill>
        <a:blip xmlns:r="http://schemas.openxmlformats.org/officeDocument/2006/relationships" r:embed="rId21"/>
        <a:stretch>
          <a:fillRect/>
        </a:stretch>
      </xdr:blipFill>
      <xdr:spPr>
        <a:xfrm>
          <a:off x="1562101" y="4038600"/>
          <a:ext cx="511461" cy="981075"/>
        </a:xfrm>
        <a:prstGeom prst="rect">
          <a:avLst/>
        </a:prstGeom>
      </xdr:spPr>
    </xdr:pic>
    <xdr:clientData/>
  </xdr:twoCellAnchor>
  <xdr:twoCellAnchor editAs="oneCell">
    <xdr:from>
      <xdr:col>3</xdr:col>
      <xdr:colOff>133350</xdr:colOff>
      <xdr:row>4</xdr:row>
      <xdr:rowOff>47625</xdr:rowOff>
    </xdr:from>
    <xdr:to>
      <xdr:col>3</xdr:col>
      <xdr:colOff>881627</xdr:colOff>
      <xdr:row>4</xdr:row>
      <xdr:rowOff>923925</xdr:rowOff>
    </xdr:to>
    <xdr:pic>
      <xdr:nvPicPr>
        <xdr:cNvPr id="38" name="Imagen 37">
          <a:extLst>
            <a:ext uri="{FF2B5EF4-FFF2-40B4-BE49-F238E27FC236}">
              <a16:creationId xmlns:a16="http://schemas.microsoft.com/office/drawing/2014/main" id="{45416832-AB1D-4123-9285-B37E8D3AD84E}"/>
            </a:ext>
          </a:extLst>
        </xdr:cNvPr>
        <xdr:cNvPicPr>
          <a:picLocks noChangeAspect="1"/>
        </xdr:cNvPicPr>
      </xdr:nvPicPr>
      <xdr:blipFill>
        <a:blip xmlns:r="http://schemas.openxmlformats.org/officeDocument/2006/relationships" r:embed="rId22"/>
        <a:stretch>
          <a:fillRect/>
        </a:stretch>
      </xdr:blipFill>
      <xdr:spPr>
        <a:xfrm>
          <a:off x="1495425" y="1038225"/>
          <a:ext cx="748277" cy="876300"/>
        </a:xfrm>
        <a:prstGeom prst="rect">
          <a:avLst/>
        </a:prstGeom>
      </xdr:spPr>
    </xdr:pic>
    <xdr:clientData/>
  </xdr:twoCellAnchor>
  <xdr:twoCellAnchor editAs="oneCell">
    <xdr:from>
      <xdr:col>3</xdr:col>
      <xdr:colOff>171450</xdr:colOff>
      <xdr:row>5</xdr:row>
      <xdr:rowOff>114301</xdr:rowOff>
    </xdr:from>
    <xdr:to>
      <xdr:col>3</xdr:col>
      <xdr:colOff>866775</xdr:colOff>
      <xdr:row>5</xdr:row>
      <xdr:rowOff>857579</xdr:rowOff>
    </xdr:to>
    <xdr:pic>
      <xdr:nvPicPr>
        <xdr:cNvPr id="39" name="Imagen 38">
          <a:extLst>
            <a:ext uri="{FF2B5EF4-FFF2-40B4-BE49-F238E27FC236}">
              <a16:creationId xmlns:a16="http://schemas.microsoft.com/office/drawing/2014/main" id="{5F0BB1D2-C62A-4BFC-B713-87B3B677FCC5}"/>
            </a:ext>
          </a:extLst>
        </xdr:cNvPr>
        <xdr:cNvPicPr>
          <a:picLocks noChangeAspect="1"/>
        </xdr:cNvPicPr>
      </xdr:nvPicPr>
      <xdr:blipFill>
        <a:blip xmlns:r="http://schemas.openxmlformats.org/officeDocument/2006/relationships" r:embed="rId23"/>
        <a:stretch>
          <a:fillRect/>
        </a:stretch>
      </xdr:blipFill>
      <xdr:spPr>
        <a:xfrm>
          <a:off x="2257425" y="1743076"/>
          <a:ext cx="695325" cy="743278"/>
        </a:xfrm>
        <a:prstGeom prst="rect">
          <a:avLst/>
        </a:prstGeom>
      </xdr:spPr>
    </xdr:pic>
    <xdr:clientData/>
  </xdr:twoCellAnchor>
  <xdr:twoCellAnchor editAs="oneCell">
    <xdr:from>
      <xdr:col>3</xdr:col>
      <xdr:colOff>244476</xdr:colOff>
      <xdr:row>8</xdr:row>
      <xdr:rowOff>95250</xdr:rowOff>
    </xdr:from>
    <xdr:to>
      <xdr:col>3</xdr:col>
      <xdr:colOff>824435</xdr:colOff>
      <xdr:row>8</xdr:row>
      <xdr:rowOff>962024</xdr:rowOff>
    </xdr:to>
    <xdr:pic>
      <xdr:nvPicPr>
        <xdr:cNvPr id="41" name="Imagen 40">
          <a:extLst>
            <a:ext uri="{FF2B5EF4-FFF2-40B4-BE49-F238E27FC236}">
              <a16:creationId xmlns:a16="http://schemas.microsoft.com/office/drawing/2014/main" id="{ECE08347-BECA-45CC-8895-B1AD9BE8ABA0}"/>
            </a:ext>
          </a:extLst>
        </xdr:cNvPr>
        <xdr:cNvPicPr>
          <a:picLocks noChangeAspect="1"/>
        </xdr:cNvPicPr>
      </xdr:nvPicPr>
      <xdr:blipFill>
        <a:blip xmlns:r="http://schemas.openxmlformats.org/officeDocument/2006/relationships" r:embed="rId24"/>
        <a:stretch>
          <a:fillRect/>
        </a:stretch>
      </xdr:blipFill>
      <xdr:spPr>
        <a:xfrm>
          <a:off x="2428876" y="4502150"/>
          <a:ext cx="579959" cy="866774"/>
        </a:xfrm>
        <a:prstGeom prst="rect">
          <a:avLst/>
        </a:prstGeom>
      </xdr:spPr>
    </xdr:pic>
    <xdr:clientData/>
  </xdr:twoCellAnchor>
  <xdr:twoCellAnchor editAs="oneCell">
    <xdr:from>
      <xdr:col>3</xdr:col>
      <xdr:colOff>38101</xdr:colOff>
      <xdr:row>11</xdr:row>
      <xdr:rowOff>66675</xdr:rowOff>
    </xdr:from>
    <xdr:to>
      <xdr:col>3</xdr:col>
      <xdr:colOff>965591</xdr:colOff>
      <xdr:row>11</xdr:row>
      <xdr:rowOff>924235</xdr:rowOff>
    </xdr:to>
    <xdr:pic>
      <xdr:nvPicPr>
        <xdr:cNvPr id="43" name="Imagen 42">
          <a:extLst>
            <a:ext uri="{FF2B5EF4-FFF2-40B4-BE49-F238E27FC236}">
              <a16:creationId xmlns:a16="http://schemas.microsoft.com/office/drawing/2014/main" id="{054D1AF6-5269-4CDF-BB2B-99097BF154FF}"/>
            </a:ext>
          </a:extLst>
        </xdr:cNvPr>
        <xdr:cNvPicPr>
          <a:picLocks noChangeAspect="1"/>
        </xdr:cNvPicPr>
      </xdr:nvPicPr>
      <xdr:blipFill>
        <a:blip xmlns:r="http://schemas.openxmlformats.org/officeDocument/2006/relationships" r:embed="rId25"/>
        <a:stretch>
          <a:fillRect/>
        </a:stretch>
      </xdr:blipFill>
      <xdr:spPr>
        <a:xfrm>
          <a:off x="1400176" y="11144250"/>
          <a:ext cx="927490" cy="857560"/>
        </a:xfrm>
        <a:prstGeom prst="rect">
          <a:avLst/>
        </a:prstGeom>
      </xdr:spPr>
    </xdr:pic>
    <xdr:clientData/>
  </xdr:twoCellAnchor>
  <xdr:twoCellAnchor editAs="oneCell">
    <xdr:from>
      <xdr:col>3</xdr:col>
      <xdr:colOff>66675</xdr:colOff>
      <xdr:row>34</xdr:row>
      <xdr:rowOff>114300</xdr:rowOff>
    </xdr:from>
    <xdr:to>
      <xdr:col>3</xdr:col>
      <xdr:colOff>914400</xdr:colOff>
      <xdr:row>34</xdr:row>
      <xdr:rowOff>877002</xdr:rowOff>
    </xdr:to>
    <xdr:pic>
      <xdr:nvPicPr>
        <xdr:cNvPr id="44" name="Imagen 43">
          <a:extLst>
            <a:ext uri="{FF2B5EF4-FFF2-40B4-BE49-F238E27FC236}">
              <a16:creationId xmlns:a16="http://schemas.microsoft.com/office/drawing/2014/main" id="{E9DF9594-B56C-4412-ABB8-DF3D3BEB659B}"/>
            </a:ext>
          </a:extLst>
        </xdr:cNvPr>
        <xdr:cNvPicPr>
          <a:picLocks noChangeAspect="1"/>
        </xdr:cNvPicPr>
      </xdr:nvPicPr>
      <xdr:blipFill>
        <a:blip xmlns:r="http://schemas.openxmlformats.org/officeDocument/2006/relationships" r:embed="rId26"/>
        <a:stretch>
          <a:fillRect/>
        </a:stretch>
      </xdr:blipFill>
      <xdr:spPr>
        <a:xfrm>
          <a:off x="1428750" y="49872900"/>
          <a:ext cx="847725" cy="762702"/>
        </a:xfrm>
        <a:prstGeom prst="rect">
          <a:avLst/>
        </a:prstGeom>
      </xdr:spPr>
    </xdr:pic>
    <xdr:clientData/>
  </xdr:twoCellAnchor>
  <xdr:twoCellAnchor editAs="oneCell">
    <xdr:from>
      <xdr:col>3</xdr:col>
      <xdr:colOff>104775</xdr:colOff>
      <xdr:row>12</xdr:row>
      <xdr:rowOff>104775</xdr:rowOff>
    </xdr:from>
    <xdr:to>
      <xdr:col>3</xdr:col>
      <xdr:colOff>914400</xdr:colOff>
      <xdr:row>12</xdr:row>
      <xdr:rowOff>901394</xdr:rowOff>
    </xdr:to>
    <xdr:pic>
      <xdr:nvPicPr>
        <xdr:cNvPr id="46" name="Imagen 45">
          <a:extLst>
            <a:ext uri="{FF2B5EF4-FFF2-40B4-BE49-F238E27FC236}">
              <a16:creationId xmlns:a16="http://schemas.microsoft.com/office/drawing/2014/main" id="{9B826E15-686B-4D34-9D90-E000A2CD6BD9}"/>
            </a:ext>
          </a:extLst>
        </xdr:cNvPr>
        <xdr:cNvPicPr>
          <a:picLocks noChangeAspect="1"/>
        </xdr:cNvPicPr>
      </xdr:nvPicPr>
      <xdr:blipFill>
        <a:blip xmlns:r="http://schemas.openxmlformats.org/officeDocument/2006/relationships" r:embed="rId27"/>
        <a:stretch>
          <a:fillRect/>
        </a:stretch>
      </xdr:blipFill>
      <xdr:spPr>
        <a:xfrm>
          <a:off x="1466850" y="13239750"/>
          <a:ext cx="809625" cy="796619"/>
        </a:xfrm>
        <a:prstGeom prst="rect">
          <a:avLst/>
        </a:prstGeom>
      </xdr:spPr>
    </xdr:pic>
    <xdr:clientData/>
  </xdr:twoCellAnchor>
  <xdr:twoCellAnchor editAs="oneCell">
    <xdr:from>
      <xdr:col>3</xdr:col>
      <xdr:colOff>285749</xdr:colOff>
      <xdr:row>13</xdr:row>
      <xdr:rowOff>123825</xdr:rowOff>
    </xdr:from>
    <xdr:to>
      <xdr:col>3</xdr:col>
      <xdr:colOff>605019</xdr:colOff>
      <xdr:row>13</xdr:row>
      <xdr:rowOff>923925</xdr:rowOff>
    </xdr:to>
    <xdr:pic>
      <xdr:nvPicPr>
        <xdr:cNvPr id="47" name="Imagen 46">
          <a:extLst>
            <a:ext uri="{FF2B5EF4-FFF2-40B4-BE49-F238E27FC236}">
              <a16:creationId xmlns:a16="http://schemas.microsoft.com/office/drawing/2014/main" id="{60E0ADFE-FF99-49BA-B8DA-2EE8C90E2A1F}"/>
            </a:ext>
          </a:extLst>
        </xdr:cNvPr>
        <xdr:cNvPicPr>
          <a:picLocks noChangeAspect="1"/>
        </xdr:cNvPicPr>
      </xdr:nvPicPr>
      <xdr:blipFill>
        <a:blip xmlns:r="http://schemas.openxmlformats.org/officeDocument/2006/relationships" r:embed="rId28"/>
        <a:stretch>
          <a:fillRect/>
        </a:stretch>
      </xdr:blipFill>
      <xdr:spPr>
        <a:xfrm>
          <a:off x="1647824" y="16344900"/>
          <a:ext cx="319270" cy="800100"/>
        </a:xfrm>
        <a:prstGeom prst="rect">
          <a:avLst/>
        </a:prstGeom>
      </xdr:spPr>
    </xdr:pic>
    <xdr:clientData/>
  </xdr:twoCellAnchor>
  <xdr:twoCellAnchor editAs="oneCell">
    <xdr:from>
      <xdr:col>3</xdr:col>
      <xdr:colOff>209551</xdr:colOff>
      <xdr:row>58</xdr:row>
      <xdr:rowOff>114300</xdr:rowOff>
    </xdr:from>
    <xdr:to>
      <xdr:col>3</xdr:col>
      <xdr:colOff>781051</xdr:colOff>
      <xdr:row>58</xdr:row>
      <xdr:rowOff>721895</xdr:rowOff>
    </xdr:to>
    <xdr:pic>
      <xdr:nvPicPr>
        <xdr:cNvPr id="49" name="Imagen 48">
          <a:extLst>
            <a:ext uri="{FF2B5EF4-FFF2-40B4-BE49-F238E27FC236}">
              <a16:creationId xmlns:a16="http://schemas.microsoft.com/office/drawing/2014/main" id="{10F8DA27-ED5D-4777-A9E7-7BEA8664F038}"/>
            </a:ext>
          </a:extLst>
        </xdr:cNvPr>
        <xdr:cNvPicPr>
          <a:picLocks noChangeAspect="1"/>
        </xdr:cNvPicPr>
      </xdr:nvPicPr>
      <xdr:blipFill>
        <a:blip xmlns:r="http://schemas.openxmlformats.org/officeDocument/2006/relationships" r:embed="rId29"/>
        <a:stretch>
          <a:fillRect/>
        </a:stretch>
      </xdr:blipFill>
      <xdr:spPr>
        <a:xfrm>
          <a:off x="1571626" y="81762600"/>
          <a:ext cx="571500" cy="607595"/>
        </a:xfrm>
        <a:prstGeom prst="rect">
          <a:avLst/>
        </a:prstGeom>
      </xdr:spPr>
    </xdr:pic>
    <xdr:clientData/>
  </xdr:twoCellAnchor>
  <xdr:twoCellAnchor editAs="oneCell">
    <xdr:from>
      <xdr:col>3</xdr:col>
      <xdr:colOff>209550</xdr:colOff>
      <xdr:row>59</xdr:row>
      <xdr:rowOff>47625</xdr:rowOff>
    </xdr:from>
    <xdr:to>
      <xdr:col>3</xdr:col>
      <xdr:colOff>790575</xdr:colOff>
      <xdr:row>59</xdr:row>
      <xdr:rowOff>667385</xdr:rowOff>
    </xdr:to>
    <xdr:pic>
      <xdr:nvPicPr>
        <xdr:cNvPr id="50" name="Imagen 49">
          <a:extLst>
            <a:ext uri="{FF2B5EF4-FFF2-40B4-BE49-F238E27FC236}">
              <a16:creationId xmlns:a16="http://schemas.microsoft.com/office/drawing/2014/main" id="{637A2A4F-17E3-4E78-8073-EB8684925C3E}"/>
            </a:ext>
          </a:extLst>
        </xdr:cNvPr>
        <xdr:cNvPicPr>
          <a:picLocks noChangeAspect="1"/>
        </xdr:cNvPicPr>
      </xdr:nvPicPr>
      <xdr:blipFill>
        <a:blip xmlns:r="http://schemas.openxmlformats.org/officeDocument/2006/relationships" r:embed="rId30"/>
        <a:stretch>
          <a:fillRect/>
        </a:stretch>
      </xdr:blipFill>
      <xdr:spPr>
        <a:xfrm>
          <a:off x="1571625" y="82467450"/>
          <a:ext cx="581025" cy="619760"/>
        </a:xfrm>
        <a:prstGeom prst="rect">
          <a:avLst/>
        </a:prstGeom>
      </xdr:spPr>
    </xdr:pic>
    <xdr:clientData/>
  </xdr:twoCellAnchor>
  <xdr:twoCellAnchor editAs="oneCell">
    <xdr:from>
      <xdr:col>3</xdr:col>
      <xdr:colOff>247650</xdr:colOff>
      <xdr:row>60</xdr:row>
      <xdr:rowOff>76200</xdr:rowOff>
    </xdr:from>
    <xdr:to>
      <xdr:col>3</xdr:col>
      <xdr:colOff>771525</xdr:colOff>
      <xdr:row>60</xdr:row>
      <xdr:rowOff>700928</xdr:rowOff>
    </xdr:to>
    <xdr:pic>
      <xdr:nvPicPr>
        <xdr:cNvPr id="51" name="Imagen 50">
          <a:extLst>
            <a:ext uri="{FF2B5EF4-FFF2-40B4-BE49-F238E27FC236}">
              <a16:creationId xmlns:a16="http://schemas.microsoft.com/office/drawing/2014/main" id="{0B640F61-77D0-43DF-AFB2-06E6085324F8}"/>
            </a:ext>
          </a:extLst>
        </xdr:cNvPr>
        <xdr:cNvPicPr>
          <a:picLocks noChangeAspect="1"/>
        </xdr:cNvPicPr>
      </xdr:nvPicPr>
      <xdr:blipFill>
        <a:blip xmlns:r="http://schemas.openxmlformats.org/officeDocument/2006/relationships" r:embed="rId31"/>
        <a:stretch>
          <a:fillRect/>
        </a:stretch>
      </xdr:blipFill>
      <xdr:spPr>
        <a:xfrm>
          <a:off x="1609725" y="83267550"/>
          <a:ext cx="523875" cy="624728"/>
        </a:xfrm>
        <a:prstGeom prst="rect">
          <a:avLst/>
        </a:prstGeom>
      </xdr:spPr>
    </xdr:pic>
    <xdr:clientData/>
  </xdr:twoCellAnchor>
  <xdr:twoCellAnchor editAs="oneCell">
    <xdr:from>
      <xdr:col>3</xdr:col>
      <xdr:colOff>47626</xdr:colOff>
      <xdr:row>22</xdr:row>
      <xdr:rowOff>104775</xdr:rowOff>
    </xdr:from>
    <xdr:to>
      <xdr:col>3</xdr:col>
      <xdr:colOff>959256</xdr:colOff>
      <xdr:row>22</xdr:row>
      <xdr:rowOff>1076324</xdr:rowOff>
    </xdr:to>
    <xdr:pic>
      <xdr:nvPicPr>
        <xdr:cNvPr id="53" name="Imagen 52">
          <a:extLst>
            <a:ext uri="{FF2B5EF4-FFF2-40B4-BE49-F238E27FC236}">
              <a16:creationId xmlns:a16="http://schemas.microsoft.com/office/drawing/2014/main" id="{89E66900-3A7F-42C0-BBC6-5D90FB1C1405}"/>
            </a:ext>
          </a:extLst>
        </xdr:cNvPr>
        <xdr:cNvPicPr>
          <a:picLocks noChangeAspect="1"/>
        </xdr:cNvPicPr>
      </xdr:nvPicPr>
      <xdr:blipFill>
        <a:blip xmlns:r="http://schemas.openxmlformats.org/officeDocument/2006/relationships" r:embed="rId32"/>
        <a:stretch>
          <a:fillRect/>
        </a:stretch>
      </xdr:blipFill>
      <xdr:spPr>
        <a:xfrm>
          <a:off x="1409701" y="32661225"/>
          <a:ext cx="911630" cy="971549"/>
        </a:xfrm>
        <a:prstGeom prst="rect">
          <a:avLst/>
        </a:prstGeom>
      </xdr:spPr>
    </xdr:pic>
    <xdr:clientData/>
  </xdr:twoCellAnchor>
  <xdr:twoCellAnchor editAs="oneCell">
    <xdr:from>
      <xdr:col>3</xdr:col>
      <xdr:colOff>95251</xdr:colOff>
      <xdr:row>48</xdr:row>
      <xdr:rowOff>47625</xdr:rowOff>
    </xdr:from>
    <xdr:to>
      <xdr:col>3</xdr:col>
      <xdr:colOff>953735</xdr:colOff>
      <xdr:row>48</xdr:row>
      <xdr:rowOff>723900</xdr:rowOff>
    </xdr:to>
    <xdr:pic>
      <xdr:nvPicPr>
        <xdr:cNvPr id="55" name="Imagen 54">
          <a:extLst>
            <a:ext uri="{FF2B5EF4-FFF2-40B4-BE49-F238E27FC236}">
              <a16:creationId xmlns:a16="http://schemas.microsoft.com/office/drawing/2014/main" id="{F74EAC8B-B753-4565-9003-6EAC537050AA}"/>
            </a:ext>
          </a:extLst>
        </xdr:cNvPr>
        <xdr:cNvPicPr>
          <a:picLocks noChangeAspect="1"/>
        </xdr:cNvPicPr>
      </xdr:nvPicPr>
      <xdr:blipFill>
        <a:blip xmlns:r="http://schemas.openxmlformats.org/officeDocument/2006/relationships" r:embed="rId33"/>
        <a:stretch>
          <a:fillRect/>
        </a:stretch>
      </xdr:blipFill>
      <xdr:spPr>
        <a:xfrm>
          <a:off x="1457326" y="69265800"/>
          <a:ext cx="858484" cy="676275"/>
        </a:xfrm>
        <a:prstGeom prst="rect">
          <a:avLst/>
        </a:prstGeom>
      </xdr:spPr>
    </xdr:pic>
    <xdr:clientData/>
  </xdr:twoCellAnchor>
  <xdr:twoCellAnchor editAs="oneCell">
    <xdr:from>
      <xdr:col>3</xdr:col>
      <xdr:colOff>76200</xdr:colOff>
      <xdr:row>57</xdr:row>
      <xdr:rowOff>47625</xdr:rowOff>
    </xdr:from>
    <xdr:to>
      <xdr:col>3</xdr:col>
      <xdr:colOff>952500</xdr:colOff>
      <xdr:row>57</xdr:row>
      <xdr:rowOff>754613</xdr:rowOff>
    </xdr:to>
    <xdr:pic>
      <xdr:nvPicPr>
        <xdr:cNvPr id="60" name="Imagen 59">
          <a:extLst>
            <a:ext uri="{FF2B5EF4-FFF2-40B4-BE49-F238E27FC236}">
              <a16:creationId xmlns:a16="http://schemas.microsoft.com/office/drawing/2014/main" id="{2AB164A6-A7C9-4FC2-BDCB-315C4D86727C}"/>
            </a:ext>
          </a:extLst>
        </xdr:cNvPr>
        <xdr:cNvPicPr>
          <a:picLocks noChangeAspect="1"/>
        </xdr:cNvPicPr>
      </xdr:nvPicPr>
      <xdr:blipFill>
        <a:blip xmlns:r="http://schemas.openxmlformats.org/officeDocument/2006/relationships" r:embed="rId34"/>
        <a:stretch>
          <a:fillRect/>
        </a:stretch>
      </xdr:blipFill>
      <xdr:spPr>
        <a:xfrm>
          <a:off x="2162175" y="93097350"/>
          <a:ext cx="876300" cy="706988"/>
        </a:xfrm>
        <a:prstGeom prst="rect">
          <a:avLst/>
        </a:prstGeom>
      </xdr:spPr>
    </xdr:pic>
    <xdr:clientData/>
  </xdr:twoCellAnchor>
  <xdr:twoCellAnchor editAs="oneCell">
    <xdr:from>
      <xdr:col>3</xdr:col>
      <xdr:colOff>38101</xdr:colOff>
      <xdr:row>16</xdr:row>
      <xdr:rowOff>47625</xdr:rowOff>
    </xdr:from>
    <xdr:to>
      <xdr:col>3</xdr:col>
      <xdr:colOff>971550</xdr:colOff>
      <xdr:row>16</xdr:row>
      <xdr:rowOff>812621</xdr:rowOff>
    </xdr:to>
    <xdr:pic>
      <xdr:nvPicPr>
        <xdr:cNvPr id="62" name="Imagen 61">
          <a:extLst>
            <a:ext uri="{FF2B5EF4-FFF2-40B4-BE49-F238E27FC236}">
              <a16:creationId xmlns:a16="http://schemas.microsoft.com/office/drawing/2014/main" id="{056C73DC-32A5-4090-BA4B-BD174B9BEFEA}"/>
            </a:ext>
          </a:extLst>
        </xdr:cNvPr>
        <xdr:cNvPicPr>
          <a:picLocks noChangeAspect="1"/>
        </xdr:cNvPicPr>
      </xdr:nvPicPr>
      <xdr:blipFill>
        <a:blip xmlns:r="http://schemas.openxmlformats.org/officeDocument/2006/relationships" r:embed="rId35"/>
        <a:stretch>
          <a:fillRect/>
        </a:stretch>
      </xdr:blipFill>
      <xdr:spPr>
        <a:xfrm>
          <a:off x="1400176" y="18659475"/>
          <a:ext cx="933449" cy="764996"/>
        </a:xfrm>
        <a:prstGeom prst="rect">
          <a:avLst/>
        </a:prstGeom>
      </xdr:spPr>
    </xdr:pic>
    <xdr:clientData/>
  </xdr:twoCellAnchor>
  <xdr:twoCellAnchor editAs="oneCell">
    <xdr:from>
      <xdr:col>3</xdr:col>
      <xdr:colOff>66676</xdr:colOff>
      <xdr:row>15</xdr:row>
      <xdr:rowOff>85725</xdr:rowOff>
    </xdr:from>
    <xdr:to>
      <xdr:col>3</xdr:col>
      <xdr:colOff>983047</xdr:colOff>
      <xdr:row>15</xdr:row>
      <xdr:rowOff>971550</xdr:rowOff>
    </xdr:to>
    <xdr:pic>
      <xdr:nvPicPr>
        <xdr:cNvPr id="63" name="Imagen 62">
          <a:extLst>
            <a:ext uri="{FF2B5EF4-FFF2-40B4-BE49-F238E27FC236}">
              <a16:creationId xmlns:a16="http://schemas.microsoft.com/office/drawing/2014/main" id="{9F68E024-06BB-4EAE-87EA-5DA2DB91A5D0}"/>
            </a:ext>
          </a:extLst>
        </xdr:cNvPr>
        <xdr:cNvPicPr>
          <a:picLocks noChangeAspect="1"/>
        </xdr:cNvPicPr>
      </xdr:nvPicPr>
      <xdr:blipFill>
        <a:blip xmlns:r="http://schemas.openxmlformats.org/officeDocument/2006/relationships" r:embed="rId36"/>
        <a:stretch>
          <a:fillRect/>
        </a:stretch>
      </xdr:blipFill>
      <xdr:spPr>
        <a:xfrm>
          <a:off x="2152651" y="23279100"/>
          <a:ext cx="916371" cy="885825"/>
        </a:xfrm>
        <a:prstGeom prst="rect">
          <a:avLst/>
        </a:prstGeom>
      </xdr:spPr>
    </xdr:pic>
    <xdr:clientData/>
  </xdr:twoCellAnchor>
  <xdr:twoCellAnchor editAs="oneCell">
    <xdr:from>
      <xdr:col>3</xdr:col>
      <xdr:colOff>47627</xdr:colOff>
      <xdr:row>20</xdr:row>
      <xdr:rowOff>47625</xdr:rowOff>
    </xdr:from>
    <xdr:to>
      <xdr:col>3</xdr:col>
      <xdr:colOff>993935</xdr:colOff>
      <xdr:row>20</xdr:row>
      <xdr:rowOff>1012248</xdr:rowOff>
    </xdr:to>
    <xdr:pic>
      <xdr:nvPicPr>
        <xdr:cNvPr id="65" name="Imagen 64">
          <a:extLst>
            <a:ext uri="{FF2B5EF4-FFF2-40B4-BE49-F238E27FC236}">
              <a16:creationId xmlns:a16="http://schemas.microsoft.com/office/drawing/2014/main" id="{C8B08E21-C626-46EE-B699-C885F25EBBF0}"/>
            </a:ext>
          </a:extLst>
        </xdr:cNvPr>
        <xdr:cNvPicPr>
          <a:picLocks noChangeAspect="1"/>
        </xdr:cNvPicPr>
      </xdr:nvPicPr>
      <xdr:blipFill>
        <a:blip xmlns:r="http://schemas.openxmlformats.org/officeDocument/2006/relationships" r:embed="rId37"/>
        <a:stretch>
          <a:fillRect/>
        </a:stretch>
      </xdr:blipFill>
      <xdr:spPr>
        <a:xfrm>
          <a:off x="2133602" y="34461450"/>
          <a:ext cx="946308" cy="964623"/>
        </a:xfrm>
        <a:prstGeom prst="rect">
          <a:avLst/>
        </a:prstGeom>
      </xdr:spPr>
    </xdr:pic>
    <xdr:clientData/>
  </xdr:twoCellAnchor>
  <xdr:twoCellAnchor editAs="oneCell">
    <xdr:from>
      <xdr:col>3</xdr:col>
      <xdr:colOff>47626</xdr:colOff>
      <xdr:row>23</xdr:row>
      <xdr:rowOff>9525</xdr:rowOff>
    </xdr:from>
    <xdr:to>
      <xdr:col>3</xdr:col>
      <xdr:colOff>959256</xdr:colOff>
      <xdr:row>23</xdr:row>
      <xdr:rowOff>981074</xdr:rowOff>
    </xdr:to>
    <xdr:pic>
      <xdr:nvPicPr>
        <xdr:cNvPr id="67" name="Imagen 66">
          <a:extLst>
            <a:ext uri="{FF2B5EF4-FFF2-40B4-BE49-F238E27FC236}">
              <a16:creationId xmlns:a16="http://schemas.microsoft.com/office/drawing/2014/main" id="{6C016197-DB90-4A9D-AF05-698AA66EA5C5}"/>
            </a:ext>
          </a:extLst>
        </xdr:cNvPr>
        <xdr:cNvPicPr>
          <a:picLocks noChangeAspect="1"/>
        </xdr:cNvPicPr>
      </xdr:nvPicPr>
      <xdr:blipFill>
        <a:blip xmlns:r="http://schemas.openxmlformats.org/officeDocument/2006/relationships" r:embed="rId32"/>
        <a:stretch>
          <a:fillRect/>
        </a:stretch>
      </xdr:blipFill>
      <xdr:spPr>
        <a:xfrm>
          <a:off x="1409701" y="34613850"/>
          <a:ext cx="911630" cy="971549"/>
        </a:xfrm>
        <a:prstGeom prst="rect">
          <a:avLst/>
        </a:prstGeom>
      </xdr:spPr>
    </xdr:pic>
    <xdr:clientData/>
  </xdr:twoCellAnchor>
  <xdr:oneCellAnchor>
    <xdr:from>
      <xdr:col>3</xdr:col>
      <xdr:colOff>95250</xdr:colOff>
      <xdr:row>21</xdr:row>
      <xdr:rowOff>180975</xdr:rowOff>
    </xdr:from>
    <xdr:ext cx="742950" cy="817713"/>
    <xdr:pic>
      <xdr:nvPicPr>
        <xdr:cNvPr id="74" name="Imagen 73">
          <a:extLst>
            <a:ext uri="{FF2B5EF4-FFF2-40B4-BE49-F238E27FC236}">
              <a16:creationId xmlns:a16="http://schemas.microsoft.com/office/drawing/2014/main" id="{A63303C0-EBF5-4E32-9A10-86B6BFC889C6}"/>
            </a:ext>
          </a:extLst>
        </xdr:cNvPr>
        <xdr:cNvPicPr>
          <a:picLocks noChangeAspect="1"/>
        </xdr:cNvPicPr>
      </xdr:nvPicPr>
      <xdr:blipFill>
        <a:blip xmlns:r="http://schemas.openxmlformats.org/officeDocument/2006/relationships" r:embed="rId38"/>
        <a:stretch>
          <a:fillRect/>
        </a:stretch>
      </xdr:blipFill>
      <xdr:spPr>
        <a:xfrm>
          <a:off x="1457325" y="31537275"/>
          <a:ext cx="742950" cy="817713"/>
        </a:xfrm>
        <a:prstGeom prst="rect">
          <a:avLst/>
        </a:prstGeom>
      </xdr:spPr>
    </xdr:pic>
    <xdr:clientData/>
  </xdr:oneCellAnchor>
  <xdr:oneCellAnchor>
    <xdr:from>
      <xdr:col>3</xdr:col>
      <xdr:colOff>47624</xdr:colOff>
      <xdr:row>24</xdr:row>
      <xdr:rowOff>76200</xdr:rowOff>
    </xdr:from>
    <xdr:ext cx="960609" cy="1057275"/>
    <xdr:pic>
      <xdr:nvPicPr>
        <xdr:cNvPr id="75" name="Imagen 74">
          <a:extLst>
            <a:ext uri="{FF2B5EF4-FFF2-40B4-BE49-F238E27FC236}">
              <a16:creationId xmlns:a16="http://schemas.microsoft.com/office/drawing/2014/main" id="{48813E51-2BDF-466F-B1BF-CFA18D10EA26}"/>
            </a:ext>
          </a:extLst>
        </xdr:cNvPr>
        <xdr:cNvPicPr>
          <a:picLocks noChangeAspect="1"/>
        </xdr:cNvPicPr>
      </xdr:nvPicPr>
      <xdr:blipFill>
        <a:blip xmlns:r="http://schemas.openxmlformats.org/officeDocument/2006/relationships" r:embed="rId38"/>
        <a:stretch>
          <a:fillRect/>
        </a:stretch>
      </xdr:blipFill>
      <xdr:spPr>
        <a:xfrm>
          <a:off x="1409699" y="35728275"/>
          <a:ext cx="960609" cy="1057275"/>
        </a:xfrm>
        <a:prstGeom prst="rect">
          <a:avLst/>
        </a:prstGeom>
      </xdr:spPr>
    </xdr:pic>
    <xdr:clientData/>
  </xdr:oneCellAnchor>
  <xdr:twoCellAnchor editAs="oneCell">
    <xdr:from>
      <xdr:col>3</xdr:col>
      <xdr:colOff>66675</xdr:colOff>
      <xdr:row>49</xdr:row>
      <xdr:rowOff>133351</xdr:rowOff>
    </xdr:from>
    <xdr:to>
      <xdr:col>3</xdr:col>
      <xdr:colOff>973764</xdr:colOff>
      <xdr:row>49</xdr:row>
      <xdr:rowOff>1000125</xdr:rowOff>
    </xdr:to>
    <xdr:pic>
      <xdr:nvPicPr>
        <xdr:cNvPr id="77" name="Imagen 76">
          <a:extLst>
            <a:ext uri="{FF2B5EF4-FFF2-40B4-BE49-F238E27FC236}">
              <a16:creationId xmlns:a16="http://schemas.microsoft.com/office/drawing/2014/main" id="{5FE54863-1640-4FDA-B445-92709C9A344E}"/>
            </a:ext>
          </a:extLst>
        </xdr:cNvPr>
        <xdr:cNvPicPr>
          <a:picLocks noChangeAspect="1"/>
        </xdr:cNvPicPr>
      </xdr:nvPicPr>
      <xdr:blipFill>
        <a:blip xmlns:r="http://schemas.openxmlformats.org/officeDocument/2006/relationships" r:embed="rId39"/>
        <a:stretch>
          <a:fillRect/>
        </a:stretch>
      </xdr:blipFill>
      <xdr:spPr>
        <a:xfrm>
          <a:off x="1428750" y="71323201"/>
          <a:ext cx="907089" cy="866774"/>
        </a:xfrm>
        <a:prstGeom prst="rect">
          <a:avLst/>
        </a:prstGeom>
      </xdr:spPr>
    </xdr:pic>
    <xdr:clientData/>
  </xdr:twoCellAnchor>
  <xdr:twoCellAnchor editAs="oneCell">
    <xdr:from>
      <xdr:col>3</xdr:col>
      <xdr:colOff>47626</xdr:colOff>
      <xdr:row>9</xdr:row>
      <xdr:rowOff>85726</xdr:rowOff>
    </xdr:from>
    <xdr:to>
      <xdr:col>3</xdr:col>
      <xdr:colOff>971617</xdr:colOff>
      <xdr:row>9</xdr:row>
      <xdr:rowOff>723900</xdr:rowOff>
    </xdr:to>
    <xdr:pic>
      <xdr:nvPicPr>
        <xdr:cNvPr id="88" name="Imagen 87">
          <a:extLst>
            <a:ext uri="{FF2B5EF4-FFF2-40B4-BE49-F238E27FC236}">
              <a16:creationId xmlns:a16="http://schemas.microsoft.com/office/drawing/2014/main" id="{F733C60F-18F0-18DA-158E-A9122CD5277E}"/>
            </a:ext>
          </a:extLst>
        </xdr:cNvPr>
        <xdr:cNvPicPr>
          <a:picLocks noChangeAspect="1"/>
        </xdr:cNvPicPr>
      </xdr:nvPicPr>
      <xdr:blipFill>
        <a:blip xmlns:r="http://schemas.openxmlformats.org/officeDocument/2006/relationships" r:embed="rId40"/>
        <a:stretch>
          <a:fillRect/>
        </a:stretch>
      </xdr:blipFill>
      <xdr:spPr>
        <a:xfrm>
          <a:off x="2133601" y="8743951"/>
          <a:ext cx="923991" cy="638174"/>
        </a:xfrm>
        <a:prstGeom prst="rect">
          <a:avLst/>
        </a:prstGeom>
      </xdr:spPr>
    </xdr:pic>
    <xdr:clientData/>
  </xdr:twoCellAnchor>
  <xdr:twoCellAnchor editAs="oneCell">
    <xdr:from>
      <xdr:col>3</xdr:col>
      <xdr:colOff>171451</xdr:colOff>
      <xdr:row>17</xdr:row>
      <xdr:rowOff>19050</xdr:rowOff>
    </xdr:from>
    <xdr:to>
      <xdr:col>3</xdr:col>
      <xdr:colOff>859603</xdr:colOff>
      <xdr:row>17</xdr:row>
      <xdr:rowOff>1285875</xdr:rowOff>
    </xdr:to>
    <xdr:pic>
      <xdr:nvPicPr>
        <xdr:cNvPr id="93" name="Imagen 92">
          <a:extLst>
            <a:ext uri="{FF2B5EF4-FFF2-40B4-BE49-F238E27FC236}">
              <a16:creationId xmlns:a16="http://schemas.microsoft.com/office/drawing/2014/main" id="{52071B06-5AD6-9706-59F0-529ACFFA3DC9}"/>
            </a:ext>
          </a:extLst>
        </xdr:cNvPr>
        <xdr:cNvPicPr>
          <a:picLocks noChangeAspect="1"/>
        </xdr:cNvPicPr>
      </xdr:nvPicPr>
      <xdr:blipFill>
        <a:blip xmlns:r="http://schemas.openxmlformats.org/officeDocument/2006/relationships" r:embed="rId41"/>
        <a:stretch>
          <a:fillRect/>
        </a:stretch>
      </xdr:blipFill>
      <xdr:spPr>
        <a:xfrm>
          <a:off x="2257426" y="31222950"/>
          <a:ext cx="688152" cy="1266825"/>
        </a:xfrm>
        <a:prstGeom prst="rect">
          <a:avLst/>
        </a:prstGeom>
      </xdr:spPr>
    </xdr:pic>
    <xdr:clientData/>
  </xdr:twoCellAnchor>
  <xdr:twoCellAnchor editAs="oneCell">
    <xdr:from>
      <xdr:col>3</xdr:col>
      <xdr:colOff>219075</xdr:colOff>
      <xdr:row>18</xdr:row>
      <xdr:rowOff>57150</xdr:rowOff>
    </xdr:from>
    <xdr:to>
      <xdr:col>3</xdr:col>
      <xdr:colOff>790655</xdr:colOff>
      <xdr:row>18</xdr:row>
      <xdr:rowOff>847835</xdr:rowOff>
    </xdr:to>
    <xdr:pic>
      <xdr:nvPicPr>
        <xdr:cNvPr id="94" name="Imagen 93">
          <a:extLst>
            <a:ext uri="{FF2B5EF4-FFF2-40B4-BE49-F238E27FC236}">
              <a16:creationId xmlns:a16="http://schemas.microsoft.com/office/drawing/2014/main" id="{ED0B4BA5-4A91-0265-21A7-C858426C74D2}"/>
            </a:ext>
          </a:extLst>
        </xdr:cNvPr>
        <xdr:cNvPicPr>
          <a:picLocks noChangeAspect="1"/>
        </xdr:cNvPicPr>
      </xdr:nvPicPr>
      <xdr:blipFill>
        <a:blip xmlns:r="http://schemas.openxmlformats.org/officeDocument/2006/relationships" r:embed="rId42"/>
        <a:stretch>
          <a:fillRect/>
        </a:stretch>
      </xdr:blipFill>
      <xdr:spPr>
        <a:xfrm>
          <a:off x="2305050" y="32604075"/>
          <a:ext cx="571580" cy="790685"/>
        </a:xfrm>
        <a:prstGeom prst="rect">
          <a:avLst/>
        </a:prstGeom>
      </xdr:spPr>
    </xdr:pic>
    <xdr:clientData/>
  </xdr:twoCellAnchor>
  <xdr:twoCellAnchor editAs="oneCell">
    <xdr:from>
      <xdr:col>3</xdr:col>
      <xdr:colOff>161925</xdr:colOff>
      <xdr:row>19</xdr:row>
      <xdr:rowOff>28575</xdr:rowOff>
    </xdr:from>
    <xdr:to>
      <xdr:col>3</xdr:col>
      <xdr:colOff>838294</xdr:colOff>
      <xdr:row>19</xdr:row>
      <xdr:rowOff>924050</xdr:rowOff>
    </xdr:to>
    <xdr:pic>
      <xdr:nvPicPr>
        <xdr:cNvPr id="95" name="Imagen 94">
          <a:extLst>
            <a:ext uri="{FF2B5EF4-FFF2-40B4-BE49-F238E27FC236}">
              <a16:creationId xmlns:a16="http://schemas.microsoft.com/office/drawing/2014/main" id="{6680C651-27AF-F382-C48F-AFD5474D7D5C}"/>
            </a:ext>
          </a:extLst>
        </xdr:cNvPr>
        <xdr:cNvPicPr>
          <a:picLocks noChangeAspect="1"/>
        </xdr:cNvPicPr>
      </xdr:nvPicPr>
      <xdr:blipFill>
        <a:blip xmlns:r="http://schemas.openxmlformats.org/officeDocument/2006/relationships" r:embed="rId43"/>
        <a:stretch>
          <a:fillRect/>
        </a:stretch>
      </xdr:blipFill>
      <xdr:spPr>
        <a:xfrm>
          <a:off x="2247900" y="33489900"/>
          <a:ext cx="676369" cy="895475"/>
        </a:xfrm>
        <a:prstGeom prst="rect">
          <a:avLst/>
        </a:prstGeom>
      </xdr:spPr>
    </xdr:pic>
    <xdr:clientData/>
  </xdr:twoCellAnchor>
  <xdr:twoCellAnchor editAs="oneCell">
    <xdr:from>
      <xdr:col>3</xdr:col>
      <xdr:colOff>95251</xdr:colOff>
      <xdr:row>42</xdr:row>
      <xdr:rowOff>85725</xdr:rowOff>
    </xdr:from>
    <xdr:to>
      <xdr:col>3</xdr:col>
      <xdr:colOff>1000125</xdr:colOff>
      <xdr:row>42</xdr:row>
      <xdr:rowOff>629325</xdr:rowOff>
    </xdr:to>
    <xdr:pic>
      <xdr:nvPicPr>
        <xdr:cNvPr id="97" name="Imagen 96">
          <a:extLst>
            <a:ext uri="{FF2B5EF4-FFF2-40B4-BE49-F238E27FC236}">
              <a16:creationId xmlns:a16="http://schemas.microsoft.com/office/drawing/2014/main" id="{3426FAC3-CDB9-34BF-8F40-E23E30625395}"/>
            </a:ext>
          </a:extLst>
        </xdr:cNvPr>
        <xdr:cNvPicPr>
          <a:picLocks noChangeAspect="1"/>
        </xdr:cNvPicPr>
      </xdr:nvPicPr>
      <xdr:blipFill>
        <a:blip xmlns:r="http://schemas.openxmlformats.org/officeDocument/2006/relationships" r:embed="rId44"/>
        <a:stretch>
          <a:fillRect/>
        </a:stretch>
      </xdr:blipFill>
      <xdr:spPr>
        <a:xfrm>
          <a:off x="2181226" y="68494275"/>
          <a:ext cx="904874" cy="543600"/>
        </a:xfrm>
        <a:prstGeom prst="rect">
          <a:avLst/>
        </a:prstGeom>
      </xdr:spPr>
    </xdr:pic>
    <xdr:clientData/>
  </xdr:twoCellAnchor>
  <xdr:twoCellAnchor editAs="oneCell">
    <xdr:from>
      <xdr:col>3</xdr:col>
      <xdr:colOff>295276</xdr:colOff>
      <xdr:row>25</xdr:row>
      <xdr:rowOff>66675</xdr:rowOff>
    </xdr:from>
    <xdr:to>
      <xdr:col>3</xdr:col>
      <xdr:colOff>708292</xdr:colOff>
      <xdr:row>25</xdr:row>
      <xdr:rowOff>514350</xdr:rowOff>
    </xdr:to>
    <xdr:pic>
      <xdr:nvPicPr>
        <xdr:cNvPr id="288" name="Imagen 287">
          <a:extLst>
            <a:ext uri="{FF2B5EF4-FFF2-40B4-BE49-F238E27FC236}">
              <a16:creationId xmlns:a16="http://schemas.microsoft.com/office/drawing/2014/main" id="{E5F9E80F-15D5-4C24-BDA3-5C007A9C1A16}"/>
            </a:ext>
          </a:extLst>
        </xdr:cNvPr>
        <xdr:cNvPicPr>
          <a:picLocks noChangeAspect="1"/>
        </xdr:cNvPicPr>
      </xdr:nvPicPr>
      <xdr:blipFill>
        <a:blip xmlns:r="http://schemas.openxmlformats.org/officeDocument/2006/relationships" r:embed="rId45"/>
        <a:stretch>
          <a:fillRect/>
        </a:stretch>
      </xdr:blipFill>
      <xdr:spPr>
        <a:xfrm>
          <a:off x="2571751" y="49415700"/>
          <a:ext cx="413016" cy="447675"/>
        </a:xfrm>
        <a:prstGeom prst="rect">
          <a:avLst/>
        </a:prstGeom>
      </xdr:spPr>
    </xdr:pic>
    <xdr:clientData/>
  </xdr:twoCellAnchor>
  <xdr:twoCellAnchor editAs="oneCell">
    <xdr:from>
      <xdr:col>3</xdr:col>
      <xdr:colOff>295275</xdr:colOff>
      <xdr:row>26</xdr:row>
      <xdr:rowOff>85725</xdr:rowOff>
    </xdr:from>
    <xdr:to>
      <xdr:col>3</xdr:col>
      <xdr:colOff>708291</xdr:colOff>
      <xdr:row>26</xdr:row>
      <xdr:rowOff>533400</xdr:rowOff>
    </xdr:to>
    <xdr:pic>
      <xdr:nvPicPr>
        <xdr:cNvPr id="289" name="Imagen 288">
          <a:extLst>
            <a:ext uri="{FF2B5EF4-FFF2-40B4-BE49-F238E27FC236}">
              <a16:creationId xmlns:a16="http://schemas.microsoft.com/office/drawing/2014/main" id="{2541988D-F0C6-4AE0-B33D-5530EF04C513}"/>
            </a:ext>
          </a:extLst>
        </xdr:cNvPr>
        <xdr:cNvPicPr>
          <a:picLocks noChangeAspect="1"/>
        </xdr:cNvPicPr>
      </xdr:nvPicPr>
      <xdr:blipFill>
        <a:blip xmlns:r="http://schemas.openxmlformats.org/officeDocument/2006/relationships" r:embed="rId45"/>
        <a:stretch>
          <a:fillRect/>
        </a:stretch>
      </xdr:blipFill>
      <xdr:spPr>
        <a:xfrm>
          <a:off x="2571750" y="50025300"/>
          <a:ext cx="413016" cy="447675"/>
        </a:xfrm>
        <a:prstGeom prst="rect">
          <a:avLst/>
        </a:prstGeom>
      </xdr:spPr>
    </xdr:pic>
    <xdr:clientData/>
  </xdr:twoCellAnchor>
  <xdr:twoCellAnchor editAs="oneCell">
    <xdr:from>
      <xdr:col>3</xdr:col>
      <xdr:colOff>276225</xdr:colOff>
      <xdr:row>27</xdr:row>
      <xdr:rowOff>66675</xdr:rowOff>
    </xdr:from>
    <xdr:to>
      <xdr:col>3</xdr:col>
      <xdr:colOff>689241</xdr:colOff>
      <xdr:row>27</xdr:row>
      <xdr:rowOff>514350</xdr:rowOff>
    </xdr:to>
    <xdr:pic>
      <xdr:nvPicPr>
        <xdr:cNvPr id="290" name="Imagen 289">
          <a:extLst>
            <a:ext uri="{FF2B5EF4-FFF2-40B4-BE49-F238E27FC236}">
              <a16:creationId xmlns:a16="http://schemas.microsoft.com/office/drawing/2014/main" id="{A3B8526C-1FFD-4F24-98B6-9C81EA4A37C1}"/>
            </a:ext>
          </a:extLst>
        </xdr:cNvPr>
        <xdr:cNvPicPr>
          <a:picLocks noChangeAspect="1"/>
        </xdr:cNvPicPr>
      </xdr:nvPicPr>
      <xdr:blipFill>
        <a:blip xmlns:r="http://schemas.openxmlformats.org/officeDocument/2006/relationships" r:embed="rId45"/>
        <a:stretch>
          <a:fillRect/>
        </a:stretch>
      </xdr:blipFill>
      <xdr:spPr>
        <a:xfrm>
          <a:off x="2552700" y="50596800"/>
          <a:ext cx="413016" cy="447675"/>
        </a:xfrm>
        <a:prstGeom prst="rect">
          <a:avLst/>
        </a:prstGeom>
      </xdr:spPr>
    </xdr:pic>
    <xdr:clientData/>
  </xdr:twoCellAnchor>
  <xdr:twoCellAnchor editAs="oneCell">
    <xdr:from>
      <xdr:col>3</xdr:col>
      <xdr:colOff>314325</xdr:colOff>
      <xdr:row>28</xdr:row>
      <xdr:rowOff>95250</xdr:rowOff>
    </xdr:from>
    <xdr:to>
      <xdr:col>3</xdr:col>
      <xdr:colOff>727341</xdr:colOff>
      <xdr:row>28</xdr:row>
      <xdr:rowOff>542925</xdr:rowOff>
    </xdr:to>
    <xdr:pic>
      <xdr:nvPicPr>
        <xdr:cNvPr id="291" name="Imagen 290">
          <a:extLst>
            <a:ext uri="{FF2B5EF4-FFF2-40B4-BE49-F238E27FC236}">
              <a16:creationId xmlns:a16="http://schemas.microsoft.com/office/drawing/2014/main" id="{68EA04ED-A93C-4AFC-B044-0C5A05FCBF1A}"/>
            </a:ext>
          </a:extLst>
        </xdr:cNvPr>
        <xdr:cNvPicPr>
          <a:picLocks noChangeAspect="1"/>
        </xdr:cNvPicPr>
      </xdr:nvPicPr>
      <xdr:blipFill>
        <a:blip xmlns:r="http://schemas.openxmlformats.org/officeDocument/2006/relationships" r:embed="rId45"/>
        <a:stretch>
          <a:fillRect/>
        </a:stretch>
      </xdr:blipFill>
      <xdr:spPr>
        <a:xfrm>
          <a:off x="2590800" y="51215925"/>
          <a:ext cx="413016" cy="447675"/>
        </a:xfrm>
        <a:prstGeom prst="rect">
          <a:avLst/>
        </a:prstGeom>
      </xdr:spPr>
    </xdr:pic>
    <xdr:clientData/>
  </xdr:twoCellAnchor>
  <xdr:twoCellAnchor editAs="oneCell">
    <xdr:from>
      <xdr:col>3</xdr:col>
      <xdr:colOff>276225</xdr:colOff>
      <xdr:row>29</xdr:row>
      <xdr:rowOff>66675</xdr:rowOff>
    </xdr:from>
    <xdr:to>
      <xdr:col>3</xdr:col>
      <xdr:colOff>689241</xdr:colOff>
      <xdr:row>29</xdr:row>
      <xdr:rowOff>514350</xdr:rowOff>
    </xdr:to>
    <xdr:pic>
      <xdr:nvPicPr>
        <xdr:cNvPr id="292" name="Imagen 291">
          <a:extLst>
            <a:ext uri="{FF2B5EF4-FFF2-40B4-BE49-F238E27FC236}">
              <a16:creationId xmlns:a16="http://schemas.microsoft.com/office/drawing/2014/main" id="{B0C8E96B-C60F-45D8-ACDC-C276693D1CB7}"/>
            </a:ext>
          </a:extLst>
        </xdr:cNvPr>
        <xdr:cNvPicPr>
          <a:picLocks noChangeAspect="1"/>
        </xdr:cNvPicPr>
      </xdr:nvPicPr>
      <xdr:blipFill>
        <a:blip xmlns:r="http://schemas.openxmlformats.org/officeDocument/2006/relationships" r:embed="rId45"/>
        <a:stretch>
          <a:fillRect/>
        </a:stretch>
      </xdr:blipFill>
      <xdr:spPr>
        <a:xfrm>
          <a:off x="2552700" y="51777900"/>
          <a:ext cx="413016" cy="447675"/>
        </a:xfrm>
        <a:prstGeom prst="rect">
          <a:avLst/>
        </a:prstGeom>
      </xdr:spPr>
    </xdr:pic>
    <xdr:clientData/>
  </xdr:twoCellAnchor>
  <xdr:twoCellAnchor editAs="oneCell">
    <xdr:from>
      <xdr:col>3</xdr:col>
      <xdr:colOff>166689</xdr:colOff>
      <xdr:row>56</xdr:row>
      <xdr:rowOff>83344</xdr:rowOff>
    </xdr:from>
    <xdr:to>
      <xdr:col>3</xdr:col>
      <xdr:colOff>833439</xdr:colOff>
      <xdr:row>56</xdr:row>
      <xdr:rowOff>696276</xdr:rowOff>
    </xdr:to>
    <xdr:pic>
      <xdr:nvPicPr>
        <xdr:cNvPr id="293" name="Imagen 292" descr="Imagen de la pantalla de un celular&#10;&#10;Descripción generada automáticamente con confianza baja">
          <a:extLst>
            <a:ext uri="{FF2B5EF4-FFF2-40B4-BE49-F238E27FC236}">
              <a16:creationId xmlns:a16="http://schemas.microsoft.com/office/drawing/2014/main" id="{088FC01D-C6BB-48E3-B981-4F86D963986C}"/>
            </a:ext>
          </a:extLst>
        </xdr:cNvPr>
        <xdr:cNvPicPr>
          <a:picLocks noChangeAspect="1"/>
        </xdr:cNvPicPr>
      </xdr:nvPicPr>
      <xdr:blipFill>
        <a:blip xmlns:r="http://schemas.openxmlformats.org/officeDocument/2006/relationships" r:embed="rId46"/>
        <a:stretch>
          <a:fillRect/>
        </a:stretch>
      </xdr:blipFill>
      <xdr:spPr>
        <a:xfrm>
          <a:off x="2443164" y="94085569"/>
          <a:ext cx="666750" cy="612932"/>
        </a:xfrm>
        <a:prstGeom prst="rect">
          <a:avLst/>
        </a:prstGeom>
      </xdr:spPr>
    </xdr:pic>
    <xdr:clientData/>
  </xdr:twoCellAnchor>
  <xdr:twoCellAnchor editAs="oneCell">
    <xdr:from>
      <xdr:col>3</xdr:col>
      <xdr:colOff>277814</xdr:colOff>
      <xdr:row>37</xdr:row>
      <xdr:rowOff>39688</xdr:rowOff>
    </xdr:from>
    <xdr:to>
      <xdr:col>3</xdr:col>
      <xdr:colOff>692994</xdr:colOff>
      <xdr:row>37</xdr:row>
      <xdr:rowOff>953493</xdr:rowOff>
    </xdr:to>
    <xdr:pic>
      <xdr:nvPicPr>
        <xdr:cNvPr id="297" name="Imagen 296" descr="Puerta de madera&#10;&#10;Descripción generada automáticamente con confianza media">
          <a:extLst>
            <a:ext uri="{FF2B5EF4-FFF2-40B4-BE49-F238E27FC236}">
              <a16:creationId xmlns:a16="http://schemas.microsoft.com/office/drawing/2014/main" id="{00579D75-24E8-4EDB-8772-F5DAD42A8801}"/>
            </a:ext>
          </a:extLst>
        </xdr:cNvPr>
        <xdr:cNvPicPr>
          <a:picLocks noChangeAspect="1"/>
        </xdr:cNvPicPr>
      </xdr:nvPicPr>
      <xdr:blipFill>
        <a:blip xmlns:r="http://schemas.openxmlformats.org/officeDocument/2006/relationships" r:embed="rId47"/>
        <a:stretch>
          <a:fillRect/>
        </a:stretch>
      </xdr:blipFill>
      <xdr:spPr>
        <a:xfrm>
          <a:off x="2554289" y="68438713"/>
          <a:ext cx="415180" cy="913805"/>
        </a:xfrm>
        <a:prstGeom prst="rect">
          <a:avLst/>
        </a:prstGeom>
      </xdr:spPr>
    </xdr:pic>
    <xdr:clientData/>
  </xdr:twoCellAnchor>
  <xdr:twoCellAnchor editAs="oneCell">
    <xdr:from>
      <xdr:col>3</xdr:col>
      <xdr:colOff>74083</xdr:colOff>
      <xdr:row>32</xdr:row>
      <xdr:rowOff>227926</xdr:rowOff>
    </xdr:from>
    <xdr:to>
      <xdr:col>3</xdr:col>
      <xdr:colOff>856861</xdr:colOff>
      <xdr:row>32</xdr:row>
      <xdr:rowOff>709083</xdr:rowOff>
    </xdr:to>
    <xdr:pic>
      <xdr:nvPicPr>
        <xdr:cNvPr id="298" name="Imagen 297" descr="Imagen que contiene nieve, luz, tabla, puesto&#10;&#10;Descripción generada automáticamente">
          <a:extLst>
            <a:ext uri="{FF2B5EF4-FFF2-40B4-BE49-F238E27FC236}">
              <a16:creationId xmlns:a16="http://schemas.microsoft.com/office/drawing/2014/main" id="{B746FC17-C4AD-4A47-AA33-31CF0CC322AD}"/>
            </a:ext>
          </a:extLst>
        </xdr:cNvPr>
        <xdr:cNvPicPr>
          <a:picLocks noChangeAspect="1"/>
        </xdr:cNvPicPr>
      </xdr:nvPicPr>
      <xdr:blipFill>
        <a:blip xmlns:r="http://schemas.openxmlformats.org/officeDocument/2006/relationships" r:embed="rId48"/>
        <a:stretch>
          <a:fillRect/>
        </a:stretch>
      </xdr:blipFill>
      <xdr:spPr>
        <a:xfrm>
          <a:off x="2350558" y="57530326"/>
          <a:ext cx="782778" cy="481157"/>
        </a:xfrm>
        <a:prstGeom prst="rect">
          <a:avLst/>
        </a:prstGeom>
      </xdr:spPr>
    </xdr:pic>
    <xdr:clientData/>
  </xdr:twoCellAnchor>
  <xdr:twoCellAnchor editAs="oneCell">
    <xdr:from>
      <xdr:col>3</xdr:col>
      <xdr:colOff>38101</xdr:colOff>
      <xdr:row>33</xdr:row>
      <xdr:rowOff>104777</xdr:rowOff>
    </xdr:from>
    <xdr:to>
      <xdr:col>3</xdr:col>
      <xdr:colOff>989073</xdr:colOff>
      <xdr:row>33</xdr:row>
      <xdr:rowOff>762001</xdr:rowOff>
    </xdr:to>
    <xdr:pic>
      <xdr:nvPicPr>
        <xdr:cNvPr id="11" name="Imagen 10">
          <a:extLst>
            <a:ext uri="{FF2B5EF4-FFF2-40B4-BE49-F238E27FC236}">
              <a16:creationId xmlns:a16="http://schemas.microsoft.com/office/drawing/2014/main" id="{8E4488AD-9066-F384-8868-6CBADC747498}"/>
            </a:ext>
          </a:extLst>
        </xdr:cNvPr>
        <xdr:cNvPicPr>
          <a:picLocks noChangeAspect="1"/>
        </xdr:cNvPicPr>
      </xdr:nvPicPr>
      <xdr:blipFill>
        <a:blip xmlns:r="http://schemas.openxmlformats.org/officeDocument/2006/relationships" r:embed="rId49"/>
        <a:stretch>
          <a:fillRect/>
        </a:stretch>
      </xdr:blipFill>
      <xdr:spPr>
        <a:xfrm>
          <a:off x="2124076" y="58407302"/>
          <a:ext cx="950972" cy="65722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p" refreshedDate="45353.755405902775" createdVersion="8" refreshedVersion="8" minRefreshableVersion="3" recordCount="50" xr:uid="{6154E5C5-7CF9-4A90-90A1-AC32F2238137}">
  <cacheSource type="worksheet">
    <worksheetSource ref="B2:F52" sheet="LABOR"/>
  </cacheSource>
  <cacheFields count="5">
    <cacheField name="Cost code" numFmtId="0">
      <sharedItems count="28">
        <s v="Auxiliar carpintería"/>
        <s v="Carpintero y armador"/>
        <s v="Electrician"/>
        <s v="Helper  Painting"/>
        <s v="Helper Cabinets and countertops"/>
        <s v="Helper doors and trim"/>
        <s v="Helper Drywall"/>
        <s v="Helper electrician"/>
        <s v="Helper flooring"/>
        <s v="Helper Hardware and appliances"/>
        <s v="Helper Insulation"/>
        <s v="Helper roofer and gutters"/>
        <s v="Helper Tiling and backsplash"/>
        <s v="Helper windows and siding"/>
        <s v="HVAC professional"/>
        <s v="Laborer Cabinets and countertops"/>
        <s v="Laborer Door and trim"/>
        <s v="Laborer Doors and trim"/>
        <s v="Laborer Drywall"/>
        <s v="Laborer flooring"/>
        <s v="Laborer Hardware and appliances"/>
        <s v="Laborer Insulation"/>
        <s v="Laborer Painting"/>
        <s v="Laborer plumbing fixtures"/>
        <s v="Laborer Tiling and backsplash"/>
        <s v="Laborer windows and siding"/>
        <s v="Plumber"/>
        <s v="Roofer and gutters"/>
      </sharedItems>
    </cacheField>
    <cacheField name="Unitary cost ($/hr)" numFmtId="165">
      <sharedItems containsSemiMixedTypes="0" containsString="0" containsNumber="1" containsInteger="1" minValue="10" maxValue="30"/>
    </cacheField>
    <cacheField name="People" numFmtId="2">
      <sharedItems containsSemiMixedTypes="0" containsString="0" containsNumber="1" minValue="0.33333333333333331" maxValue="4"/>
    </cacheField>
    <cacheField name="Total hr" numFmtId="1">
      <sharedItems containsSemiMixedTypes="0" containsString="0" containsNumber="1" minValue="234.625" maxValue="2641"/>
    </cacheField>
    <cacheField name="Total cost" numFmtId="167">
      <sharedItems containsSemiMixedTypes="0" containsString="0" containsNumber="1" minValue="427.5" maxValue="451086.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x v="0"/>
    <n v="10"/>
    <n v="3"/>
    <n v="2126.2058333333334"/>
    <n v="191358.52500000002"/>
  </r>
  <r>
    <x v="0"/>
    <n v="10"/>
    <n v="4"/>
    <n v="1762.055625"/>
    <n v="281928.90000000002"/>
  </r>
  <r>
    <x v="1"/>
    <n v="16"/>
    <n v="3"/>
    <n v="2126.2058333333334"/>
    <n v="306173.64"/>
  </r>
  <r>
    <x v="1"/>
    <n v="16"/>
    <n v="4"/>
    <n v="1762.055625"/>
    <n v="451086.24"/>
  </r>
  <r>
    <x v="2"/>
    <n v="16"/>
    <n v="1.5"/>
    <n v="2241.6666666666665"/>
    <n v="80700"/>
  </r>
  <r>
    <x v="2"/>
    <n v="16"/>
    <n v="0.5"/>
    <n v="2641"/>
    <n v="10564"/>
  </r>
  <r>
    <x v="3"/>
    <n v="10"/>
    <n v="2"/>
    <n v="1260.5075000000002"/>
    <n v="50420.3"/>
  </r>
  <r>
    <x v="4"/>
    <n v="10"/>
    <n v="0.33333333333333331"/>
    <n v="1026"/>
    <n v="1140"/>
  </r>
  <r>
    <x v="4"/>
    <n v="10"/>
    <n v="0.33333333333333331"/>
    <n v="774"/>
    <n v="860"/>
  </r>
  <r>
    <x v="4"/>
    <n v="10"/>
    <n v="0.33333333333333331"/>
    <n v="384.75"/>
    <n v="427.5"/>
  </r>
  <r>
    <x v="5"/>
    <n v="10"/>
    <n v="0.5"/>
    <n v="1702.9920000000002"/>
    <n v="4257.4800000000005"/>
  </r>
  <r>
    <x v="5"/>
    <n v="10"/>
    <n v="0.5"/>
    <n v="319.2"/>
    <n v="798"/>
  </r>
  <r>
    <x v="6"/>
    <n v="10"/>
    <n v="2"/>
    <n v="1499.3325000000002"/>
    <n v="59973.30000000001"/>
  </r>
  <r>
    <x v="7"/>
    <n v="10"/>
    <n v="2"/>
    <n v="1681.25"/>
    <n v="67250"/>
  </r>
  <r>
    <x v="7"/>
    <n v="10"/>
    <n v="1"/>
    <n v="1320.5"/>
    <n v="13205"/>
  </r>
  <r>
    <x v="8"/>
    <n v="10"/>
    <n v="1"/>
    <n v="1950.92"/>
    <n v="19509.2"/>
  </r>
  <r>
    <x v="9"/>
    <n v="10"/>
    <n v="0.5"/>
    <n v="1018"/>
    <n v="2545"/>
  </r>
  <r>
    <x v="9"/>
    <n v="10"/>
    <n v="0.5"/>
    <n v="456"/>
    <n v="1140"/>
  </r>
  <r>
    <x v="10"/>
    <n v="10"/>
    <n v="1"/>
    <n v="1365.75"/>
    <n v="13657.5"/>
  </r>
  <r>
    <x v="11"/>
    <n v="10"/>
    <n v="1"/>
    <n v="763.125"/>
    <n v="7631.25"/>
  </r>
  <r>
    <x v="11"/>
    <n v="10"/>
    <n v="1"/>
    <n v="234.625"/>
    <n v="2346.25"/>
  </r>
  <r>
    <x v="12"/>
    <n v="10"/>
    <n v="0.5"/>
    <n v="1429.1100000000001"/>
    <n v="3572.7750000000005"/>
  </r>
  <r>
    <x v="12"/>
    <n v="10"/>
    <n v="0.5"/>
    <n v="270.18"/>
    <n v="675.45"/>
  </r>
  <r>
    <x v="13"/>
    <n v="10"/>
    <n v="0.5"/>
    <n v="668"/>
    <n v="1670"/>
  </r>
  <r>
    <x v="13"/>
    <n v="10"/>
    <n v="1.5"/>
    <n v="1883"/>
    <n v="42367.5"/>
  </r>
  <r>
    <x v="14"/>
    <n v="30"/>
    <n v="1"/>
    <n v="1368"/>
    <n v="41040"/>
  </r>
  <r>
    <x v="14"/>
    <n v="30"/>
    <n v="1"/>
    <n v="1368"/>
    <n v="41040"/>
  </r>
  <r>
    <x v="15"/>
    <n v="16"/>
    <n v="0.33333333333333331"/>
    <n v="1026"/>
    <n v="1824"/>
  </r>
  <r>
    <x v="15"/>
    <n v="16"/>
    <n v="0.33333333333333331"/>
    <n v="774"/>
    <n v="1376"/>
  </r>
  <r>
    <x v="15"/>
    <n v="16"/>
    <n v="0.33333333333333331"/>
    <n v="384.75"/>
    <n v="684"/>
  </r>
  <r>
    <x v="16"/>
    <n v="16"/>
    <n v="0.5"/>
    <n v="2027.1999999999998"/>
    <n v="8108.7999999999993"/>
  </r>
  <r>
    <x v="16"/>
    <n v="10"/>
    <n v="0.5"/>
    <n v="2027.1999999999998"/>
    <n v="5068"/>
  </r>
  <r>
    <x v="17"/>
    <n v="16"/>
    <n v="0.5"/>
    <n v="1702.9920000000002"/>
    <n v="6811.9680000000008"/>
  </r>
  <r>
    <x v="17"/>
    <n v="16"/>
    <n v="0.5"/>
    <n v="319.2"/>
    <n v="1276.8"/>
  </r>
  <r>
    <x v="18"/>
    <n v="16"/>
    <n v="2"/>
    <n v="1499.3325000000002"/>
    <n v="95957.280000000013"/>
  </r>
  <r>
    <x v="19"/>
    <n v="16"/>
    <n v="1"/>
    <n v="1950.92"/>
    <n v="31214.720000000001"/>
  </r>
  <r>
    <x v="20"/>
    <n v="16"/>
    <n v="0.5"/>
    <n v="1018"/>
    <n v="4072"/>
  </r>
  <r>
    <x v="20"/>
    <n v="16"/>
    <n v="0.5"/>
    <n v="456"/>
    <n v="1824"/>
  </r>
  <r>
    <x v="21"/>
    <n v="16"/>
    <n v="1"/>
    <n v="1365.75"/>
    <n v="21852"/>
  </r>
  <r>
    <x v="22"/>
    <n v="16"/>
    <n v="1"/>
    <n v="2521.0150000000003"/>
    <n v="40336.240000000005"/>
  </r>
  <r>
    <x v="23"/>
    <n v="16"/>
    <n v="0.5"/>
    <n v="773"/>
    <n v="3092"/>
  </r>
  <r>
    <x v="23"/>
    <n v="10"/>
    <n v="0.5"/>
    <n v="773"/>
    <n v="1932.5"/>
  </r>
  <r>
    <x v="24"/>
    <n v="16"/>
    <n v="0.5"/>
    <n v="1429.1100000000001"/>
    <n v="5716.4400000000005"/>
  </r>
  <r>
    <x v="24"/>
    <n v="16"/>
    <n v="0.5"/>
    <n v="270.18"/>
    <n v="1080.72"/>
  </r>
  <r>
    <x v="25"/>
    <n v="16"/>
    <n v="0.5"/>
    <n v="668"/>
    <n v="2672"/>
  </r>
  <r>
    <x v="25"/>
    <n v="16"/>
    <n v="1.5"/>
    <n v="1883"/>
    <n v="67788"/>
  </r>
  <r>
    <x v="26"/>
    <n v="16"/>
    <n v="0.5"/>
    <n v="1920.8000000000002"/>
    <n v="7683.2000000000007"/>
  </r>
  <r>
    <x v="26"/>
    <n v="16"/>
    <n v="0.5"/>
    <n v="1920.8000000000002"/>
    <n v="7683.2000000000007"/>
  </r>
  <r>
    <x v="27"/>
    <n v="16"/>
    <n v="0.5"/>
    <n v="1526.25"/>
    <n v="6105"/>
  </r>
  <r>
    <x v="27"/>
    <n v="16"/>
    <n v="0.5"/>
    <n v="469.25"/>
    <n v="187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E5BB55-AAA5-4EFE-8730-8F2630E1D287}" name="TablaDinámica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E32" firstHeaderRow="0" firstDataRow="1" firstDataCol="1"/>
  <pivotFields count="5">
    <pivotField axis="axisRow"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dataField="1" numFmtId="165" showAll="0"/>
    <pivotField dataField="1" numFmtId="2" showAll="0"/>
    <pivotField dataField="1" numFmtId="1" showAll="0"/>
    <pivotField dataField="1" numFmtId="167" showAll="0"/>
  </pivotFields>
  <rowFields count="1">
    <field x="0"/>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4">
    <i>
      <x/>
    </i>
    <i i="1">
      <x v="1"/>
    </i>
    <i i="2">
      <x v="2"/>
    </i>
    <i i="3">
      <x v="3"/>
    </i>
  </colItems>
  <dataFields count="4">
    <dataField name="Promedio de Unitary cost ($/hr)" fld="1" subtotal="average" baseField="0" baseItem="0"/>
    <dataField name="Suma de People" fld="2" baseField="0" baseItem="0"/>
    <dataField name="Suma de Total hr" fld="3" baseField="0" baseItem="0" numFmtId="4"/>
    <dataField name="Suma de Total cost" fld="4" baseField="0" baseItem="0" numFmtId="166"/>
  </dataFields>
  <formats count="4">
    <format dxfId="3">
      <pivotArea outline="0" collapsedLevelsAreSubtotals="1" fieldPosition="0">
        <references count="1">
          <reference field="4294967294" count="1" selected="0">
            <x v="3"/>
          </reference>
        </references>
      </pivotArea>
    </format>
    <format dxfId="2">
      <pivotArea dataOnly="0" labelOnly="1" outline="0" fieldPosition="0">
        <references count="1">
          <reference field="4294967294" count="1">
            <x v="3"/>
          </reference>
        </references>
      </pivotArea>
    </format>
    <format dxfId="1">
      <pivotArea outline="0" collapsedLevelsAreSubtotals="1" fieldPosition="0">
        <references count="1">
          <reference field="4294967294" count="1" selected="0">
            <x v="2"/>
          </reference>
        </references>
      </pivotArea>
    </format>
    <format dxfId="0">
      <pivotArea dataOnly="0" labelOnly="1"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lowes.com/pd/Allied-Brass-Dottingham-Matte-Black-Brass-Bath-Accessory-Set/1000919916" TargetMode="External"/><Relationship Id="rId13" Type="http://schemas.openxmlformats.org/officeDocument/2006/relationships/hyperlink" Target="https://www.homedepot.com/p/JELD-WEN-35-5-in-x-23-5-in-V-4500-Series-White-Vinyl-Picture-Window-w-Low-E-366-Glass-THDJW142100086/205807122" TargetMode="External"/><Relationship Id="rId3" Type="http://schemas.openxmlformats.org/officeDocument/2006/relationships/hyperlink" Target="https://www.amazon.com/gp/product/B08S3C3ZQ6/ref=ppx_yo_dt_b_asin_title_o03_s01?ie=UTF8&amp;psc=1" TargetMode="External"/><Relationship Id="rId7" Type="http://schemas.openxmlformats.org/officeDocument/2006/relationships/hyperlink" Target="https://www.amazon.com/-/es/DEGULAS-accesorios-toallero-pulgadas-higi%C3%A9nico/dp/B097B1YKSB/ref=sr_1_1?__mk_es_US=%C3%85M%C3%85%C5%BD%C3%95%C3%91&amp;crid=MFTCSZALMKIM&amp;keywords=Towel%2BKit%2BBlack%2BMatte&amp;qid=1694032501&amp;sprefix=towel%2Bkit%2Bblack%2Bmatte%2Caps%2C254&amp;sr=8-1&amp;th=1" TargetMode="External"/><Relationship Id="rId12" Type="http://schemas.openxmlformats.org/officeDocument/2006/relationships/hyperlink" Target="https://www.homedepot.com/p/American-Craftsman-35-75-in-x-61-25-in-70-Pro-Series-Low-E-Argon-Glass-Double-Hung-White-Vinyl-Replacement-Window-Screen-Incl-3662786/204814634" TargetMode="External"/><Relationship Id="rId17" Type="http://schemas.openxmlformats.org/officeDocument/2006/relationships/drawing" Target="../drawings/drawing1.xml"/><Relationship Id="rId2" Type="http://schemas.openxmlformats.org/officeDocument/2006/relationships/hyperlink" Target="https://www.amazon.com/gp/product/B08S3C3ZQ6/ref=ppx_yo_dt_b_asin_title_o03_s01?ie=UTF8&amp;psc=1" TargetMode="External"/><Relationship Id="rId16" Type="http://schemas.openxmlformats.org/officeDocument/2006/relationships/printerSettings" Target="../printerSettings/printerSettings1.bin"/><Relationship Id="rId1" Type="http://schemas.openxmlformats.org/officeDocument/2006/relationships/hyperlink" Target="https://www.amazon.com/gp/product/B01NAMTYZN/ref=ppx_yo_dt_b_asin_title_o07_s02?ie=UTF8&amp;psc=1" TargetMode="External"/><Relationship Id="rId6" Type="http://schemas.openxmlformats.org/officeDocument/2006/relationships/hyperlink" Target="https://www.amazon.com/gp/product/B07N1J1T9J/ref=ppx_yo_dt_b_asin_title_o03_s01?ie=UTF8&amp;th=1" TargetMode="External"/><Relationship Id="rId11" Type="http://schemas.openxmlformats.org/officeDocument/2006/relationships/hyperlink" Target="https://www.amazon.com/-/es/Kwikset-94002-950-Cove-puerta-entrada/dp/B0B2BT78J5/ref=sr_1_4?__mk_es_US=%C3%85M%C3%85%C5%BD%C3%95%C3%91&amp;crid=7PSCBNFBKZYD&amp;keywords=BLACK%2BMATTE%2BKWIKSET&amp;qid=1694048207&amp;sprefix=black%2Bmatte%2Bkwikse%2Caps%2C205&amp;sr=8-4&amp;th=1" TargetMode="External"/><Relationship Id="rId5" Type="http://schemas.openxmlformats.org/officeDocument/2006/relationships/hyperlink" Target="https://www.amazon.com/gp/product/B00WIQ9596/ref=ppx_yo_dt_b_asin_title_o00_s00?ie=UTF8&amp;th=1" TargetMode="External"/><Relationship Id="rId15" Type="http://schemas.openxmlformats.org/officeDocument/2006/relationships/hyperlink" Target="https://graniteselection.com/msi-quartz-countertops/cashmere-carrara/" TargetMode="External"/><Relationship Id="rId10" Type="http://schemas.openxmlformats.org/officeDocument/2006/relationships/hyperlink" Target="https://www.amazon.com/gp/product/B07V8FMK2J/ref=ppx_yo_dt_b_asin_title_o02_s00?ie=UTF8&amp;th=1" TargetMode="External"/><Relationship Id="rId4" Type="http://schemas.openxmlformats.org/officeDocument/2006/relationships/hyperlink" Target="https://www.amazon.com/gp/product/B08S3C3ZQ6/ref=ppx_yo_dt_b_asin_title_o03_s01?ie=UTF8&amp;psc=1" TargetMode="External"/><Relationship Id="rId9" Type="http://schemas.openxmlformats.org/officeDocument/2006/relationships/hyperlink" Target="https://www.amazon.com/-/es/Broan-NuTone-688-Ventilador-techo-blanco/dp/B00004TTZZ/ref=sr_1_1_pp?__mk_es_US=%C3%85M%C3%85%C5%BD%C3%95%C3%91&amp;crid=2GTLXY9TQWW4D&amp;keywords=broan%2B50%2Bcfm&amp;qid=1694037163&amp;s=hi&amp;sprefix=broan%2B50cfm%2Ctools%2C468&amp;sr=1-1&amp;th=1" TargetMode="External"/><Relationship Id="rId14" Type="http://schemas.openxmlformats.org/officeDocument/2006/relationships/hyperlink" Target="https://www.homedepot.com/p/Air-Master-Windows-and-Doors-24-in-x-25-5-in-in-Master-View-Louver-Awning-Aluminum-Window-in-White-91057/205503324" TargetMode="Externa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312D8-34F6-45E7-8626-9B3AB6D8C4E3}">
  <dimension ref="A1:I64"/>
  <sheetViews>
    <sheetView topLeftCell="A21" workbookViewId="0">
      <selection activeCell="E46" sqref="E46"/>
    </sheetView>
    <sheetView topLeftCell="A17" workbookViewId="1">
      <selection activeCell="B1" sqref="B1"/>
    </sheetView>
  </sheetViews>
  <sheetFormatPr baseColWidth="10" defaultColWidth="11.42578125" defaultRowHeight="12.75" x14ac:dyDescent="0.25"/>
  <cols>
    <col min="1" max="1" width="3.7109375" style="25" customWidth="1"/>
    <col min="2" max="2" width="10.85546875" style="25" bestFit="1" customWidth="1"/>
    <col min="3" max="3" width="16.7109375" style="35" customWidth="1"/>
    <col min="4" max="4" width="15.28515625" style="35" customWidth="1"/>
    <col min="5" max="5" width="35.140625" style="35" customWidth="1"/>
    <col min="6" max="6" width="40.42578125" style="35" customWidth="1"/>
    <col min="7" max="7" width="15" style="35" customWidth="1"/>
    <col min="8" max="8" width="10" style="35" customWidth="1"/>
    <col min="9" max="9" width="14.5703125" style="35" bestFit="1" customWidth="1"/>
    <col min="10" max="16384" width="11.42578125" style="25"/>
  </cols>
  <sheetData>
    <row r="1" spans="2:9" ht="12.75" customHeight="1" x14ac:dyDescent="0.25">
      <c r="B1" s="36"/>
      <c r="C1" s="37"/>
      <c r="D1" s="37"/>
      <c r="E1" s="42"/>
      <c r="F1" s="42"/>
      <c r="G1" s="42"/>
      <c r="H1" s="42"/>
      <c r="I1" s="42"/>
    </row>
    <row r="2" spans="2:9" ht="12.75" customHeight="1" x14ac:dyDescent="0.25">
      <c r="B2" s="56" t="s">
        <v>0</v>
      </c>
      <c r="C2" s="34"/>
      <c r="D2" s="43"/>
      <c r="E2" s="43"/>
      <c r="F2" s="43"/>
      <c r="G2" s="43"/>
      <c r="H2" s="43"/>
      <c r="I2" s="43"/>
    </row>
    <row r="3" spans="2:9" ht="13.5" customHeight="1" x14ac:dyDescent="0.25">
      <c r="B3" s="38"/>
      <c r="C3" s="39"/>
      <c r="D3" s="39"/>
      <c r="E3" s="44"/>
      <c r="F3" s="44"/>
      <c r="G3" s="44"/>
      <c r="H3" s="44"/>
      <c r="I3" s="45"/>
    </row>
    <row r="4" spans="2:9" x14ac:dyDescent="0.25">
      <c r="B4" s="40" t="s">
        <v>1</v>
      </c>
      <c r="C4" s="40" t="s">
        <v>2</v>
      </c>
      <c r="D4" s="40"/>
      <c r="E4" s="40"/>
      <c r="F4" s="40"/>
      <c r="G4" s="40"/>
      <c r="H4" s="40" t="s">
        <v>3</v>
      </c>
      <c r="I4" s="41" t="s">
        <v>4</v>
      </c>
    </row>
    <row r="5" spans="2:9" ht="76.5" customHeight="1" x14ac:dyDescent="0.25">
      <c r="B5" s="27" t="s">
        <v>5</v>
      </c>
      <c r="C5" s="28" t="s">
        <v>6</v>
      </c>
      <c r="D5" s="28"/>
      <c r="E5" s="28" t="s">
        <v>7</v>
      </c>
      <c r="F5" s="28" t="s">
        <v>8</v>
      </c>
      <c r="G5" s="29" t="s">
        <v>9</v>
      </c>
      <c r="H5" s="29" t="s">
        <v>10</v>
      </c>
      <c r="I5" s="50">
        <f>62.98*1.08</f>
        <v>68.0184</v>
      </c>
    </row>
    <row r="6" spans="2:9" ht="76.5" customHeight="1" x14ac:dyDescent="0.25">
      <c r="B6" s="27" t="s">
        <v>11</v>
      </c>
      <c r="C6" s="28" t="s">
        <v>12</v>
      </c>
      <c r="D6" s="28"/>
      <c r="E6" s="28" t="s">
        <v>13</v>
      </c>
      <c r="F6" s="28" t="s">
        <v>14</v>
      </c>
      <c r="G6" s="29" t="s">
        <v>15</v>
      </c>
      <c r="H6" s="29" t="s">
        <v>10</v>
      </c>
      <c r="I6" s="51">
        <f>56.98*1.08</f>
        <v>61.538400000000003</v>
      </c>
    </row>
    <row r="7" spans="2:9" ht="96" customHeight="1" x14ac:dyDescent="0.25">
      <c r="B7" s="27" t="s">
        <v>16</v>
      </c>
      <c r="C7" s="28" t="s">
        <v>17</v>
      </c>
      <c r="D7" s="28"/>
      <c r="E7" s="28" t="s">
        <v>18</v>
      </c>
      <c r="F7" s="28" t="s">
        <v>19</v>
      </c>
      <c r="G7" s="28" t="s">
        <v>9</v>
      </c>
      <c r="H7" s="28" t="s">
        <v>3</v>
      </c>
      <c r="I7" s="50">
        <f>390*1.08</f>
        <v>421.20000000000005</v>
      </c>
    </row>
    <row r="8" spans="2:9" ht="46.5" customHeight="1" x14ac:dyDescent="0.25">
      <c r="B8" s="27" t="s">
        <v>20</v>
      </c>
      <c r="C8" s="28" t="s">
        <v>21</v>
      </c>
      <c r="D8" s="29"/>
      <c r="E8" s="29" t="s">
        <v>22</v>
      </c>
      <c r="F8" s="29" t="s">
        <v>23</v>
      </c>
      <c r="G8" s="29" t="s">
        <v>9</v>
      </c>
      <c r="H8" s="29" t="s">
        <v>3</v>
      </c>
      <c r="I8" s="51">
        <f>39.99/4*1.08</f>
        <v>10.797300000000002</v>
      </c>
    </row>
    <row r="9" spans="2:9" ht="81" customHeight="1" x14ac:dyDescent="0.25">
      <c r="B9" s="27" t="s">
        <v>24</v>
      </c>
      <c r="C9" s="28" t="s">
        <v>25</v>
      </c>
      <c r="D9" s="29"/>
      <c r="E9" s="29" t="s">
        <v>26</v>
      </c>
      <c r="F9" s="31" t="s">
        <v>27</v>
      </c>
      <c r="G9" s="29" t="s">
        <v>28</v>
      </c>
      <c r="H9" s="29" t="s">
        <v>3</v>
      </c>
      <c r="I9" s="51">
        <v>289</v>
      </c>
    </row>
    <row r="10" spans="2:9" ht="61.5" customHeight="1" x14ac:dyDescent="0.25">
      <c r="B10" s="27" t="s">
        <v>29</v>
      </c>
      <c r="C10" s="28" t="s">
        <v>25</v>
      </c>
      <c r="D10" s="29"/>
      <c r="E10" s="29" t="s">
        <v>30</v>
      </c>
      <c r="F10" s="31" t="s">
        <v>31</v>
      </c>
      <c r="G10" s="29" t="s">
        <v>28</v>
      </c>
      <c r="H10" s="29" t="s">
        <v>3</v>
      </c>
      <c r="I10" s="51">
        <v>238</v>
      </c>
    </row>
    <row r="11" spans="2:9" ht="61.5" hidden="1" customHeight="1" x14ac:dyDescent="0.25">
      <c r="B11" s="27" t="s">
        <v>32</v>
      </c>
      <c r="C11" s="28" t="s">
        <v>33</v>
      </c>
      <c r="D11" s="29"/>
      <c r="E11" s="29" t="s">
        <v>34</v>
      </c>
      <c r="F11" s="31" t="s">
        <v>35</v>
      </c>
      <c r="G11" s="29" t="s">
        <v>28</v>
      </c>
      <c r="H11" s="29" t="s">
        <v>3</v>
      </c>
      <c r="I11" s="51">
        <f>139.99*1.08</f>
        <v>151.18920000000003</v>
      </c>
    </row>
    <row r="12" spans="2:9" ht="81" customHeight="1" x14ac:dyDescent="0.25">
      <c r="B12" s="27" t="s">
        <v>36</v>
      </c>
      <c r="C12" s="28" t="s">
        <v>37</v>
      </c>
      <c r="D12" s="29"/>
      <c r="E12" s="29" t="s">
        <v>38</v>
      </c>
      <c r="F12" s="31" t="s">
        <v>39</v>
      </c>
      <c r="G12" s="29" t="s">
        <v>9</v>
      </c>
      <c r="H12" s="29" t="s">
        <v>40</v>
      </c>
      <c r="I12" s="51">
        <v>2</v>
      </c>
    </row>
    <row r="13" spans="2:9" ht="81" customHeight="1" x14ac:dyDescent="0.25">
      <c r="B13" s="27" t="s">
        <v>41</v>
      </c>
      <c r="C13" s="28" t="s">
        <v>42</v>
      </c>
      <c r="D13" s="29"/>
      <c r="E13" s="29" t="s">
        <v>43</v>
      </c>
      <c r="F13" s="29" t="s">
        <v>44</v>
      </c>
      <c r="G13" s="29" t="s">
        <v>45</v>
      </c>
      <c r="H13" s="29" t="s">
        <v>40</v>
      </c>
      <c r="I13" s="51">
        <f>9.92/8.25*1.08</f>
        <v>1.2986181818181819</v>
      </c>
    </row>
    <row r="14" spans="2:9" ht="81" customHeight="1" x14ac:dyDescent="0.25">
      <c r="B14" s="27">
        <v>121</v>
      </c>
      <c r="C14" s="28" t="s">
        <v>46</v>
      </c>
      <c r="D14" s="29"/>
      <c r="E14" s="29" t="s">
        <v>47</v>
      </c>
      <c r="F14" s="29" t="s">
        <v>48</v>
      </c>
      <c r="G14" s="29" t="s">
        <v>49</v>
      </c>
      <c r="H14" s="29" t="s">
        <v>3</v>
      </c>
      <c r="I14" s="51">
        <f>29.98*1.08</f>
        <v>32.378399999999999</v>
      </c>
    </row>
    <row r="15" spans="2:9" x14ac:dyDescent="0.25">
      <c r="B15" s="40" t="s">
        <v>1</v>
      </c>
      <c r="C15" s="40" t="s">
        <v>50</v>
      </c>
      <c r="D15" s="40"/>
      <c r="E15" s="40"/>
      <c r="F15" s="40"/>
      <c r="G15" s="40"/>
      <c r="H15" s="40"/>
      <c r="I15" s="41"/>
    </row>
    <row r="16" spans="2:9" ht="81" customHeight="1" x14ac:dyDescent="0.25">
      <c r="B16" s="27" t="s">
        <v>51</v>
      </c>
      <c r="C16" s="29" t="s">
        <v>52</v>
      </c>
      <c r="D16" s="29"/>
      <c r="E16" s="29" t="s">
        <v>53</v>
      </c>
      <c r="F16" s="29" t="s">
        <v>54</v>
      </c>
      <c r="G16" s="30" t="s">
        <v>55</v>
      </c>
      <c r="H16" s="30" t="s">
        <v>40</v>
      </c>
      <c r="I16" s="51">
        <f>2.79*1.08</f>
        <v>3.0132000000000003</v>
      </c>
    </row>
    <row r="17" spans="1:9" ht="67.5" customHeight="1" x14ac:dyDescent="0.25">
      <c r="B17" s="27" t="s">
        <v>56</v>
      </c>
      <c r="C17" s="29" t="s">
        <v>57</v>
      </c>
      <c r="D17" s="29"/>
      <c r="E17" s="29" t="s">
        <v>58</v>
      </c>
      <c r="F17" s="29" t="s">
        <v>59</v>
      </c>
      <c r="G17" s="30"/>
      <c r="H17" s="30" t="s">
        <v>40</v>
      </c>
      <c r="I17" s="51">
        <f>4.15*1.08</f>
        <v>4.4820000000000011</v>
      </c>
    </row>
    <row r="18" spans="1:9" ht="105.75" customHeight="1" x14ac:dyDescent="0.25">
      <c r="B18" s="27" t="s">
        <v>60</v>
      </c>
      <c r="C18" s="29" t="s">
        <v>61</v>
      </c>
      <c r="D18" s="29"/>
      <c r="E18" s="33"/>
      <c r="F18" s="29"/>
      <c r="G18" s="30"/>
      <c r="H18" s="30" t="s">
        <v>3</v>
      </c>
      <c r="I18" s="51">
        <f>1199*1.08</f>
        <v>1294.92</v>
      </c>
    </row>
    <row r="19" spans="1:9" ht="72" customHeight="1" x14ac:dyDescent="0.25">
      <c r="B19" s="27" t="s">
        <v>62</v>
      </c>
      <c r="C19" s="29" t="s">
        <v>63</v>
      </c>
      <c r="D19" s="29"/>
      <c r="E19" s="33"/>
      <c r="F19" s="29"/>
      <c r="G19" s="30"/>
      <c r="H19" s="30" t="s">
        <v>3</v>
      </c>
      <c r="I19" s="51">
        <f>499*1.08</f>
        <v>538.92000000000007</v>
      </c>
    </row>
    <row r="20" spans="1:9" ht="75" customHeight="1" x14ac:dyDescent="0.25">
      <c r="B20" s="27" t="s">
        <v>64</v>
      </c>
      <c r="C20" s="29" t="s">
        <v>65</v>
      </c>
      <c r="D20" s="29"/>
      <c r="E20" s="33"/>
      <c r="F20" s="29"/>
      <c r="G20" s="30"/>
      <c r="H20" s="30" t="s">
        <v>3</v>
      </c>
      <c r="I20" s="51">
        <f>549*1.08</f>
        <v>592.92000000000007</v>
      </c>
    </row>
    <row r="21" spans="1:9" ht="123.75" customHeight="1" x14ac:dyDescent="0.25">
      <c r="B21" s="27" t="s">
        <v>66</v>
      </c>
      <c r="C21" s="29" t="s">
        <v>67</v>
      </c>
      <c r="D21" s="29"/>
      <c r="E21" s="29" t="s">
        <v>68</v>
      </c>
      <c r="F21" s="29"/>
      <c r="G21" s="30"/>
      <c r="H21" s="30" t="s">
        <v>3</v>
      </c>
      <c r="I21" s="52">
        <f>399.99*1.08</f>
        <v>431.98920000000004</v>
      </c>
    </row>
    <row r="22" spans="1:9" ht="94.5" customHeight="1" x14ac:dyDescent="0.25">
      <c r="B22" s="27">
        <v>135</v>
      </c>
      <c r="C22" s="29" t="s">
        <v>69</v>
      </c>
      <c r="D22" s="29"/>
      <c r="E22" s="29" t="s">
        <v>70</v>
      </c>
      <c r="F22" s="53" t="s">
        <v>71</v>
      </c>
      <c r="G22" s="30" t="s">
        <v>72</v>
      </c>
      <c r="H22" s="30" t="s">
        <v>40</v>
      </c>
      <c r="I22" s="51">
        <f>49*1.08</f>
        <v>52.92</v>
      </c>
    </row>
    <row r="23" spans="1:9" ht="93.75" customHeight="1" x14ac:dyDescent="0.25">
      <c r="B23" s="27">
        <v>136</v>
      </c>
      <c r="C23" s="29" t="s">
        <v>73</v>
      </c>
      <c r="D23" s="29"/>
      <c r="E23" s="29" t="s">
        <v>74</v>
      </c>
      <c r="F23" s="29" t="s">
        <v>75</v>
      </c>
      <c r="G23" s="30" t="s">
        <v>76</v>
      </c>
      <c r="H23" s="30" t="s">
        <v>3</v>
      </c>
      <c r="I23" s="51">
        <f>7405.91</f>
        <v>7405.91</v>
      </c>
    </row>
    <row r="24" spans="1:9" ht="82.5" customHeight="1" x14ac:dyDescent="0.25">
      <c r="B24" s="27">
        <v>138</v>
      </c>
      <c r="C24" s="29" t="s">
        <v>77</v>
      </c>
      <c r="D24" s="29"/>
      <c r="E24" s="29" t="s">
        <v>74</v>
      </c>
      <c r="F24" s="29" t="s">
        <v>78</v>
      </c>
      <c r="G24" s="30"/>
      <c r="H24" s="30" t="s">
        <v>3</v>
      </c>
      <c r="I24" s="51"/>
    </row>
    <row r="25" spans="1:9" ht="94.5" customHeight="1" x14ac:dyDescent="0.25">
      <c r="B25" s="27">
        <v>139</v>
      </c>
      <c r="C25" s="29" t="s">
        <v>79</v>
      </c>
      <c r="D25" s="29"/>
      <c r="E25" s="29" t="s">
        <v>70</v>
      </c>
      <c r="F25" s="29" t="s">
        <v>71</v>
      </c>
      <c r="G25" s="30" t="s">
        <v>72</v>
      </c>
      <c r="H25" s="30" t="s">
        <v>40</v>
      </c>
      <c r="I25" s="51">
        <f>49*1.08</f>
        <v>52.92</v>
      </c>
    </row>
    <row r="26" spans="1:9" ht="46.5" customHeight="1" x14ac:dyDescent="0.25">
      <c r="B26" s="27">
        <v>140</v>
      </c>
      <c r="C26" s="29" t="s">
        <v>80</v>
      </c>
      <c r="D26" s="29"/>
      <c r="E26" s="29" t="s">
        <v>81</v>
      </c>
      <c r="F26" s="29"/>
      <c r="G26" s="30"/>
      <c r="H26" s="30" t="s">
        <v>10</v>
      </c>
      <c r="I26" s="51">
        <f>16.38*1.08</f>
        <v>17.6904</v>
      </c>
    </row>
    <row r="27" spans="1:9" ht="46.5" customHeight="1" x14ac:dyDescent="0.25">
      <c r="B27" s="27">
        <v>141</v>
      </c>
      <c r="C27" s="29" t="s">
        <v>82</v>
      </c>
      <c r="D27" s="29"/>
      <c r="E27" s="29" t="s">
        <v>81</v>
      </c>
      <c r="F27" s="29"/>
      <c r="G27" s="30"/>
      <c r="H27" s="30" t="s">
        <v>10</v>
      </c>
      <c r="I27" s="51">
        <f>16.38*1.08</f>
        <v>17.6904</v>
      </c>
    </row>
    <row r="28" spans="1:9" ht="46.5" customHeight="1" x14ac:dyDescent="0.25">
      <c r="B28" s="27">
        <v>142</v>
      </c>
      <c r="C28" s="29" t="s">
        <v>83</v>
      </c>
      <c r="D28" s="29"/>
      <c r="E28" s="29" t="s">
        <v>84</v>
      </c>
      <c r="F28" s="29" t="s">
        <v>85</v>
      </c>
      <c r="G28" s="30"/>
      <c r="H28" s="30" t="s">
        <v>10</v>
      </c>
      <c r="I28" s="51">
        <f>20.38*1.08</f>
        <v>22.010400000000001</v>
      </c>
    </row>
    <row r="29" spans="1:9" ht="46.5" customHeight="1" x14ac:dyDescent="0.25">
      <c r="B29" s="27">
        <v>143</v>
      </c>
      <c r="C29" s="29" t="s">
        <v>86</v>
      </c>
      <c r="D29" s="29"/>
      <c r="E29" s="29" t="s">
        <v>84</v>
      </c>
      <c r="F29" s="29"/>
      <c r="G29" s="30"/>
      <c r="H29" s="30" t="s">
        <v>10</v>
      </c>
      <c r="I29" s="51">
        <f>20.38*1.08</f>
        <v>22.010400000000001</v>
      </c>
    </row>
    <row r="30" spans="1:9" ht="46.5" customHeight="1" x14ac:dyDescent="0.25">
      <c r="B30" s="27">
        <v>144</v>
      </c>
      <c r="C30" s="29" t="s">
        <v>87</v>
      </c>
      <c r="D30" s="29"/>
      <c r="E30" s="29" t="s">
        <v>84</v>
      </c>
      <c r="F30" s="29"/>
      <c r="G30" s="30"/>
      <c r="H30" s="30" t="s">
        <v>10</v>
      </c>
      <c r="I30" s="51">
        <f>20.38*1.08</f>
        <v>22.010400000000001</v>
      </c>
    </row>
    <row r="31" spans="1:9" ht="38.25" customHeight="1" x14ac:dyDescent="0.25">
      <c r="A31" s="26"/>
      <c r="B31" s="27" t="s">
        <v>88</v>
      </c>
      <c r="C31" s="28" t="s">
        <v>89</v>
      </c>
      <c r="D31" s="29"/>
      <c r="E31" s="29" t="s">
        <v>90</v>
      </c>
      <c r="F31" s="29">
        <v>314010004</v>
      </c>
      <c r="G31" s="30" t="s">
        <v>49</v>
      </c>
      <c r="H31" s="30" t="s">
        <v>3</v>
      </c>
      <c r="I31" s="51">
        <f>38*1.08</f>
        <v>41.040000000000006</v>
      </c>
    </row>
    <row r="32" spans="1:9" ht="61.5" customHeight="1" x14ac:dyDescent="0.25">
      <c r="A32" s="26"/>
      <c r="B32" s="27" t="s">
        <v>91</v>
      </c>
      <c r="C32" s="28" t="s">
        <v>92</v>
      </c>
      <c r="D32" s="29"/>
      <c r="E32" s="29" t="s">
        <v>93</v>
      </c>
      <c r="F32" s="29" t="s">
        <v>94</v>
      </c>
      <c r="G32" s="30" t="s">
        <v>95</v>
      </c>
      <c r="H32" s="30" t="s">
        <v>3</v>
      </c>
      <c r="I32" s="51">
        <f>19.98*1.08</f>
        <v>21.578400000000002</v>
      </c>
    </row>
    <row r="33" spans="1:9" ht="78" customHeight="1" x14ac:dyDescent="0.25">
      <c r="A33" s="26"/>
      <c r="B33" s="27" t="s">
        <v>96</v>
      </c>
      <c r="C33" s="29" t="s">
        <v>97</v>
      </c>
      <c r="D33" s="29"/>
      <c r="E33" s="29" t="s">
        <v>98</v>
      </c>
      <c r="F33" s="29" t="s">
        <v>99</v>
      </c>
      <c r="G33" s="30"/>
      <c r="H33" s="30" t="s">
        <v>3</v>
      </c>
      <c r="I33" s="51">
        <f>16.59*1.08</f>
        <v>17.917200000000001</v>
      </c>
    </row>
    <row r="34" spans="1:9" ht="78" customHeight="1" x14ac:dyDescent="0.25">
      <c r="A34" s="26"/>
      <c r="B34" s="27" t="s">
        <v>100</v>
      </c>
      <c r="C34" s="29" t="s">
        <v>101</v>
      </c>
      <c r="D34" s="29"/>
      <c r="E34" s="29" t="s">
        <v>102</v>
      </c>
      <c r="F34" s="29"/>
      <c r="G34" s="30" t="s">
        <v>9</v>
      </c>
      <c r="H34" s="30" t="s">
        <v>3</v>
      </c>
      <c r="I34" s="51">
        <f>75.17*1.08</f>
        <v>81.183600000000013</v>
      </c>
    </row>
    <row r="35" spans="1:9" ht="78" customHeight="1" x14ac:dyDescent="0.25">
      <c r="B35" s="27">
        <v>156</v>
      </c>
      <c r="C35" s="29" t="s">
        <v>103</v>
      </c>
      <c r="D35" s="29"/>
      <c r="E35" s="29" t="s">
        <v>104</v>
      </c>
      <c r="F35" s="32" t="s">
        <v>105</v>
      </c>
      <c r="G35" s="30" t="s">
        <v>95</v>
      </c>
      <c r="H35" s="30" t="s">
        <v>3</v>
      </c>
      <c r="I35" s="51">
        <f>10*1.08</f>
        <v>10.8</v>
      </c>
    </row>
    <row r="36" spans="1:9" ht="78" customHeight="1" x14ac:dyDescent="0.25">
      <c r="B36" s="27">
        <v>158</v>
      </c>
      <c r="C36" s="28" t="s">
        <v>106</v>
      </c>
      <c r="D36" s="29"/>
      <c r="E36" s="29" t="s">
        <v>107</v>
      </c>
      <c r="F36" s="29" t="s">
        <v>108</v>
      </c>
      <c r="G36" s="30" t="s">
        <v>95</v>
      </c>
      <c r="H36" s="30" t="s">
        <v>3</v>
      </c>
      <c r="I36" s="51">
        <f>35.99*1.08</f>
        <v>38.869200000000006</v>
      </c>
    </row>
    <row r="37" spans="1:9" ht="78" customHeight="1" x14ac:dyDescent="0.25">
      <c r="B37" s="27" t="s">
        <v>109</v>
      </c>
      <c r="C37" s="28" t="s">
        <v>110</v>
      </c>
      <c r="D37" s="29"/>
      <c r="E37" s="29" t="s">
        <v>111</v>
      </c>
      <c r="F37" s="29" t="s">
        <v>112</v>
      </c>
      <c r="G37" s="30" t="s">
        <v>9</v>
      </c>
      <c r="H37" s="30" t="s">
        <v>3</v>
      </c>
      <c r="I37" s="51">
        <f>131*1.08</f>
        <v>141.48000000000002</v>
      </c>
    </row>
    <row r="38" spans="1:9" ht="78" customHeight="1" x14ac:dyDescent="0.25">
      <c r="B38" s="27" t="s">
        <v>113</v>
      </c>
      <c r="C38" s="28" t="s">
        <v>114</v>
      </c>
      <c r="D38" s="29"/>
      <c r="E38" s="29" t="s">
        <v>115</v>
      </c>
      <c r="F38" s="29" t="s">
        <v>116</v>
      </c>
      <c r="G38" s="30" t="s">
        <v>49</v>
      </c>
      <c r="H38" s="30" t="s">
        <v>3</v>
      </c>
      <c r="I38" s="51">
        <f>101.37*1.08</f>
        <v>109.47960000000002</v>
      </c>
    </row>
    <row r="39" spans="1:9" ht="60.75" customHeight="1" x14ac:dyDescent="0.25">
      <c r="B39" s="27">
        <v>165</v>
      </c>
      <c r="C39" s="28" t="s">
        <v>117</v>
      </c>
      <c r="D39" s="29"/>
      <c r="E39" s="29" t="s">
        <v>118</v>
      </c>
      <c r="F39" s="29" t="s">
        <v>119</v>
      </c>
      <c r="G39" s="30" t="s">
        <v>9</v>
      </c>
      <c r="H39" s="30" t="s">
        <v>3</v>
      </c>
      <c r="I39" s="51">
        <f>1.98*1.08</f>
        <v>2.1384000000000003</v>
      </c>
    </row>
    <row r="40" spans="1:9" ht="60.75" customHeight="1" x14ac:dyDescent="0.25">
      <c r="B40" s="27" t="s">
        <v>120</v>
      </c>
      <c r="C40" s="28" t="s">
        <v>121</v>
      </c>
      <c r="D40" s="29"/>
      <c r="E40" s="29" t="s">
        <v>122</v>
      </c>
      <c r="F40" s="29" t="s">
        <v>123</v>
      </c>
      <c r="G40" s="30" t="s">
        <v>124</v>
      </c>
      <c r="H40" s="30" t="s">
        <v>3</v>
      </c>
      <c r="I40" s="51">
        <f>173.16*1.08</f>
        <v>187.0128</v>
      </c>
    </row>
    <row r="41" spans="1:9" ht="60.75" customHeight="1" x14ac:dyDescent="0.25">
      <c r="B41" s="27" t="s">
        <v>125</v>
      </c>
      <c r="C41" s="29" t="s">
        <v>126</v>
      </c>
      <c r="D41" s="29"/>
      <c r="E41" s="29" t="s">
        <v>127</v>
      </c>
      <c r="F41" s="29" t="s">
        <v>128</v>
      </c>
      <c r="G41" s="30" t="s">
        <v>95</v>
      </c>
      <c r="H41" s="30" t="s">
        <v>3</v>
      </c>
      <c r="I41" s="51">
        <f>400.28*1.08</f>
        <v>432.30239999999998</v>
      </c>
    </row>
    <row r="42" spans="1:9" ht="60.75" customHeight="1" x14ac:dyDescent="0.25">
      <c r="B42" s="27" t="s">
        <v>129</v>
      </c>
      <c r="C42" s="28" t="s">
        <v>130</v>
      </c>
      <c r="D42" s="29"/>
      <c r="E42" s="29" t="s">
        <v>131</v>
      </c>
      <c r="F42" s="29" t="s">
        <v>132</v>
      </c>
      <c r="G42" s="30" t="s">
        <v>49</v>
      </c>
      <c r="H42" s="30" t="s">
        <v>3</v>
      </c>
      <c r="I42" s="51">
        <f>129.27*1.08</f>
        <v>139.61160000000001</v>
      </c>
    </row>
    <row r="43" spans="1:9" ht="60.75" customHeight="1" x14ac:dyDescent="0.25">
      <c r="B43" s="27" t="s">
        <v>133</v>
      </c>
      <c r="C43" s="28" t="s">
        <v>134</v>
      </c>
      <c r="D43" s="29"/>
      <c r="E43" s="28" t="s">
        <v>135</v>
      </c>
      <c r="F43" s="29" t="s">
        <v>136</v>
      </c>
      <c r="G43" s="30" t="s">
        <v>124</v>
      </c>
      <c r="H43" s="30" t="s">
        <v>3</v>
      </c>
      <c r="I43" s="51">
        <f>100.57*1.08</f>
        <v>108.6156</v>
      </c>
    </row>
    <row r="44" spans="1:9" ht="60.75" customHeight="1" x14ac:dyDescent="0.25">
      <c r="B44" s="27" t="s">
        <v>137</v>
      </c>
      <c r="C44" s="28" t="s">
        <v>138</v>
      </c>
      <c r="D44" s="29"/>
      <c r="E44" s="29" t="s">
        <v>139</v>
      </c>
      <c r="F44" s="29" t="s">
        <v>140</v>
      </c>
      <c r="G44" s="30" t="s">
        <v>9</v>
      </c>
      <c r="H44" s="30" t="s">
        <v>3</v>
      </c>
      <c r="I44" s="51">
        <f>60*1.08</f>
        <v>64.800000000000011</v>
      </c>
    </row>
    <row r="45" spans="1:9" ht="60.75" customHeight="1" x14ac:dyDescent="0.25">
      <c r="B45" s="27" t="s">
        <v>141</v>
      </c>
      <c r="C45" s="28" t="s">
        <v>142</v>
      </c>
      <c r="D45" s="29"/>
      <c r="E45" s="29" t="s">
        <v>143</v>
      </c>
      <c r="F45" s="29" t="s">
        <v>144</v>
      </c>
      <c r="G45" s="30" t="s">
        <v>9</v>
      </c>
      <c r="H45" s="30" t="s">
        <v>3</v>
      </c>
      <c r="I45" s="51">
        <f>35.72*1.08</f>
        <v>38.577600000000004</v>
      </c>
    </row>
    <row r="46" spans="1:9" ht="60.75" customHeight="1" x14ac:dyDescent="0.25">
      <c r="B46" s="27" t="s">
        <v>145</v>
      </c>
      <c r="C46" s="28" t="s">
        <v>146</v>
      </c>
      <c r="D46" s="29"/>
      <c r="E46" s="29" t="s">
        <v>147</v>
      </c>
      <c r="F46" s="29" t="s">
        <v>148</v>
      </c>
      <c r="G46" s="30" t="s">
        <v>95</v>
      </c>
      <c r="H46" s="30" t="s">
        <v>3</v>
      </c>
      <c r="I46" s="51">
        <f>80.99*1.08</f>
        <v>87.469200000000001</v>
      </c>
    </row>
    <row r="47" spans="1:9" ht="60.75" customHeight="1" x14ac:dyDescent="0.25">
      <c r="B47" s="27" t="s">
        <v>149</v>
      </c>
      <c r="C47" s="29" t="s">
        <v>150</v>
      </c>
      <c r="D47" s="29"/>
      <c r="E47" s="29" t="s">
        <v>151</v>
      </c>
      <c r="F47" s="29" t="s">
        <v>152</v>
      </c>
      <c r="G47" s="30" t="s">
        <v>95</v>
      </c>
      <c r="H47" s="30" t="s">
        <v>3</v>
      </c>
      <c r="I47" s="51">
        <f>25.99*1.08</f>
        <v>28.069199999999999</v>
      </c>
    </row>
    <row r="48" spans="1:9" ht="60.75" customHeight="1" x14ac:dyDescent="0.25">
      <c r="B48" s="27" t="s">
        <v>153</v>
      </c>
      <c r="C48" s="29" t="s">
        <v>154</v>
      </c>
      <c r="D48" s="29"/>
      <c r="E48" s="29" t="s">
        <v>155</v>
      </c>
      <c r="F48" s="29" t="s">
        <v>156</v>
      </c>
      <c r="G48" s="30" t="s">
        <v>9</v>
      </c>
      <c r="H48" s="30" t="s">
        <v>3</v>
      </c>
      <c r="I48" s="51">
        <f>47.43*1.08</f>
        <v>51.224400000000003</v>
      </c>
    </row>
    <row r="49" spans="2:9" ht="60.75" customHeight="1" x14ac:dyDescent="0.25">
      <c r="B49" s="27" t="s">
        <v>157</v>
      </c>
      <c r="C49" s="29" t="s">
        <v>158</v>
      </c>
      <c r="D49" s="29"/>
      <c r="E49" s="29"/>
      <c r="F49" s="29"/>
      <c r="G49" s="30" t="s">
        <v>49</v>
      </c>
      <c r="H49" s="30" t="s">
        <v>3</v>
      </c>
      <c r="I49" s="51">
        <f>189.05*1.08</f>
        <v>204.17400000000004</v>
      </c>
    </row>
    <row r="50" spans="2:9" ht="94.5" customHeight="1" x14ac:dyDescent="0.25">
      <c r="B50" s="27" t="s">
        <v>159</v>
      </c>
      <c r="C50" s="29" t="s">
        <v>160</v>
      </c>
      <c r="D50" s="29"/>
      <c r="E50" s="29" t="s">
        <v>161</v>
      </c>
      <c r="F50" s="29" t="s">
        <v>162</v>
      </c>
      <c r="G50" s="30" t="s">
        <v>45</v>
      </c>
      <c r="H50" s="30" t="s">
        <v>163</v>
      </c>
      <c r="I50" s="51">
        <v>2</v>
      </c>
    </row>
    <row r="51" spans="2:9" ht="60.75" customHeight="1" x14ac:dyDescent="0.25">
      <c r="B51" s="27" t="s">
        <v>164</v>
      </c>
      <c r="C51" s="28" t="s">
        <v>165</v>
      </c>
      <c r="D51" s="29"/>
      <c r="E51" s="29" t="s">
        <v>166</v>
      </c>
      <c r="F51" s="29" t="s">
        <v>167</v>
      </c>
      <c r="G51" s="30" t="s">
        <v>49</v>
      </c>
      <c r="H51" s="30" t="s">
        <v>3</v>
      </c>
      <c r="I51" s="51">
        <f>2.23*1.08</f>
        <v>2.4084000000000003</v>
      </c>
    </row>
    <row r="52" spans="2:9" ht="60.75" customHeight="1" x14ac:dyDescent="0.25">
      <c r="B52" s="27">
        <v>181</v>
      </c>
      <c r="C52" s="28" t="s">
        <v>168</v>
      </c>
      <c r="D52" s="29"/>
      <c r="E52" s="29" t="s">
        <v>169</v>
      </c>
      <c r="F52" s="29" t="s">
        <v>170</v>
      </c>
      <c r="G52" s="30" t="s">
        <v>49</v>
      </c>
      <c r="H52" s="30" t="s">
        <v>3</v>
      </c>
      <c r="I52" s="51">
        <v>2.5099999999999998</v>
      </c>
    </row>
    <row r="53" spans="2:9" ht="60.75" customHeight="1" x14ac:dyDescent="0.25">
      <c r="B53" s="27">
        <v>182</v>
      </c>
      <c r="C53" s="28" t="s">
        <v>171</v>
      </c>
      <c r="D53" s="29"/>
      <c r="E53" s="29" t="s">
        <v>172</v>
      </c>
      <c r="F53" s="29" t="s">
        <v>173</v>
      </c>
      <c r="G53" s="30" t="s">
        <v>49</v>
      </c>
      <c r="H53" s="30" t="s">
        <v>3</v>
      </c>
      <c r="I53" s="51">
        <f>1.49*1.08</f>
        <v>1.6092000000000002</v>
      </c>
    </row>
    <row r="54" spans="2:9" ht="60.75" customHeight="1" x14ac:dyDescent="0.25">
      <c r="B54" s="27">
        <v>183</v>
      </c>
      <c r="C54" s="29" t="s">
        <v>174</v>
      </c>
      <c r="D54" s="29"/>
      <c r="E54" s="29" t="s">
        <v>175</v>
      </c>
      <c r="F54" s="29" t="s">
        <v>176</v>
      </c>
      <c r="G54" s="30" t="s">
        <v>49</v>
      </c>
      <c r="H54" s="30" t="s">
        <v>3</v>
      </c>
      <c r="I54" s="51">
        <f>3.27*1.08</f>
        <v>3.5316000000000001</v>
      </c>
    </row>
    <row r="55" spans="2:9" ht="60.75" customHeight="1" x14ac:dyDescent="0.25">
      <c r="B55" s="27">
        <v>188</v>
      </c>
      <c r="C55" s="28" t="s">
        <v>177</v>
      </c>
      <c r="D55" s="29"/>
      <c r="E55" s="29" t="s">
        <v>178</v>
      </c>
      <c r="F55" s="29" t="s">
        <v>179</v>
      </c>
      <c r="G55" s="30" t="s">
        <v>95</v>
      </c>
      <c r="H55" s="30" t="s">
        <v>3</v>
      </c>
      <c r="I55" s="51">
        <f>7.59*1.08/12</f>
        <v>0.68310000000000004</v>
      </c>
    </row>
    <row r="56" spans="2:9" ht="60.75" customHeight="1" x14ac:dyDescent="0.25">
      <c r="B56" s="27" t="s">
        <v>180</v>
      </c>
      <c r="C56" s="29" t="s">
        <v>181</v>
      </c>
      <c r="D56" s="29"/>
      <c r="E56" s="29" t="s">
        <v>182</v>
      </c>
      <c r="F56" s="29" t="s">
        <v>183</v>
      </c>
      <c r="G56" s="30" t="s">
        <v>95</v>
      </c>
      <c r="H56" s="30" t="s">
        <v>3</v>
      </c>
      <c r="I56" s="51">
        <f>24*1.08</f>
        <v>25.92</v>
      </c>
    </row>
    <row r="57" spans="2:9" ht="60.75" customHeight="1" x14ac:dyDescent="0.25">
      <c r="B57" s="27" t="s">
        <v>184</v>
      </c>
      <c r="C57" s="29" t="s">
        <v>185</v>
      </c>
      <c r="D57" s="29"/>
      <c r="E57" s="29" t="s">
        <v>186</v>
      </c>
      <c r="F57" s="29">
        <v>974446</v>
      </c>
      <c r="G57" s="30" t="s">
        <v>49</v>
      </c>
      <c r="H57" s="30" t="s">
        <v>3</v>
      </c>
      <c r="I57" s="51">
        <f>15.27*1.08</f>
        <v>16.491600000000002</v>
      </c>
    </row>
    <row r="58" spans="2:9" ht="60.75" customHeight="1" x14ac:dyDescent="0.25">
      <c r="B58" s="27" t="s">
        <v>187</v>
      </c>
      <c r="C58" s="29" t="s">
        <v>188</v>
      </c>
      <c r="D58" s="29"/>
      <c r="E58" s="29" t="s">
        <v>189</v>
      </c>
      <c r="F58" s="29" t="s">
        <v>190</v>
      </c>
      <c r="G58" s="30"/>
      <c r="H58" s="30" t="s">
        <v>40</v>
      </c>
      <c r="I58" s="51">
        <v>4.3</v>
      </c>
    </row>
    <row r="59" spans="2:9" ht="60.75" customHeight="1" x14ac:dyDescent="0.25">
      <c r="B59" s="27" t="s">
        <v>191</v>
      </c>
      <c r="C59" s="29" t="s">
        <v>192</v>
      </c>
      <c r="D59" s="29"/>
      <c r="E59" s="29" t="s">
        <v>193</v>
      </c>
      <c r="F59" s="29" t="s">
        <v>194</v>
      </c>
      <c r="G59" s="30" t="s">
        <v>195</v>
      </c>
      <c r="H59" s="30" t="s">
        <v>40</v>
      </c>
      <c r="I59" s="51">
        <v>4.6100000000000003</v>
      </c>
    </row>
    <row r="60" spans="2:9" ht="60.75" customHeight="1" x14ac:dyDescent="0.25">
      <c r="B60" s="27" t="s">
        <v>196</v>
      </c>
      <c r="C60" s="29" t="s">
        <v>192</v>
      </c>
      <c r="D60" s="29"/>
      <c r="E60" s="29" t="s">
        <v>197</v>
      </c>
      <c r="F60" s="29" t="s">
        <v>198</v>
      </c>
      <c r="G60" s="30" t="s">
        <v>195</v>
      </c>
      <c r="H60" s="30" t="s">
        <v>40</v>
      </c>
      <c r="I60" s="51">
        <v>4.5599999999999996</v>
      </c>
    </row>
    <row r="61" spans="2:9" ht="60.75" customHeight="1" x14ac:dyDescent="0.25">
      <c r="B61" s="27" t="s">
        <v>199</v>
      </c>
      <c r="C61" s="29" t="s">
        <v>192</v>
      </c>
      <c r="D61" s="29"/>
      <c r="E61" s="29" t="s">
        <v>200</v>
      </c>
      <c r="F61" s="29" t="s">
        <v>201</v>
      </c>
      <c r="G61" s="30" t="s">
        <v>195</v>
      </c>
      <c r="H61" s="30" t="s">
        <v>40</v>
      </c>
      <c r="I61" s="51">
        <v>4.7300000000000004</v>
      </c>
    </row>
    <row r="62" spans="2:9" x14ac:dyDescent="0.25">
      <c r="I62" s="54"/>
    </row>
    <row r="64" spans="2:9" x14ac:dyDescent="0.25">
      <c r="I64" s="55"/>
    </row>
  </sheetData>
  <phoneticPr fontId="6" type="noConversion"/>
  <hyperlinks>
    <hyperlink ref="F32" r:id="rId1" xr:uid="{B683DDBB-36C5-4190-A536-01481022A622}"/>
    <hyperlink ref="F36" r:id="rId2" xr:uid="{ED6ECF3C-FB80-4117-A710-22A487F19CED}"/>
    <hyperlink ref="F37" r:id="rId3" display="https://www.amazon.com/gp/product/B08S3C3ZQ6/ref=ppx_yo_dt_b_asin_title_o03_s01?ie=UTF8&amp;psc=1" xr:uid="{D403A464-2F5C-4B1B-B80B-A2277A57C96B}"/>
    <hyperlink ref="F39" r:id="rId4" display="https://www.amazon.com/gp/product/B08S3C3ZQ6/ref=ppx_yo_dt_b_asin_title_o03_s01?ie=UTF8&amp;psc=1" xr:uid="{05423657-3057-4AFD-8762-82529F4739AE}"/>
    <hyperlink ref="F41" r:id="rId5" xr:uid="{BCA3E91D-D8E4-40E9-9554-D8E6A27580DD}"/>
    <hyperlink ref="F46" r:id="rId6" xr:uid="{122AD711-9040-4983-B4A7-938F71FF7AB8}"/>
    <hyperlink ref="F47" r:id="rId7" display="https://www.amazon.com/-/es/DEGULAS-accesorios-toallero-pulgadas-higi%C3%A9nico/dp/B097B1YKSB/ref=sr_1_1?__mk_es_US=%C3%85M%C3%85%C5%BD%C3%95%C3%91&amp;crid=MFTCSZALMKIM&amp;keywords=Towel%2BKit%2BBlack%2BMatte&amp;qid=1694032501&amp;sprefix=towel%2Bkit%2Bblack%2Bmatte%2Caps%2C254&amp;sr=8-1&amp;th=1" xr:uid="{6930E0E0-0CC9-4C8C-B808-27223A5B34CD}"/>
    <hyperlink ref="F48" r:id="rId8" xr:uid="{ADCDC6BE-1ECC-47A7-98CE-A091127BD047}"/>
    <hyperlink ref="F56" r:id="rId9" xr:uid="{DF346140-C3EB-4587-A404-623E7ECD082A}"/>
    <hyperlink ref="F55" r:id="rId10" xr:uid="{1FE2C68D-74F9-46D8-8F9F-AD4B5B675434}"/>
    <hyperlink ref="F35" r:id="rId11" xr:uid="{B288423F-F7E8-4CE9-84E4-3FF3316D6BBB}"/>
    <hyperlink ref="F9" r:id="rId12" display="https://www.homedepot.com/p/American-Craftsman-35-75-in-x-61-25-in-70-Pro-Series-Low-E-Argon-Glass-Double-Hung-White-Vinyl-Replacement-Window-Screen-Incl-3662786/204814634" xr:uid="{E31A23BD-543F-48F7-87FD-BE9D4EA0BFFB}"/>
    <hyperlink ref="F10" r:id="rId13" display="https://www.homedepot.com/p/JELD-WEN-35-5-in-x-23-5-in-V-4500-Series-White-Vinyl-Picture-Window-w-Low-E-366-Glass-THDJW142100086/205807122" xr:uid="{BB217B41-F9D7-4CA7-B90B-066D9490449C}"/>
    <hyperlink ref="F11" r:id="rId14" display="https://www.homedepot.com/p/Air-Master-Windows-and-Doors-24-in-x-25-5-in-in-Master-View-Louver-Awning-Aluminum-Window-in-White-91057/205503324" xr:uid="{13E13CFB-F7A5-4BAA-BE23-DEC1DFD987A5}"/>
    <hyperlink ref="F22" r:id="rId15" xr:uid="{2DF82D73-78A7-44F6-B013-88E80D0F835A}"/>
  </hyperlinks>
  <pageMargins left="0.7" right="0.7" top="0.75" bottom="0.75" header="0.3" footer="0.3"/>
  <pageSetup paperSize="9" orientation="portrait" r:id="rId16"/>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75B5C-A67A-4AF5-B573-116896F89B2E}">
  <dimension ref="B1:V95"/>
  <sheetViews>
    <sheetView showGridLines="0" workbookViewId="0">
      <pane ySplit="2" topLeftCell="A3" activePane="bottomLeft" state="frozen"/>
      <selection pane="bottomLeft" activeCell="C11" sqref="C11"/>
    </sheetView>
    <sheetView topLeftCell="A3" workbookViewId="1">
      <selection activeCell="I87" sqref="I87"/>
    </sheetView>
  </sheetViews>
  <sheetFormatPr baseColWidth="10" defaultColWidth="11.42578125" defaultRowHeight="15" x14ac:dyDescent="0.25"/>
  <cols>
    <col min="2" max="2" width="46.5703125" bestFit="1" customWidth="1"/>
    <col min="5" max="5" width="12" style="11" bestFit="1" customWidth="1"/>
    <col min="6" max="6" width="11.85546875" style="63" bestFit="1" customWidth="1"/>
    <col min="8" max="8" width="28.85546875" bestFit="1" customWidth="1"/>
    <col min="9" max="9" width="9.140625" bestFit="1" customWidth="1"/>
    <col min="10" max="10" width="4.5703125" bestFit="1" customWidth="1"/>
    <col min="11" max="11" width="9.42578125" hidden="1" customWidth="1"/>
    <col min="12" max="13" width="5.7109375" customWidth="1"/>
    <col min="14" max="14" width="10" customWidth="1"/>
    <col min="15" max="15" width="7.140625" bestFit="1" customWidth="1"/>
    <col min="16" max="16" width="4.85546875" customWidth="1"/>
    <col min="17" max="17" width="6.85546875" customWidth="1"/>
    <col min="18" max="18" width="13.42578125" bestFit="1" customWidth="1"/>
    <col min="20" max="20" width="21.7109375" bestFit="1" customWidth="1"/>
    <col min="21" max="21" width="9" customWidth="1"/>
  </cols>
  <sheetData>
    <row r="1" spans="2:22" x14ac:dyDescent="0.25">
      <c r="E1" s="106" t="s">
        <v>321</v>
      </c>
      <c r="F1" s="110">
        <v>625</v>
      </c>
      <c r="K1" t="s">
        <v>430</v>
      </c>
      <c r="N1" s="106"/>
      <c r="O1" s="107"/>
      <c r="P1" s="107"/>
      <c r="Q1" s="107"/>
      <c r="R1" s="107"/>
      <c r="T1" s="87" t="s">
        <v>431</v>
      </c>
      <c r="U1" s="57">
        <v>29</v>
      </c>
    </row>
    <row r="2" spans="2:22" ht="36.75" x14ac:dyDescent="0.25">
      <c r="B2" s="58" t="s">
        <v>322</v>
      </c>
      <c r="C2" s="58" t="s">
        <v>323</v>
      </c>
      <c r="D2" s="58" t="s">
        <v>324</v>
      </c>
      <c r="E2" s="59" t="s">
        <v>325</v>
      </c>
      <c r="F2" s="64" t="s">
        <v>326</v>
      </c>
      <c r="H2" s="119" t="s">
        <v>322</v>
      </c>
      <c r="I2" s="119" t="s">
        <v>323</v>
      </c>
      <c r="J2" s="119" t="s">
        <v>324</v>
      </c>
      <c r="K2" s="119" t="s">
        <v>432</v>
      </c>
      <c r="L2" s="119" t="s">
        <v>412</v>
      </c>
      <c r="M2" s="119" t="s">
        <v>433</v>
      </c>
      <c r="N2" s="120" t="s">
        <v>414</v>
      </c>
      <c r="O2" s="121" t="s">
        <v>415</v>
      </c>
      <c r="P2" s="121" t="s">
        <v>416</v>
      </c>
      <c r="Q2" s="121" t="s">
        <v>417</v>
      </c>
      <c r="R2" s="122" t="s">
        <v>326</v>
      </c>
      <c r="U2" s="57"/>
    </row>
    <row r="3" spans="2:22" x14ac:dyDescent="0.25">
      <c r="B3" s="47" t="s">
        <v>217</v>
      </c>
      <c r="C3" s="47"/>
      <c r="D3" s="47"/>
      <c r="E3" s="47"/>
      <c r="F3" s="65"/>
      <c r="H3" s="123" t="s">
        <v>217</v>
      </c>
      <c r="I3" s="123"/>
      <c r="J3" s="123"/>
      <c r="K3" s="123"/>
      <c r="L3" s="123"/>
      <c r="M3" s="123"/>
      <c r="N3" s="123"/>
      <c r="O3" s="123"/>
      <c r="P3" s="123"/>
      <c r="Q3" s="123"/>
      <c r="R3" s="124"/>
      <c r="U3" s="57"/>
    </row>
    <row r="4" spans="2:22" x14ac:dyDescent="0.25">
      <c r="B4" s="48" t="s">
        <v>221</v>
      </c>
      <c r="C4" s="48"/>
      <c r="D4" s="48"/>
      <c r="E4" s="48"/>
      <c r="F4" s="66"/>
      <c r="H4" s="125" t="s">
        <v>221</v>
      </c>
      <c r="I4" s="125"/>
      <c r="J4" s="125"/>
      <c r="K4" s="125"/>
      <c r="L4" s="125"/>
      <c r="M4" s="125"/>
      <c r="N4" s="125"/>
      <c r="O4" s="125"/>
      <c r="P4" s="125"/>
      <c r="Q4" s="125"/>
      <c r="R4" s="126">
        <f>+SUM(R6:R10)</f>
        <v>7083.05</v>
      </c>
      <c r="U4" s="91" t="s">
        <v>434</v>
      </c>
      <c r="V4" s="92" t="s">
        <v>435</v>
      </c>
    </row>
    <row r="5" spans="2:22" x14ac:dyDescent="0.25">
      <c r="B5" s="49" t="s">
        <v>327</v>
      </c>
      <c r="C5" s="57">
        <f>+(50+30+30+25+37+13)*10</f>
        <v>1850</v>
      </c>
      <c r="D5" t="s">
        <v>40</v>
      </c>
      <c r="E5" s="11">
        <v>3</v>
      </c>
      <c r="F5" s="108">
        <f>+C5*E5</f>
        <v>5550</v>
      </c>
      <c r="H5" s="127" t="s">
        <v>328</v>
      </c>
      <c r="I5" s="128">
        <f>+'HOUSE EST MODEL 3'!$C$5</f>
        <v>1850</v>
      </c>
      <c r="J5" s="128" t="s">
        <v>40</v>
      </c>
      <c r="K5" s="128"/>
      <c r="L5" s="128"/>
      <c r="M5" s="129"/>
      <c r="N5" s="130"/>
      <c r="O5" s="118"/>
      <c r="P5" s="118"/>
      <c r="Q5" s="118"/>
      <c r="R5" s="153"/>
      <c r="T5" s="88" t="str">
        <f>+H5</f>
        <v>Framing Labor</v>
      </c>
      <c r="U5" s="57"/>
    </row>
    <row r="6" spans="2:22" x14ac:dyDescent="0.25">
      <c r="B6" s="49" t="s">
        <v>329</v>
      </c>
      <c r="C6" s="87">
        <f>+F1</f>
        <v>625</v>
      </c>
      <c r="D6" t="s">
        <v>40</v>
      </c>
      <c r="E6" s="11">
        <v>3</v>
      </c>
      <c r="F6" s="108">
        <f t="shared" ref="F6" si="0">+C6*E6</f>
        <v>1875</v>
      </c>
      <c r="H6" s="132" t="s">
        <v>420</v>
      </c>
      <c r="I6" s="133">
        <f>+I5</f>
        <v>1850</v>
      </c>
      <c r="J6" s="116" t="s">
        <v>40</v>
      </c>
      <c r="K6" s="134">
        <v>69.25</v>
      </c>
      <c r="L6" s="135">
        <f>+K6/1000</f>
        <v>6.9250000000000006E-2</v>
      </c>
      <c r="M6" s="136">
        <f>+L6*I6</f>
        <v>128.11250000000001</v>
      </c>
      <c r="N6" s="137">
        <v>16</v>
      </c>
      <c r="O6" s="138">
        <v>1</v>
      </c>
      <c r="P6" s="139">
        <f>+M6/O6</f>
        <v>128.11250000000001</v>
      </c>
      <c r="Q6" s="140">
        <f>+P6/160</f>
        <v>0.80070312500000007</v>
      </c>
      <c r="R6" s="154">
        <f>+N6*M6*O6</f>
        <v>2049.8000000000002</v>
      </c>
      <c r="T6" t="str">
        <f>+H6</f>
        <v>Carpenter - Armador</v>
      </c>
      <c r="U6" s="57">
        <f>+P6*$U$1</f>
        <v>3715.2625000000003</v>
      </c>
      <c r="V6" s="72">
        <f>+Q6*$U$1</f>
        <v>23.220390625</v>
      </c>
    </row>
    <row r="7" spans="2:22" x14ac:dyDescent="0.25">
      <c r="B7" s="47" t="s">
        <v>331</v>
      </c>
      <c r="C7" s="47"/>
      <c r="D7" s="47"/>
      <c r="E7" s="47"/>
      <c r="F7" s="65"/>
      <c r="H7" s="132" t="s">
        <v>427</v>
      </c>
      <c r="I7" s="133">
        <f>+I5</f>
        <v>1850</v>
      </c>
      <c r="J7" s="116" t="s">
        <v>40</v>
      </c>
      <c r="K7" s="116">
        <f>+K6</f>
        <v>69.25</v>
      </c>
      <c r="L7" s="135">
        <f>+K7/1000</f>
        <v>6.9250000000000006E-2</v>
      </c>
      <c r="M7" s="136">
        <f>+L7*I7</f>
        <v>128.11250000000001</v>
      </c>
      <c r="N7" s="137">
        <v>10</v>
      </c>
      <c r="O7" s="138">
        <v>1</v>
      </c>
      <c r="P7" s="139">
        <f>+M7/O7</f>
        <v>128.11250000000001</v>
      </c>
      <c r="Q7" s="140">
        <f>+P7/160</f>
        <v>0.80070312500000007</v>
      </c>
      <c r="R7" s="154">
        <f>+N7*M7*O7</f>
        <v>1281.125</v>
      </c>
      <c r="T7" t="str">
        <f t="shared" ref="T7:T70" si="1">+H7</f>
        <v>Helper</v>
      </c>
      <c r="U7" s="57">
        <f>+P7*$U$1</f>
        <v>3715.2625000000003</v>
      </c>
      <c r="V7" s="72">
        <f t="shared" ref="V7:V70" si="2">+Q7*$U$1</f>
        <v>23.220390625</v>
      </c>
    </row>
    <row r="8" spans="2:22" x14ac:dyDescent="0.25">
      <c r="B8" s="48" t="s">
        <v>332</v>
      </c>
      <c r="C8" s="48"/>
      <c r="D8" s="48"/>
      <c r="E8" s="48"/>
      <c r="F8" s="66"/>
      <c r="H8" s="127" t="s">
        <v>330</v>
      </c>
      <c r="I8" s="128">
        <f>+'HOUSE EST MODEL 3'!$C$6</f>
        <v>625</v>
      </c>
      <c r="J8" s="128" t="s">
        <v>40</v>
      </c>
      <c r="K8" s="116"/>
      <c r="L8" s="142"/>
      <c r="M8" s="116"/>
      <c r="N8" s="143"/>
      <c r="O8" s="144"/>
      <c r="P8" s="144"/>
      <c r="Q8" s="144"/>
      <c r="R8" s="153"/>
      <c r="T8" s="88" t="str">
        <f t="shared" si="1"/>
        <v>Roofing labor</v>
      </c>
      <c r="U8" s="57">
        <f t="shared" ref="U8:V71" si="3">+P8*$U$1</f>
        <v>0</v>
      </c>
      <c r="V8" s="72">
        <f t="shared" si="2"/>
        <v>0</v>
      </c>
    </row>
    <row r="9" spans="2:22" x14ac:dyDescent="0.25">
      <c r="B9" s="49" t="s">
        <v>333</v>
      </c>
      <c r="C9" s="57">
        <f>+$F$1</f>
        <v>625</v>
      </c>
      <c r="D9" t="s">
        <v>40</v>
      </c>
      <c r="E9" s="11">
        <f>+SPECS!I12</f>
        <v>2</v>
      </c>
      <c r="F9" s="108">
        <f>+C9*E9</f>
        <v>1250</v>
      </c>
      <c r="H9" s="132" t="s">
        <v>422</v>
      </c>
      <c r="I9" s="133">
        <f>+I8</f>
        <v>625</v>
      </c>
      <c r="J9" s="116" t="s">
        <v>40</v>
      </c>
      <c r="K9" s="134">
        <f>12.6+48+28.8+33+45+45.5+9+9</f>
        <v>230.9</v>
      </c>
      <c r="L9" s="135">
        <f>+K9/1000</f>
        <v>0.23089999999999999</v>
      </c>
      <c r="M9" s="136">
        <f t="shared" ref="M9:M10" si="4">+L9*I9</f>
        <v>144.3125</v>
      </c>
      <c r="N9" s="137">
        <v>16</v>
      </c>
      <c r="O9" s="138">
        <v>1</v>
      </c>
      <c r="P9" s="139">
        <f t="shared" ref="P9:P10" si="5">+M9/O9</f>
        <v>144.3125</v>
      </c>
      <c r="Q9" s="140">
        <f t="shared" ref="Q9:Q10" si="6">+P9/160</f>
        <v>0.90195312500000002</v>
      </c>
      <c r="R9" s="154">
        <f t="shared" ref="R9:R10" si="7">+N9*M9*O9</f>
        <v>2309</v>
      </c>
      <c r="T9" t="str">
        <f t="shared" si="1"/>
        <v>Carpenter</v>
      </c>
      <c r="U9" s="57">
        <f t="shared" si="3"/>
        <v>4185.0625</v>
      </c>
      <c r="V9" s="72">
        <f t="shared" si="2"/>
        <v>26.156640625000001</v>
      </c>
    </row>
    <row r="10" spans="2:22" x14ac:dyDescent="0.25">
      <c r="B10" s="48" t="s">
        <v>231</v>
      </c>
      <c r="C10" s="48"/>
      <c r="D10" s="48"/>
      <c r="E10" s="48"/>
      <c r="F10" s="66"/>
      <c r="H10" s="132" t="s">
        <v>427</v>
      </c>
      <c r="I10" s="133">
        <f>+I8</f>
        <v>625</v>
      </c>
      <c r="J10" s="116" t="s">
        <v>40</v>
      </c>
      <c r="K10" s="116">
        <f>+K9</f>
        <v>230.9</v>
      </c>
      <c r="L10" s="135">
        <f>+K10/1000</f>
        <v>0.23089999999999999</v>
      </c>
      <c r="M10" s="136">
        <f t="shared" si="4"/>
        <v>144.3125</v>
      </c>
      <c r="N10" s="137">
        <v>10</v>
      </c>
      <c r="O10" s="138">
        <v>1</v>
      </c>
      <c r="P10" s="139">
        <f t="shared" si="5"/>
        <v>144.3125</v>
      </c>
      <c r="Q10" s="140">
        <f t="shared" si="6"/>
        <v>0.90195312500000002</v>
      </c>
      <c r="R10" s="154">
        <f t="shared" si="7"/>
        <v>1443.125</v>
      </c>
      <c r="T10" t="str">
        <f t="shared" si="1"/>
        <v>Helper</v>
      </c>
      <c r="U10" s="57">
        <f t="shared" si="3"/>
        <v>4185.0625</v>
      </c>
      <c r="V10" s="72">
        <f t="shared" si="2"/>
        <v>26.156640625000001</v>
      </c>
    </row>
    <row r="11" spans="2:22" x14ac:dyDescent="0.25">
      <c r="B11" s="49" t="s">
        <v>335</v>
      </c>
      <c r="C11">
        <v>5</v>
      </c>
      <c r="D11" s="87" t="s">
        <v>324</v>
      </c>
      <c r="E11" s="11">
        <f>+SPECS!I9</f>
        <v>289</v>
      </c>
      <c r="F11" s="108">
        <f>+C11*E11</f>
        <v>1445</v>
      </c>
      <c r="H11" s="123" t="s">
        <v>331</v>
      </c>
      <c r="I11" s="123"/>
      <c r="J11" s="123"/>
      <c r="K11" s="123"/>
      <c r="L11" s="155"/>
      <c r="M11" s="123"/>
      <c r="N11" s="123"/>
      <c r="O11" s="123"/>
      <c r="P11" s="123"/>
      <c r="Q11" s="123"/>
      <c r="R11" s="124"/>
      <c r="T11" s="90" t="str">
        <f t="shared" si="1"/>
        <v>Exteriors</v>
      </c>
      <c r="U11" s="57">
        <f t="shared" si="3"/>
        <v>0</v>
      </c>
      <c r="V11" s="72">
        <f t="shared" si="2"/>
        <v>0</v>
      </c>
    </row>
    <row r="12" spans="2:22" x14ac:dyDescent="0.25">
      <c r="B12" s="49" t="s">
        <v>336</v>
      </c>
      <c r="C12">
        <v>2</v>
      </c>
      <c r="D12" s="87" t="s">
        <v>324</v>
      </c>
      <c r="E12" s="11">
        <f>+SPECS!I10</f>
        <v>238</v>
      </c>
      <c r="F12" s="108">
        <f>+C12*E12</f>
        <v>476</v>
      </c>
      <c r="H12" s="125" t="s">
        <v>332</v>
      </c>
      <c r="I12" s="125"/>
      <c r="J12" s="125"/>
      <c r="K12" s="125"/>
      <c r="L12" s="156"/>
      <c r="M12" s="125"/>
      <c r="N12" s="125"/>
      <c r="O12" s="125"/>
      <c r="P12" s="125"/>
      <c r="Q12" s="125"/>
      <c r="R12" s="126">
        <f>+R13+R14</f>
        <v>454.99999999999989</v>
      </c>
      <c r="T12" s="89" t="str">
        <f t="shared" si="1"/>
        <v>Roofing Shingles</v>
      </c>
      <c r="U12" s="57">
        <f t="shared" si="3"/>
        <v>0</v>
      </c>
      <c r="V12" s="72">
        <f t="shared" si="2"/>
        <v>0</v>
      </c>
    </row>
    <row r="13" spans="2:22" x14ac:dyDescent="0.25">
      <c r="B13" s="48" t="s">
        <v>234</v>
      </c>
      <c r="C13" s="48"/>
      <c r="D13" s="48"/>
      <c r="E13" s="48"/>
      <c r="F13" s="66"/>
      <c r="H13" s="132" t="s">
        <v>426</v>
      </c>
      <c r="I13" s="136">
        <f>+'HOUSE EST MODEL 3'!$C$9</f>
        <v>625</v>
      </c>
      <c r="J13" s="116" t="s">
        <v>40</v>
      </c>
      <c r="K13" s="134">
        <v>2.8</v>
      </c>
      <c r="L13" s="135">
        <f>+K13/100</f>
        <v>2.7999999999999997E-2</v>
      </c>
      <c r="M13" s="136">
        <f t="shared" ref="M13:M14" si="8">+L13*I13</f>
        <v>17.499999999999996</v>
      </c>
      <c r="N13" s="137">
        <v>16</v>
      </c>
      <c r="O13" s="138">
        <v>1</v>
      </c>
      <c r="P13" s="139">
        <f>+M13/O13</f>
        <v>17.499999999999996</v>
      </c>
      <c r="Q13" s="140">
        <f>+P13/160</f>
        <v>0.10937499999999997</v>
      </c>
      <c r="R13" s="154">
        <f>+N13*M13*O13</f>
        <v>279.99999999999994</v>
      </c>
      <c r="T13" t="str">
        <f t="shared" si="1"/>
        <v>Roofer</v>
      </c>
      <c r="U13" s="57">
        <f t="shared" si="3"/>
        <v>507.49999999999989</v>
      </c>
      <c r="V13" s="72">
        <f t="shared" si="2"/>
        <v>3.1718749999999991</v>
      </c>
    </row>
    <row r="14" spans="2:22" x14ac:dyDescent="0.25">
      <c r="B14" s="49" t="s">
        <v>337</v>
      </c>
      <c r="C14" s="87">
        <f>+(50+30+30+25)*10</f>
        <v>1350</v>
      </c>
      <c r="D14" t="s">
        <v>40</v>
      </c>
      <c r="E14" s="109">
        <v>0.27</v>
      </c>
      <c r="F14" s="108">
        <f>+C14*E14</f>
        <v>364.5</v>
      </c>
      <c r="H14" s="132" t="s">
        <v>427</v>
      </c>
      <c r="I14" s="136">
        <f>+I13</f>
        <v>625</v>
      </c>
      <c r="J14" s="116" t="s">
        <v>40</v>
      </c>
      <c r="K14" s="145">
        <f>+K13</f>
        <v>2.8</v>
      </c>
      <c r="L14" s="135">
        <f>+K14/100</f>
        <v>2.7999999999999997E-2</v>
      </c>
      <c r="M14" s="136">
        <f t="shared" si="8"/>
        <v>17.499999999999996</v>
      </c>
      <c r="N14" s="137">
        <v>10</v>
      </c>
      <c r="O14" s="138">
        <v>1</v>
      </c>
      <c r="P14" s="139">
        <f>+M14/O14</f>
        <v>17.499999999999996</v>
      </c>
      <c r="Q14" s="140">
        <f>+P14/160</f>
        <v>0.10937499999999997</v>
      </c>
      <c r="R14" s="154">
        <f>+N14*M14*O14</f>
        <v>174.99999999999997</v>
      </c>
      <c r="T14" t="str">
        <f t="shared" si="1"/>
        <v>Helper</v>
      </c>
      <c r="U14" s="57">
        <f t="shared" si="3"/>
        <v>507.49999999999989</v>
      </c>
      <c r="V14" s="72">
        <f t="shared" si="2"/>
        <v>3.1718749999999991</v>
      </c>
    </row>
    <row r="15" spans="2:22" x14ac:dyDescent="0.25">
      <c r="B15" s="49" t="s">
        <v>338</v>
      </c>
      <c r="C15" s="87">
        <f>+C14</f>
        <v>1350</v>
      </c>
      <c r="D15" t="s">
        <v>40</v>
      </c>
      <c r="E15" s="109">
        <v>2.5</v>
      </c>
      <c r="F15" s="108">
        <f>+C15*E15</f>
        <v>3375</v>
      </c>
      <c r="G15" s="87" t="s">
        <v>339</v>
      </c>
      <c r="H15" s="125" t="s">
        <v>231</v>
      </c>
      <c r="I15" s="125"/>
      <c r="J15" s="125"/>
      <c r="K15" s="125"/>
      <c r="L15" s="125"/>
      <c r="M15" s="125"/>
      <c r="N15" s="125"/>
      <c r="O15" s="125"/>
      <c r="P15" s="125"/>
      <c r="Q15" s="125"/>
      <c r="R15" s="126">
        <f>+R16+R17</f>
        <v>182</v>
      </c>
      <c r="T15" s="89" t="str">
        <f t="shared" si="1"/>
        <v>Windows</v>
      </c>
      <c r="U15" s="57">
        <f t="shared" si="3"/>
        <v>0</v>
      </c>
      <c r="V15" s="72">
        <f t="shared" si="2"/>
        <v>0</v>
      </c>
    </row>
    <row r="16" spans="2:22" x14ac:dyDescent="0.25">
      <c r="B16" s="48" t="s">
        <v>340</v>
      </c>
      <c r="C16" s="48"/>
      <c r="D16" s="48"/>
      <c r="E16" s="48"/>
      <c r="F16" s="66"/>
      <c r="H16" s="132" t="s">
        <v>421</v>
      </c>
      <c r="I16" s="116">
        <f>+'HOUSE EST MODEL 3'!$C$11+'HOUSE EST MODEL 3'!$C$12</f>
        <v>7</v>
      </c>
      <c r="J16" s="133" t="s">
        <v>324</v>
      </c>
      <c r="K16" s="133"/>
      <c r="L16" s="133">
        <v>1</v>
      </c>
      <c r="M16" s="136">
        <f t="shared" ref="M16:M17" si="9">+L16*I16</f>
        <v>7</v>
      </c>
      <c r="N16" s="137">
        <v>16</v>
      </c>
      <c r="O16" s="138">
        <v>1</v>
      </c>
      <c r="P16" s="139">
        <f>+M16/O16</f>
        <v>7</v>
      </c>
      <c r="Q16" s="140">
        <f>+P16/160</f>
        <v>4.3749999999999997E-2</v>
      </c>
      <c r="R16" s="154">
        <f>+N16*M16*O16</f>
        <v>112</v>
      </c>
      <c r="T16" t="str">
        <f t="shared" si="1"/>
        <v>Laborer</v>
      </c>
      <c r="U16" s="57">
        <f t="shared" si="3"/>
        <v>203</v>
      </c>
      <c r="V16" s="72">
        <f t="shared" si="2"/>
        <v>1.2687499999999998</v>
      </c>
    </row>
    <row r="17" spans="2:22" x14ac:dyDescent="0.25">
      <c r="B17" s="49" t="s">
        <v>341</v>
      </c>
      <c r="C17">
        <v>117</v>
      </c>
      <c r="D17" s="87" t="s">
        <v>163</v>
      </c>
      <c r="E17" s="11">
        <f>+SPECS!I50</f>
        <v>2</v>
      </c>
      <c r="F17" s="108">
        <f>+C17*E17</f>
        <v>234</v>
      </c>
      <c r="H17" s="132" t="s">
        <v>427</v>
      </c>
      <c r="I17" s="116">
        <f>+I16</f>
        <v>7</v>
      </c>
      <c r="J17" s="133" t="s">
        <v>324</v>
      </c>
      <c r="K17" s="133"/>
      <c r="L17" s="133">
        <v>1</v>
      </c>
      <c r="M17" s="136">
        <f t="shared" si="9"/>
        <v>7</v>
      </c>
      <c r="N17" s="137">
        <v>10</v>
      </c>
      <c r="O17" s="138">
        <v>1</v>
      </c>
      <c r="P17" s="139">
        <f>+M17/O17</f>
        <v>7</v>
      </c>
      <c r="Q17" s="140">
        <f>+P17/160</f>
        <v>4.3749999999999997E-2</v>
      </c>
      <c r="R17" s="154">
        <f>+N17*M17*O17</f>
        <v>70</v>
      </c>
      <c r="T17" t="str">
        <f t="shared" si="1"/>
        <v>Helper</v>
      </c>
      <c r="U17" s="57">
        <f t="shared" si="3"/>
        <v>203</v>
      </c>
      <c r="V17" s="72">
        <f t="shared" si="2"/>
        <v>1.2687499999999998</v>
      </c>
    </row>
    <row r="18" spans="2:22" x14ac:dyDescent="0.25">
      <c r="B18" s="49" t="s">
        <v>342</v>
      </c>
      <c r="C18">
        <v>135</v>
      </c>
      <c r="D18" s="87" t="s">
        <v>163</v>
      </c>
      <c r="E18" s="11">
        <v>4</v>
      </c>
      <c r="F18" s="108">
        <f>+C18*E18</f>
        <v>540</v>
      </c>
      <c r="H18" s="125" t="s">
        <v>234</v>
      </c>
      <c r="I18" s="125"/>
      <c r="J18" s="125"/>
      <c r="K18" s="125"/>
      <c r="L18" s="125"/>
      <c r="M18" s="125"/>
      <c r="N18" s="125"/>
      <c r="O18" s="125"/>
      <c r="P18" s="125"/>
      <c r="Q18" s="125"/>
      <c r="R18" s="126">
        <f>+R19+R20</f>
        <v>1474.2</v>
      </c>
      <c r="T18" s="89" t="str">
        <f t="shared" si="1"/>
        <v>Siding</v>
      </c>
      <c r="U18" s="57">
        <f t="shared" si="3"/>
        <v>0</v>
      </c>
      <c r="V18" s="72">
        <f t="shared" si="2"/>
        <v>0</v>
      </c>
    </row>
    <row r="19" spans="2:22" x14ac:dyDescent="0.25">
      <c r="B19" s="48" t="s">
        <v>343</v>
      </c>
      <c r="C19" s="48"/>
      <c r="D19" s="48"/>
      <c r="E19" s="48"/>
      <c r="F19" s="66"/>
      <c r="H19" s="132" t="s">
        <v>421</v>
      </c>
      <c r="I19" s="136">
        <f>+'HOUSE EST MODEL 3'!$C$14</f>
        <v>1350</v>
      </c>
      <c r="J19" s="116" t="s">
        <v>40</v>
      </c>
      <c r="K19" s="134">
        <v>4.2</v>
      </c>
      <c r="L19" s="135">
        <f>+K19/100</f>
        <v>4.2000000000000003E-2</v>
      </c>
      <c r="M19" s="136">
        <f t="shared" ref="M19:M20" si="10">+L19*I19</f>
        <v>56.7</v>
      </c>
      <c r="N19" s="137">
        <v>16</v>
      </c>
      <c r="O19" s="138">
        <v>1</v>
      </c>
      <c r="P19" s="139">
        <f>+M19/O19</f>
        <v>56.7</v>
      </c>
      <c r="Q19" s="140">
        <f>+P19/160</f>
        <v>0.354375</v>
      </c>
      <c r="R19" s="154">
        <f>+N19*M19*O19</f>
        <v>907.2</v>
      </c>
      <c r="T19" t="str">
        <f t="shared" si="1"/>
        <v>Laborer</v>
      </c>
      <c r="U19" s="57">
        <f t="shared" si="3"/>
        <v>1644.3000000000002</v>
      </c>
      <c r="V19" s="72">
        <f t="shared" si="2"/>
        <v>10.276875</v>
      </c>
    </row>
    <row r="20" spans="2:22" x14ac:dyDescent="0.25">
      <c r="B20" s="49" t="s">
        <v>344</v>
      </c>
      <c r="C20">
        <v>1</v>
      </c>
      <c r="D20" s="87" t="s">
        <v>324</v>
      </c>
      <c r="E20" s="11">
        <f>+SPECS!I7</f>
        <v>421.20000000000005</v>
      </c>
      <c r="F20" s="108">
        <f>+C20*E20</f>
        <v>421.20000000000005</v>
      </c>
      <c r="H20" s="132" t="s">
        <v>427</v>
      </c>
      <c r="I20" s="136">
        <f>+I19</f>
        <v>1350</v>
      </c>
      <c r="J20" s="116" t="s">
        <v>40</v>
      </c>
      <c r="K20" s="145">
        <f>+K19</f>
        <v>4.2</v>
      </c>
      <c r="L20" s="135">
        <f>+K20/100</f>
        <v>4.2000000000000003E-2</v>
      </c>
      <c r="M20" s="136">
        <f t="shared" si="10"/>
        <v>56.7</v>
      </c>
      <c r="N20" s="137">
        <v>10</v>
      </c>
      <c r="O20" s="138">
        <v>1</v>
      </c>
      <c r="P20" s="139">
        <f>+M20/O20</f>
        <v>56.7</v>
      </c>
      <c r="Q20" s="140">
        <f>+P20/160</f>
        <v>0.354375</v>
      </c>
      <c r="R20" s="154">
        <f>+N20*M20*O20</f>
        <v>567</v>
      </c>
      <c r="T20" t="str">
        <f t="shared" si="1"/>
        <v>Helper</v>
      </c>
      <c r="U20" s="57">
        <f t="shared" si="3"/>
        <v>1644.3000000000002</v>
      </c>
      <c r="V20" s="72">
        <f t="shared" si="2"/>
        <v>10.276875</v>
      </c>
    </row>
    <row r="21" spans="2:22" x14ac:dyDescent="0.25">
      <c r="B21" s="48" t="s">
        <v>242</v>
      </c>
      <c r="C21" s="48"/>
      <c r="D21" s="48"/>
      <c r="E21" s="48"/>
      <c r="F21" s="66"/>
      <c r="H21" s="125" t="s">
        <v>340</v>
      </c>
      <c r="I21" s="125"/>
      <c r="J21" s="125"/>
      <c r="K21" s="125"/>
      <c r="L21" s="125"/>
      <c r="M21" s="125"/>
      <c r="N21" s="125"/>
      <c r="O21" s="125"/>
      <c r="P21" s="125"/>
      <c r="Q21" s="125"/>
      <c r="R21" s="126">
        <f>+R22+R23</f>
        <v>445.53600000000006</v>
      </c>
      <c r="T21" s="89" t="str">
        <f t="shared" si="1"/>
        <v>Exterior Trim</v>
      </c>
      <c r="U21" s="57">
        <f t="shared" si="3"/>
        <v>0</v>
      </c>
      <c r="V21" s="72">
        <f t="shared" si="2"/>
        <v>0</v>
      </c>
    </row>
    <row r="22" spans="2:22" x14ac:dyDescent="0.25">
      <c r="B22" s="49" t="s">
        <v>345</v>
      </c>
      <c r="C22">
        <v>135</v>
      </c>
      <c r="D22" s="87" t="s">
        <v>163</v>
      </c>
      <c r="E22" s="11">
        <v>5</v>
      </c>
      <c r="F22" s="108">
        <f>+C22*E22</f>
        <v>675</v>
      </c>
      <c r="H22" s="132" t="s">
        <v>421</v>
      </c>
      <c r="I22" s="116">
        <f>+'HOUSE EST MODEL 3'!$C$17+'HOUSE EST MODEL 3'!$C$18</f>
        <v>252</v>
      </c>
      <c r="J22" s="133" t="s">
        <v>163</v>
      </c>
      <c r="K22" s="134">
        <v>6.8</v>
      </c>
      <c r="L22" s="135">
        <f>+K22/100</f>
        <v>6.8000000000000005E-2</v>
      </c>
      <c r="M22" s="136">
        <f t="shared" ref="M22:M23" si="11">+L22*I22</f>
        <v>17.136000000000003</v>
      </c>
      <c r="N22" s="137">
        <v>16</v>
      </c>
      <c r="O22" s="138">
        <v>1</v>
      </c>
      <c r="P22" s="139">
        <f>+M22/O22</f>
        <v>17.136000000000003</v>
      </c>
      <c r="Q22" s="140">
        <f>+P22/160</f>
        <v>0.10710000000000001</v>
      </c>
      <c r="R22" s="154">
        <f>+N22*M22*O22</f>
        <v>274.17600000000004</v>
      </c>
      <c r="T22" t="str">
        <f t="shared" si="1"/>
        <v>Laborer</v>
      </c>
      <c r="U22" s="57">
        <f t="shared" si="3"/>
        <v>496.94400000000007</v>
      </c>
      <c r="V22" s="72">
        <f t="shared" si="2"/>
        <v>3.1059000000000005</v>
      </c>
    </row>
    <row r="23" spans="2:22" x14ac:dyDescent="0.25">
      <c r="B23" s="49" t="s">
        <v>346</v>
      </c>
      <c r="C23">
        <v>40</v>
      </c>
      <c r="D23" s="87" t="s">
        <v>163</v>
      </c>
      <c r="E23" s="11">
        <v>5</v>
      </c>
      <c r="F23" s="108">
        <f t="shared" ref="F23" si="12">+C23*E23</f>
        <v>200</v>
      </c>
      <c r="H23" s="132" t="s">
        <v>427</v>
      </c>
      <c r="I23" s="116">
        <f>+I22</f>
        <v>252</v>
      </c>
      <c r="J23" s="133" t="s">
        <v>163</v>
      </c>
      <c r="K23" s="145">
        <f>+K22</f>
        <v>6.8</v>
      </c>
      <c r="L23" s="135">
        <f>+K23/100</f>
        <v>6.8000000000000005E-2</v>
      </c>
      <c r="M23" s="136">
        <f t="shared" si="11"/>
        <v>17.136000000000003</v>
      </c>
      <c r="N23" s="137">
        <v>10</v>
      </c>
      <c r="O23" s="138">
        <v>1</v>
      </c>
      <c r="P23" s="139">
        <f>+M23/O23</f>
        <v>17.136000000000003</v>
      </c>
      <c r="Q23" s="140">
        <f>+P23/160</f>
        <v>0.10710000000000001</v>
      </c>
      <c r="R23" s="154">
        <f>+N23*M23*O23</f>
        <v>171.36</v>
      </c>
      <c r="T23" t="str">
        <f t="shared" si="1"/>
        <v>Helper</v>
      </c>
      <c r="U23" s="57">
        <f t="shared" si="3"/>
        <v>496.94400000000007</v>
      </c>
      <c r="V23" s="72">
        <f t="shared" si="2"/>
        <v>3.1059000000000005</v>
      </c>
    </row>
    <row r="24" spans="2:22" x14ac:dyDescent="0.25">
      <c r="B24" s="47" t="s">
        <v>347</v>
      </c>
      <c r="C24" s="47"/>
      <c r="D24" s="47"/>
      <c r="E24" s="47"/>
      <c r="F24" s="65"/>
      <c r="H24" s="125" t="s">
        <v>343</v>
      </c>
      <c r="I24" s="125"/>
      <c r="J24" s="125"/>
      <c r="K24" s="125"/>
      <c r="L24" s="125"/>
      <c r="M24" s="125"/>
      <c r="N24" s="125"/>
      <c r="O24" s="125"/>
      <c r="P24" s="125"/>
      <c r="Q24" s="125"/>
      <c r="R24" s="126">
        <f>+R25+R26</f>
        <v>72.8</v>
      </c>
      <c r="T24" s="89" t="str">
        <f t="shared" si="1"/>
        <v>Exterior Doors</v>
      </c>
      <c r="U24" s="57">
        <f t="shared" si="3"/>
        <v>0</v>
      </c>
      <c r="V24" s="72">
        <f t="shared" si="2"/>
        <v>0</v>
      </c>
    </row>
    <row r="25" spans="2:22" x14ac:dyDescent="0.25">
      <c r="B25" s="48" t="s">
        <v>348</v>
      </c>
      <c r="C25" s="48"/>
      <c r="D25" s="48"/>
      <c r="E25" s="48"/>
      <c r="F25" s="66"/>
      <c r="H25" s="132" t="s">
        <v>421</v>
      </c>
      <c r="I25" s="116">
        <f>+'HOUSE EST MODEL 3'!$C$20</f>
        <v>1</v>
      </c>
      <c r="J25" s="133" t="s">
        <v>324</v>
      </c>
      <c r="K25" s="133"/>
      <c r="L25" s="133">
        <v>2.8</v>
      </c>
      <c r="M25" s="136">
        <f t="shared" ref="M25:M26" si="13">+L25*I25</f>
        <v>2.8</v>
      </c>
      <c r="N25" s="137">
        <v>16</v>
      </c>
      <c r="O25" s="138">
        <v>1</v>
      </c>
      <c r="P25" s="139">
        <f>+M25/O25</f>
        <v>2.8</v>
      </c>
      <c r="Q25" s="140">
        <f>+P25/160</f>
        <v>1.7499999999999998E-2</v>
      </c>
      <c r="R25" s="154">
        <f>+N25*M25*O25</f>
        <v>44.8</v>
      </c>
      <c r="T25" t="str">
        <f t="shared" si="1"/>
        <v>Laborer</v>
      </c>
      <c r="U25" s="57">
        <f t="shared" si="3"/>
        <v>81.199999999999989</v>
      </c>
      <c r="V25" s="72">
        <f t="shared" si="2"/>
        <v>0.50749999999999995</v>
      </c>
    </row>
    <row r="26" spans="2:22" x14ac:dyDescent="0.25">
      <c r="B26" s="49" t="s">
        <v>349</v>
      </c>
      <c r="C26" s="57">
        <v>70</v>
      </c>
      <c r="D26" s="87" t="s">
        <v>163</v>
      </c>
      <c r="E26" s="11">
        <v>23</v>
      </c>
      <c r="F26" s="108">
        <f t="shared" ref="F26:F32" si="14">+C26*E26</f>
        <v>1610</v>
      </c>
      <c r="G26" s="13"/>
      <c r="H26" s="132" t="s">
        <v>427</v>
      </c>
      <c r="I26" s="116">
        <f>+I25</f>
        <v>1</v>
      </c>
      <c r="J26" s="133" t="s">
        <v>324</v>
      </c>
      <c r="K26" s="133"/>
      <c r="L26" s="133">
        <f>+L25</f>
        <v>2.8</v>
      </c>
      <c r="M26" s="136">
        <f t="shared" si="13"/>
        <v>2.8</v>
      </c>
      <c r="N26" s="137">
        <v>10</v>
      </c>
      <c r="O26" s="138">
        <v>1</v>
      </c>
      <c r="P26" s="139">
        <f>+M26/O26</f>
        <v>2.8</v>
      </c>
      <c r="Q26" s="140">
        <f>+P26/160</f>
        <v>1.7499999999999998E-2</v>
      </c>
      <c r="R26" s="154">
        <f>+N26*M26*O26</f>
        <v>28</v>
      </c>
      <c r="T26" t="str">
        <f t="shared" si="1"/>
        <v>Helper</v>
      </c>
      <c r="U26" s="57">
        <f t="shared" si="3"/>
        <v>81.199999999999989</v>
      </c>
      <c r="V26" s="72">
        <f t="shared" si="2"/>
        <v>0.50749999999999995</v>
      </c>
    </row>
    <row r="27" spans="2:22" x14ac:dyDescent="0.25">
      <c r="B27" s="49" t="s">
        <v>350</v>
      </c>
      <c r="C27" s="57">
        <f>+C26</f>
        <v>70</v>
      </c>
      <c r="D27" s="87" t="s">
        <v>163</v>
      </c>
      <c r="E27" s="11">
        <v>38</v>
      </c>
      <c r="F27" s="108">
        <f t="shared" si="14"/>
        <v>2660</v>
      </c>
      <c r="G27" s="13"/>
      <c r="H27" s="125" t="s">
        <v>242</v>
      </c>
      <c r="I27" s="125"/>
      <c r="J27" s="125"/>
      <c r="K27" s="125"/>
      <c r="L27" s="125"/>
      <c r="M27" s="125"/>
      <c r="N27" s="125"/>
      <c r="O27" s="125"/>
      <c r="P27" s="125"/>
      <c r="Q27" s="125"/>
      <c r="R27" s="126">
        <f>+R28+R29</f>
        <v>151.66666666666666</v>
      </c>
      <c r="T27" s="89" t="str">
        <f t="shared" si="1"/>
        <v>Gutters</v>
      </c>
      <c r="U27" s="57">
        <f t="shared" si="3"/>
        <v>0</v>
      </c>
      <c r="V27" s="72">
        <f t="shared" si="2"/>
        <v>0</v>
      </c>
    </row>
    <row r="28" spans="2:22" x14ac:dyDescent="0.25">
      <c r="B28" s="49" t="s">
        <v>351</v>
      </c>
      <c r="C28">
        <v>1</v>
      </c>
      <c r="D28" s="87" t="s">
        <v>324</v>
      </c>
      <c r="E28" s="11">
        <v>625</v>
      </c>
      <c r="F28" s="108">
        <f t="shared" si="14"/>
        <v>625</v>
      </c>
      <c r="H28" s="132" t="s">
        <v>421</v>
      </c>
      <c r="I28" s="116">
        <f>+'HOUSE EST MODEL 3'!$C$22+'HOUSE EST MODEL 3'!$C$23</f>
        <v>175</v>
      </c>
      <c r="J28" s="133" t="s">
        <v>163</v>
      </c>
      <c r="K28" s="133"/>
      <c r="L28" s="146">
        <f>1/30</f>
        <v>3.3333333333333333E-2</v>
      </c>
      <c r="M28" s="136">
        <f t="shared" ref="M28:M29" si="15">+L28*I28</f>
        <v>5.833333333333333</v>
      </c>
      <c r="N28" s="137">
        <v>16</v>
      </c>
      <c r="O28" s="138">
        <v>1</v>
      </c>
      <c r="P28" s="139">
        <f>+M28/O28</f>
        <v>5.833333333333333</v>
      </c>
      <c r="Q28" s="140">
        <f>+P28/160</f>
        <v>3.6458333333333329E-2</v>
      </c>
      <c r="R28" s="154">
        <f>+N28*M28*O28</f>
        <v>93.333333333333329</v>
      </c>
      <c r="T28" t="str">
        <f t="shared" si="1"/>
        <v>Laborer</v>
      </c>
      <c r="U28" s="57">
        <f t="shared" si="3"/>
        <v>169.16666666666666</v>
      </c>
      <c r="V28" s="72">
        <f t="shared" si="2"/>
        <v>1.0572916666666665</v>
      </c>
    </row>
    <row r="29" spans="2:22" x14ac:dyDescent="0.25">
      <c r="B29" s="48" t="s">
        <v>352</v>
      </c>
      <c r="C29" s="48"/>
      <c r="D29" s="48"/>
      <c r="E29" s="48"/>
      <c r="F29" s="66"/>
      <c r="H29" s="132" t="s">
        <v>427</v>
      </c>
      <c r="I29" s="116">
        <f>+I28</f>
        <v>175</v>
      </c>
      <c r="J29" s="133" t="s">
        <v>163</v>
      </c>
      <c r="K29" s="133"/>
      <c r="L29" s="146">
        <f>+L28</f>
        <v>3.3333333333333333E-2</v>
      </c>
      <c r="M29" s="136">
        <f t="shared" si="15"/>
        <v>5.833333333333333</v>
      </c>
      <c r="N29" s="137">
        <v>10</v>
      </c>
      <c r="O29" s="138">
        <v>1</v>
      </c>
      <c r="P29" s="139">
        <f>+M29/O29</f>
        <v>5.833333333333333</v>
      </c>
      <c r="Q29" s="140">
        <f>+P29/160</f>
        <v>3.6458333333333329E-2</v>
      </c>
      <c r="R29" s="154">
        <f>+N29*M29*O29</f>
        <v>58.333333333333329</v>
      </c>
      <c r="T29" t="str">
        <f t="shared" si="1"/>
        <v>Helper</v>
      </c>
      <c r="U29" s="57">
        <f t="shared" si="3"/>
        <v>169.16666666666666</v>
      </c>
      <c r="V29" s="72">
        <f t="shared" si="2"/>
        <v>1.0572916666666665</v>
      </c>
    </row>
    <row r="30" spans="2:22" x14ac:dyDescent="0.25">
      <c r="B30" s="49" t="s">
        <v>353</v>
      </c>
      <c r="C30">
        <f>80+30+25</f>
        <v>135</v>
      </c>
      <c r="D30" s="87" t="s">
        <v>163</v>
      </c>
      <c r="E30" s="11">
        <v>23.4375</v>
      </c>
      <c r="F30" s="108">
        <f t="shared" si="14"/>
        <v>3164.0625</v>
      </c>
      <c r="H30" s="123" t="s">
        <v>347</v>
      </c>
      <c r="I30" s="123"/>
      <c r="J30" s="123"/>
      <c r="K30" s="123"/>
      <c r="L30" s="123"/>
      <c r="M30" s="123"/>
      <c r="N30" s="123"/>
      <c r="O30" s="123"/>
      <c r="P30" s="123"/>
      <c r="Q30" s="123"/>
      <c r="R30" s="124"/>
      <c r="T30" s="90" t="str">
        <f t="shared" si="1"/>
        <v xml:space="preserve">MEP's </v>
      </c>
      <c r="U30" s="57">
        <f t="shared" si="3"/>
        <v>0</v>
      </c>
      <c r="V30" s="72">
        <f t="shared" si="2"/>
        <v>0</v>
      </c>
    </row>
    <row r="31" spans="2:22" x14ac:dyDescent="0.25">
      <c r="B31" s="48" t="s">
        <v>258</v>
      </c>
      <c r="C31" s="48"/>
      <c r="D31" s="48"/>
      <c r="E31" s="48"/>
      <c r="F31" s="66"/>
      <c r="H31" s="125" t="s">
        <v>348</v>
      </c>
      <c r="I31" s="125"/>
      <c r="J31" s="125"/>
      <c r="K31" s="125"/>
      <c r="L31" s="125"/>
      <c r="M31" s="125"/>
      <c r="N31" s="125"/>
      <c r="O31" s="125"/>
      <c r="P31" s="125"/>
      <c r="Q31" s="125"/>
      <c r="R31" s="126">
        <f>+R32+R33</f>
        <v>509.6</v>
      </c>
      <c r="T31" s="89" t="str">
        <f t="shared" si="1"/>
        <v>Plumbing Roughs</v>
      </c>
      <c r="U31" s="57">
        <f t="shared" si="3"/>
        <v>0</v>
      </c>
      <c r="V31" s="72">
        <f t="shared" si="2"/>
        <v>0</v>
      </c>
    </row>
    <row r="32" spans="2:22" x14ac:dyDescent="0.25">
      <c r="B32" s="49" t="s">
        <v>354</v>
      </c>
      <c r="C32">
        <v>1</v>
      </c>
      <c r="D32" s="87" t="s">
        <v>324</v>
      </c>
      <c r="E32" s="11">
        <v>6000</v>
      </c>
      <c r="F32" s="108">
        <f t="shared" si="14"/>
        <v>6000</v>
      </c>
      <c r="H32" s="132" t="s">
        <v>428</v>
      </c>
      <c r="I32" s="136">
        <f>+'HOUSE EST MODEL 3'!$C$26+'HOUSE EST MODEL 3'!$C$27</f>
        <v>140</v>
      </c>
      <c r="J32" s="133" t="s">
        <v>163</v>
      </c>
      <c r="K32" s="133"/>
      <c r="L32" s="133">
        <v>0.14000000000000001</v>
      </c>
      <c r="M32" s="136">
        <f t="shared" ref="M32:M33" si="16">+L32*I32</f>
        <v>19.600000000000001</v>
      </c>
      <c r="N32" s="137">
        <v>16</v>
      </c>
      <c r="O32" s="138">
        <v>1</v>
      </c>
      <c r="P32" s="139">
        <f>+M32/O32</f>
        <v>19.600000000000001</v>
      </c>
      <c r="Q32" s="140">
        <f>+P32/160</f>
        <v>0.12250000000000001</v>
      </c>
      <c r="R32" s="154">
        <f>+N32*M32*O32</f>
        <v>313.60000000000002</v>
      </c>
      <c r="T32" t="str">
        <f t="shared" si="1"/>
        <v>Plumber</v>
      </c>
      <c r="U32" s="57">
        <f t="shared" si="3"/>
        <v>568.40000000000009</v>
      </c>
      <c r="V32" s="72">
        <f t="shared" si="2"/>
        <v>3.5525000000000002</v>
      </c>
    </row>
    <row r="33" spans="2:22" x14ac:dyDescent="0.25">
      <c r="B33" s="47" t="s">
        <v>263</v>
      </c>
      <c r="C33" s="47"/>
      <c r="D33" s="47"/>
      <c r="E33" s="47"/>
      <c r="F33" s="65"/>
      <c r="H33" s="132" t="s">
        <v>427</v>
      </c>
      <c r="I33" s="136">
        <f>+I32</f>
        <v>140</v>
      </c>
      <c r="J33" s="133" t="s">
        <v>163</v>
      </c>
      <c r="K33" s="133"/>
      <c r="L33" s="133">
        <f>+L32</f>
        <v>0.14000000000000001</v>
      </c>
      <c r="M33" s="136">
        <f t="shared" si="16"/>
        <v>19.600000000000001</v>
      </c>
      <c r="N33" s="137">
        <v>10</v>
      </c>
      <c r="O33" s="138">
        <v>1</v>
      </c>
      <c r="P33" s="139">
        <f>+M33/O33</f>
        <v>19.600000000000001</v>
      </c>
      <c r="Q33" s="140">
        <f>+P33/160</f>
        <v>0.12250000000000001</v>
      </c>
      <c r="R33" s="154">
        <f>+N33*M33*O33</f>
        <v>196</v>
      </c>
      <c r="T33" t="str">
        <f t="shared" si="1"/>
        <v>Helper</v>
      </c>
      <c r="U33" s="57">
        <f t="shared" si="3"/>
        <v>568.40000000000009</v>
      </c>
      <c r="V33" s="72">
        <f t="shared" si="2"/>
        <v>3.5525000000000002</v>
      </c>
    </row>
    <row r="34" spans="2:22" x14ac:dyDescent="0.25">
      <c r="B34" s="48" t="s">
        <v>264</v>
      </c>
      <c r="C34" s="48"/>
      <c r="D34" s="48"/>
      <c r="E34" s="48"/>
      <c r="F34" s="66"/>
      <c r="H34" s="125" t="s">
        <v>352</v>
      </c>
      <c r="I34" s="125"/>
      <c r="J34" s="125"/>
      <c r="K34" s="125"/>
      <c r="L34" s="125"/>
      <c r="M34" s="125"/>
      <c r="N34" s="125"/>
      <c r="O34" s="125"/>
      <c r="P34" s="125"/>
      <c r="Q34" s="125"/>
      <c r="R34" s="126">
        <f>+R35+R36</f>
        <v>1755</v>
      </c>
      <c r="T34" s="89" t="str">
        <f t="shared" si="1"/>
        <v>Electrical Roughs</v>
      </c>
      <c r="U34" s="57">
        <f t="shared" si="3"/>
        <v>0</v>
      </c>
      <c r="V34" s="72">
        <f t="shared" si="2"/>
        <v>0</v>
      </c>
    </row>
    <row r="35" spans="2:22" x14ac:dyDescent="0.25">
      <c r="B35" s="49" t="s">
        <v>355</v>
      </c>
      <c r="C35">
        <f>9*(110+25)</f>
        <v>1215</v>
      </c>
      <c r="D35" s="87" t="s">
        <v>40</v>
      </c>
      <c r="E35" s="11">
        <v>2.5</v>
      </c>
      <c r="F35" s="108">
        <f t="shared" ref="F35:F60" si="17">+C35*E35</f>
        <v>3037.5</v>
      </c>
      <c r="H35" s="147" t="s">
        <v>429</v>
      </c>
      <c r="I35" s="116">
        <f>+'HOUSE EST MODEL 3'!$C$30</f>
        <v>135</v>
      </c>
      <c r="J35" s="133" t="s">
        <v>163</v>
      </c>
      <c r="K35" s="133"/>
      <c r="L35" s="133">
        <v>0.5</v>
      </c>
      <c r="M35" s="136">
        <f t="shared" ref="M35:M36" si="18">+L35*I35</f>
        <v>67.5</v>
      </c>
      <c r="N35" s="137">
        <v>16</v>
      </c>
      <c r="O35" s="138">
        <v>1</v>
      </c>
      <c r="P35" s="139">
        <f>+M35/O35</f>
        <v>67.5</v>
      </c>
      <c r="Q35" s="140">
        <f>+P35/160</f>
        <v>0.421875</v>
      </c>
      <c r="R35" s="154">
        <f>+N35*M35*O35</f>
        <v>1080</v>
      </c>
      <c r="T35" t="str">
        <f t="shared" si="1"/>
        <v>Electrician</v>
      </c>
      <c r="U35" s="57">
        <f t="shared" si="3"/>
        <v>1957.5</v>
      </c>
      <c r="V35" s="72">
        <f t="shared" si="2"/>
        <v>12.234375</v>
      </c>
    </row>
    <row r="36" spans="2:22" x14ac:dyDescent="0.25">
      <c r="B36" s="49" t="s">
        <v>356</v>
      </c>
      <c r="C36" s="57">
        <f>+$F$1</f>
        <v>625</v>
      </c>
      <c r="D36" s="87" t="s">
        <v>40</v>
      </c>
      <c r="E36" s="11">
        <v>2.5</v>
      </c>
      <c r="F36" s="108">
        <f t="shared" si="17"/>
        <v>1562.5</v>
      </c>
      <c r="H36" s="147" t="s">
        <v>427</v>
      </c>
      <c r="I36" s="116">
        <f>+I35</f>
        <v>135</v>
      </c>
      <c r="J36" s="133" t="s">
        <v>163</v>
      </c>
      <c r="K36" s="133"/>
      <c r="L36" s="133">
        <f>+L35</f>
        <v>0.5</v>
      </c>
      <c r="M36" s="136">
        <f t="shared" si="18"/>
        <v>67.5</v>
      </c>
      <c r="N36" s="137">
        <v>10</v>
      </c>
      <c r="O36" s="138">
        <v>1</v>
      </c>
      <c r="P36" s="139">
        <f>+M36/O36</f>
        <v>67.5</v>
      </c>
      <c r="Q36" s="140">
        <f>+P36/160</f>
        <v>0.421875</v>
      </c>
      <c r="R36" s="154">
        <f>+N36*M36*O36</f>
        <v>675</v>
      </c>
      <c r="T36" t="str">
        <f t="shared" si="1"/>
        <v>Helper</v>
      </c>
      <c r="U36" s="57">
        <f t="shared" si="3"/>
        <v>1957.5</v>
      </c>
      <c r="V36" s="72">
        <f t="shared" si="2"/>
        <v>12.234375</v>
      </c>
    </row>
    <row r="37" spans="2:22" x14ac:dyDescent="0.25">
      <c r="B37" s="48" t="s">
        <v>266</v>
      </c>
      <c r="C37" s="48"/>
      <c r="D37" s="48"/>
      <c r="E37" s="48"/>
      <c r="F37" s="66"/>
      <c r="H37" s="125" t="s">
        <v>258</v>
      </c>
      <c r="I37" s="125"/>
      <c r="J37" s="125"/>
      <c r="K37" s="125"/>
      <c r="L37" s="125"/>
      <c r="M37" s="125"/>
      <c r="N37" s="125"/>
      <c r="O37" s="125"/>
      <c r="P37" s="125"/>
      <c r="Q37" s="125"/>
      <c r="R37" s="126">
        <f>+R38+R39</f>
        <v>1440</v>
      </c>
      <c r="T37" s="89" t="str">
        <f t="shared" si="1"/>
        <v>HVAC</v>
      </c>
      <c r="U37" s="57">
        <f t="shared" si="3"/>
        <v>0</v>
      </c>
      <c r="V37" s="72">
        <f t="shared" si="2"/>
        <v>0</v>
      </c>
    </row>
    <row r="38" spans="2:22" x14ac:dyDescent="0.25">
      <c r="B38" s="49" t="s">
        <v>357</v>
      </c>
      <c r="C38">
        <f>(150+25)*9</f>
        <v>1575</v>
      </c>
      <c r="D38" s="87" t="s">
        <v>40</v>
      </c>
      <c r="E38" s="11">
        <v>2.21</v>
      </c>
      <c r="F38" s="108">
        <f t="shared" si="17"/>
        <v>3480.75</v>
      </c>
      <c r="H38" s="132" t="s">
        <v>421</v>
      </c>
      <c r="I38" s="116">
        <f>+'HOUSE EST MODEL 3'!$C$32</f>
        <v>1</v>
      </c>
      <c r="J38" s="133" t="s">
        <v>324</v>
      </c>
      <c r="K38" s="133"/>
      <c r="L38" s="133">
        <v>24</v>
      </c>
      <c r="M38" s="136">
        <f t="shared" ref="M38:M39" si="19">+L38*I38</f>
        <v>24</v>
      </c>
      <c r="N38" s="137">
        <v>30</v>
      </c>
      <c r="O38" s="138">
        <v>1</v>
      </c>
      <c r="P38" s="139">
        <f>+M38/O38</f>
        <v>24</v>
      </c>
      <c r="Q38" s="140">
        <f>+P38/160</f>
        <v>0.15</v>
      </c>
      <c r="R38" s="154">
        <f>+N38*M38*O38</f>
        <v>720</v>
      </c>
      <c r="T38" t="str">
        <f t="shared" si="1"/>
        <v>Laborer</v>
      </c>
      <c r="U38" s="57">
        <f t="shared" si="3"/>
        <v>696</v>
      </c>
      <c r="V38" s="72">
        <f t="shared" si="2"/>
        <v>4.3499999999999996</v>
      </c>
    </row>
    <row r="39" spans="2:22" x14ac:dyDescent="0.25">
      <c r="B39" s="48" t="s">
        <v>359</v>
      </c>
      <c r="C39" s="48"/>
      <c r="D39" s="48"/>
      <c r="E39" s="48"/>
      <c r="F39" s="66"/>
      <c r="H39" s="132" t="s">
        <v>421</v>
      </c>
      <c r="I39" s="116">
        <v>1</v>
      </c>
      <c r="J39" s="133" t="s">
        <v>324</v>
      </c>
      <c r="K39" s="133"/>
      <c r="L39" s="133">
        <f>+L38</f>
        <v>24</v>
      </c>
      <c r="M39" s="136">
        <f t="shared" si="19"/>
        <v>24</v>
      </c>
      <c r="N39" s="137">
        <v>30</v>
      </c>
      <c r="O39" s="138">
        <v>1</v>
      </c>
      <c r="P39" s="139">
        <f>+M39/O39</f>
        <v>24</v>
      </c>
      <c r="Q39" s="140">
        <f>+P39/160</f>
        <v>0.15</v>
      </c>
      <c r="R39" s="154">
        <f>+N39*M39*O39</f>
        <v>720</v>
      </c>
      <c r="T39" t="str">
        <f t="shared" si="1"/>
        <v>Laborer</v>
      </c>
      <c r="U39" s="57">
        <f t="shared" si="3"/>
        <v>696</v>
      </c>
      <c r="V39" s="72">
        <f t="shared" si="2"/>
        <v>4.3499999999999996</v>
      </c>
    </row>
    <row r="40" spans="2:22" x14ac:dyDescent="0.25">
      <c r="B40" s="49" t="s">
        <v>360</v>
      </c>
      <c r="C40">
        <v>6</v>
      </c>
      <c r="D40" s="87" t="s">
        <v>324</v>
      </c>
      <c r="E40" s="11">
        <f>+SPECS!I37</f>
        <v>141.48000000000002</v>
      </c>
      <c r="F40" s="108">
        <f t="shared" si="17"/>
        <v>848.88000000000011</v>
      </c>
      <c r="H40" s="123" t="s">
        <v>263</v>
      </c>
      <c r="I40" s="123"/>
      <c r="J40" s="123"/>
      <c r="K40" s="123"/>
      <c r="L40" s="123"/>
      <c r="M40" s="123"/>
      <c r="N40" s="123"/>
      <c r="O40" s="123"/>
      <c r="P40" s="123"/>
      <c r="Q40" s="123"/>
      <c r="R40" s="124"/>
      <c r="T40" s="90" t="str">
        <f t="shared" si="1"/>
        <v>Finishes</v>
      </c>
      <c r="U40" s="57">
        <f t="shared" si="3"/>
        <v>0</v>
      </c>
      <c r="V40" s="72">
        <f t="shared" si="2"/>
        <v>0</v>
      </c>
    </row>
    <row r="41" spans="2:22" x14ac:dyDescent="0.25">
      <c r="B41" s="49" t="s">
        <v>361</v>
      </c>
      <c r="C41">
        <v>1</v>
      </c>
      <c r="D41" s="87" t="s">
        <v>324</v>
      </c>
      <c r="E41" s="11">
        <f>+SPECS!I38</f>
        <v>109.47960000000002</v>
      </c>
      <c r="F41" s="108">
        <f t="shared" si="17"/>
        <v>109.47960000000002</v>
      </c>
      <c r="H41" s="125" t="s">
        <v>264</v>
      </c>
      <c r="I41" s="125"/>
      <c r="J41" s="125"/>
      <c r="K41" s="125"/>
      <c r="L41" s="125"/>
      <c r="M41" s="125"/>
      <c r="N41" s="125"/>
      <c r="O41" s="125"/>
      <c r="P41" s="125"/>
      <c r="Q41" s="125"/>
      <c r="R41" s="126">
        <f>+R42+R43</f>
        <v>717.59999999999991</v>
      </c>
      <c r="T41" s="89" t="str">
        <f t="shared" si="1"/>
        <v>Insulation</v>
      </c>
      <c r="U41" s="57">
        <f t="shared" si="3"/>
        <v>0</v>
      </c>
      <c r="V41" s="72">
        <f t="shared" si="2"/>
        <v>0</v>
      </c>
    </row>
    <row r="42" spans="2:22" x14ac:dyDescent="0.25">
      <c r="B42" s="49" t="s">
        <v>362</v>
      </c>
      <c r="C42">
        <v>175</v>
      </c>
      <c r="D42" s="87" t="s">
        <v>163</v>
      </c>
      <c r="E42" s="11">
        <f>+SPECS!I50</f>
        <v>2</v>
      </c>
      <c r="F42" s="108">
        <f t="shared" si="17"/>
        <v>350</v>
      </c>
      <c r="H42" s="132" t="s">
        <v>421</v>
      </c>
      <c r="I42" s="136">
        <f>+'HOUSE EST MODEL 3'!$C$35+'HOUSE EST MODEL 3'!$C$36</f>
        <v>1840</v>
      </c>
      <c r="J42" s="133" t="s">
        <v>40</v>
      </c>
      <c r="K42" s="133">
        <v>1.5</v>
      </c>
      <c r="L42" s="133">
        <f>+K42/100</f>
        <v>1.4999999999999999E-2</v>
      </c>
      <c r="M42" s="136">
        <f t="shared" ref="M42:M43" si="20">+L42*I42</f>
        <v>27.599999999999998</v>
      </c>
      <c r="N42" s="137">
        <v>16</v>
      </c>
      <c r="O42" s="138">
        <v>1</v>
      </c>
      <c r="P42" s="139">
        <f>+M42/O42</f>
        <v>27.599999999999998</v>
      </c>
      <c r="Q42" s="140">
        <f>+P42/160</f>
        <v>0.17249999999999999</v>
      </c>
      <c r="R42" s="154">
        <f>+N42*M42*O42</f>
        <v>441.59999999999997</v>
      </c>
      <c r="T42" t="str">
        <f t="shared" si="1"/>
        <v>Laborer</v>
      </c>
      <c r="U42" s="57">
        <f t="shared" si="3"/>
        <v>800.4</v>
      </c>
      <c r="V42" s="72">
        <f t="shared" si="2"/>
        <v>5.0024999999999995</v>
      </c>
    </row>
    <row r="43" spans="2:22" x14ac:dyDescent="0.25">
      <c r="B43" s="49" t="s">
        <v>363</v>
      </c>
      <c r="C43">
        <v>172</v>
      </c>
      <c r="D43" s="87" t="s">
        <v>163</v>
      </c>
      <c r="E43" s="11">
        <f>+E42</f>
        <v>2</v>
      </c>
      <c r="F43" s="108">
        <f t="shared" si="17"/>
        <v>344</v>
      </c>
      <c r="H43" s="132" t="s">
        <v>427</v>
      </c>
      <c r="I43" s="136">
        <f>+I42</f>
        <v>1840</v>
      </c>
      <c r="J43" s="133" t="s">
        <v>40</v>
      </c>
      <c r="K43" s="133">
        <f>+K42</f>
        <v>1.5</v>
      </c>
      <c r="L43" s="133">
        <f>+L42</f>
        <v>1.4999999999999999E-2</v>
      </c>
      <c r="M43" s="136">
        <f t="shared" si="20"/>
        <v>27.599999999999998</v>
      </c>
      <c r="N43" s="137">
        <v>10</v>
      </c>
      <c r="O43" s="138">
        <v>1</v>
      </c>
      <c r="P43" s="139">
        <f>+M43/O43</f>
        <v>27.599999999999998</v>
      </c>
      <c r="Q43" s="140">
        <f>+P43/160</f>
        <v>0.17249999999999999</v>
      </c>
      <c r="R43" s="154">
        <f>+N43*M43*O43</f>
        <v>276</v>
      </c>
      <c r="T43" t="str">
        <f t="shared" si="1"/>
        <v>Helper</v>
      </c>
      <c r="U43" s="57">
        <f t="shared" si="3"/>
        <v>800.4</v>
      </c>
      <c r="V43" s="72">
        <f t="shared" si="2"/>
        <v>5.0024999999999995</v>
      </c>
    </row>
    <row r="44" spans="2:22" x14ac:dyDescent="0.25">
      <c r="B44" s="48" t="s">
        <v>364</v>
      </c>
      <c r="C44" s="48"/>
      <c r="D44" s="48"/>
      <c r="E44" s="48"/>
      <c r="F44" s="66"/>
      <c r="H44" s="125" t="s">
        <v>266</v>
      </c>
      <c r="I44" s="125"/>
      <c r="J44" s="125"/>
      <c r="K44" s="125"/>
      <c r="L44" s="125"/>
      <c r="M44" s="125"/>
      <c r="N44" s="125"/>
      <c r="O44" s="125"/>
      <c r="P44" s="125"/>
      <c r="Q44" s="125"/>
      <c r="R44" s="126">
        <f>+R45+R46</f>
        <v>1515.15</v>
      </c>
      <c r="T44" s="89" t="str">
        <f t="shared" si="1"/>
        <v>Drywall</v>
      </c>
      <c r="U44" s="57">
        <f t="shared" si="3"/>
        <v>0</v>
      </c>
      <c r="V44" s="72">
        <f t="shared" si="2"/>
        <v>0</v>
      </c>
    </row>
    <row r="45" spans="2:22" x14ac:dyDescent="0.25">
      <c r="B45" s="49" t="s">
        <v>365</v>
      </c>
      <c r="C45">
        <v>1575</v>
      </c>
      <c r="D45" s="87" t="s">
        <v>40</v>
      </c>
      <c r="E45" s="11">
        <v>2</v>
      </c>
      <c r="F45" s="108">
        <f t="shared" si="17"/>
        <v>3150</v>
      </c>
      <c r="H45" s="132" t="s">
        <v>421</v>
      </c>
      <c r="I45" s="116">
        <f>+'HOUSE EST MODEL 3'!$C$38</f>
        <v>1575</v>
      </c>
      <c r="J45" s="133" t="s">
        <v>40</v>
      </c>
      <c r="K45" s="133">
        <v>3.7</v>
      </c>
      <c r="L45" s="133">
        <f>+K45/100</f>
        <v>3.7000000000000005E-2</v>
      </c>
      <c r="M45" s="136">
        <f t="shared" ref="M45:M46" si="21">+L45*I45</f>
        <v>58.275000000000006</v>
      </c>
      <c r="N45" s="137">
        <v>16</v>
      </c>
      <c r="O45" s="138">
        <v>1</v>
      </c>
      <c r="P45" s="139">
        <f>+M45/O45</f>
        <v>58.275000000000006</v>
      </c>
      <c r="Q45" s="140">
        <f>+P45/160</f>
        <v>0.36421875000000004</v>
      </c>
      <c r="R45" s="154">
        <f>+N45*M45*O45</f>
        <v>932.40000000000009</v>
      </c>
      <c r="T45" t="str">
        <f t="shared" si="1"/>
        <v>Laborer</v>
      </c>
      <c r="U45" s="57">
        <f t="shared" si="3"/>
        <v>1689.9750000000001</v>
      </c>
      <c r="V45" s="72">
        <f t="shared" si="2"/>
        <v>10.56234375</v>
      </c>
    </row>
    <row r="46" spans="2:22" x14ac:dyDescent="0.25">
      <c r="B46" s="49" t="s">
        <v>276</v>
      </c>
      <c r="C46" s="87">
        <v>1350</v>
      </c>
      <c r="D46" s="87" t="s">
        <v>40</v>
      </c>
      <c r="E46" s="11">
        <v>3</v>
      </c>
      <c r="F46" s="108">
        <f t="shared" si="17"/>
        <v>4050</v>
      </c>
      <c r="H46" s="132" t="s">
        <v>427</v>
      </c>
      <c r="I46" s="133">
        <f>+I45</f>
        <v>1575</v>
      </c>
      <c r="J46" s="133" t="s">
        <v>40</v>
      </c>
      <c r="K46" s="133">
        <f>+K45</f>
        <v>3.7</v>
      </c>
      <c r="L46" s="133">
        <f>+L45</f>
        <v>3.7000000000000005E-2</v>
      </c>
      <c r="M46" s="136">
        <f t="shared" si="21"/>
        <v>58.275000000000006</v>
      </c>
      <c r="N46" s="137">
        <v>10</v>
      </c>
      <c r="O46" s="138">
        <v>1</v>
      </c>
      <c r="P46" s="139">
        <f>+M46/O46</f>
        <v>58.275000000000006</v>
      </c>
      <c r="Q46" s="140">
        <f>+P46/160</f>
        <v>0.36421875000000004</v>
      </c>
      <c r="R46" s="154">
        <f>+N46*M46*O46</f>
        <v>582.75</v>
      </c>
      <c r="T46" t="str">
        <f t="shared" si="1"/>
        <v>Helper</v>
      </c>
      <c r="U46" s="57">
        <f t="shared" si="3"/>
        <v>1689.9750000000001</v>
      </c>
      <c r="V46" s="72">
        <f t="shared" si="2"/>
        <v>10.56234375</v>
      </c>
    </row>
    <row r="47" spans="2:22" x14ac:dyDescent="0.25">
      <c r="B47" s="48" t="s">
        <v>279</v>
      </c>
      <c r="C47" s="48"/>
      <c r="D47" s="48"/>
      <c r="E47" s="48"/>
      <c r="F47" s="66"/>
      <c r="H47" s="125" t="s">
        <v>359</v>
      </c>
      <c r="I47" s="125"/>
      <c r="J47" s="125"/>
      <c r="K47" s="125"/>
      <c r="L47" s="125"/>
      <c r="M47" s="125"/>
      <c r="N47" s="125"/>
      <c r="O47" s="125"/>
      <c r="P47" s="125"/>
      <c r="Q47" s="125"/>
      <c r="R47" s="126">
        <f>+R48+R49</f>
        <v>509.59999999999991</v>
      </c>
      <c r="T47" s="89" t="str">
        <f t="shared" si="1"/>
        <v>Interior Doors and Trim</v>
      </c>
      <c r="U47" s="57">
        <f t="shared" si="3"/>
        <v>0</v>
      </c>
      <c r="V47" s="72">
        <f t="shared" si="2"/>
        <v>0</v>
      </c>
    </row>
    <row r="48" spans="2:22" x14ac:dyDescent="0.25">
      <c r="B48" s="49" t="s">
        <v>366</v>
      </c>
      <c r="C48">
        <v>285</v>
      </c>
      <c r="D48" s="87" t="s">
        <v>40</v>
      </c>
      <c r="E48" s="11">
        <f>+SPECS!I16</f>
        <v>3.0132000000000003</v>
      </c>
      <c r="F48" s="108">
        <f t="shared" si="17"/>
        <v>858.76200000000006</v>
      </c>
      <c r="H48" s="132" t="s">
        <v>421</v>
      </c>
      <c r="I48" s="116">
        <f>+'HOUSE EST MODEL 3'!$C$40+'HOUSE EST MODEL 3'!$C$41</f>
        <v>7</v>
      </c>
      <c r="J48" s="133" t="s">
        <v>324</v>
      </c>
      <c r="K48" s="133">
        <v>3.7</v>
      </c>
      <c r="L48" s="133">
        <v>2.8</v>
      </c>
      <c r="M48" s="136">
        <f t="shared" ref="M48:M49" si="22">+L48*I48</f>
        <v>19.599999999999998</v>
      </c>
      <c r="N48" s="137">
        <v>16</v>
      </c>
      <c r="O48" s="138">
        <v>1</v>
      </c>
      <c r="P48" s="139">
        <f>+M48/O48</f>
        <v>19.599999999999998</v>
      </c>
      <c r="Q48" s="140">
        <f>+P48/160</f>
        <v>0.12249999999999998</v>
      </c>
      <c r="R48" s="154">
        <f>+N48*M48*O48</f>
        <v>313.59999999999997</v>
      </c>
      <c r="T48" t="str">
        <f t="shared" si="1"/>
        <v>Laborer</v>
      </c>
      <c r="U48" s="57">
        <f t="shared" si="3"/>
        <v>568.4</v>
      </c>
      <c r="V48" s="72">
        <f t="shared" si="2"/>
        <v>3.5524999999999993</v>
      </c>
    </row>
    <row r="49" spans="2:22" x14ac:dyDescent="0.25">
      <c r="B49" s="49" t="s">
        <v>367</v>
      </c>
      <c r="C49" s="57">
        <v>297</v>
      </c>
      <c r="D49" s="87" t="s">
        <v>40</v>
      </c>
      <c r="E49" s="11">
        <f>+SPECS!I17</f>
        <v>4.4820000000000011</v>
      </c>
      <c r="F49" s="108">
        <f t="shared" si="17"/>
        <v>1331.1540000000002</v>
      </c>
      <c r="H49" s="132" t="s">
        <v>427</v>
      </c>
      <c r="I49" s="133">
        <f>+I48</f>
        <v>7</v>
      </c>
      <c r="J49" s="133" t="s">
        <v>324</v>
      </c>
      <c r="K49" s="133">
        <f>+K48</f>
        <v>3.7</v>
      </c>
      <c r="L49" s="133">
        <f>+L48</f>
        <v>2.8</v>
      </c>
      <c r="M49" s="136">
        <f t="shared" si="22"/>
        <v>19.599999999999998</v>
      </c>
      <c r="N49" s="137">
        <v>10</v>
      </c>
      <c r="O49" s="138">
        <v>1</v>
      </c>
      <c r="P49" s="139">
        <f>+M49/O49</f>
        <v>19.599999999999998</v>
      </c>
      <c r="Q49" s="140">
        <f>+P49/160</f>
        <v>0.12249999999999998</v>
      </c>
      <c r="R49" s="154">
        <f>+N49*M49*O49</f>
        <v>195.99999999999997</v>
      </c>
      <c r="T49" t="str">
        <f t="shared" si="1"/>
        <v>Helper</v>
      </c>
      <c r="U49" s="57">
        <f t="shared" si="3"/>
        <v>568.4</v>
      </c>
      <c r="V49" s="72">
        <f t="shared" si="2"/>
        <v>3.5524999999999993</v>
      </c>
    </row>
    <row r="50" spans="2:22" x14ac:dyDescent="0.25">
      <c r="B50" s="48" t="s">
        <v>282</v>
      </c>
      <c r="C50" s="48"/>
      <c r="D50" s="48"/>
      <c r="E50" s="48"/>
      <c r="F50" s="66"/>
      <c r="H50" s="125" t="s">
        <v>364</v>
      </c>
      <c r="I50" s="125"/>
      <c r="J50" s="125"/>
      <c r="K50" s="125"/>
      <c r="L50" s="125"/>
      <c r="M50" s="125"/>
      <c r="N50" s="125"/>
      <c r="O50" s="125"/>
      <c r="P50" s="125"/>
      <c r="Q50" s="125"/>
      <c r="R50" s="126">
        <f>+R51+R52</f>
        <v>1292.8499999999999</v>
      </c>
      <c r="T50" s="89" t="str">
        <f t="shared" si="1"/>
        <v>Painting</v>
      </c>
      <c r="U50" s="57">
        <f t="shared" si="3"/>
        <v>0</v>
      </c>
      <c r="V50" s="72">
        <f t="shared" si="2"/>
        <v>0</v>
      </c>
    </row>
    <row r="51" spans="2:22" x14ac:dyDescent="0.25">
      <c r="B51" s="49" t="s">
        <v>368</v>
      </c>
      <c r="C51">
        <v>43</v>
      </c>
      <c r="D51" s="87" t="s">
        <v>40</v>
      </c>
      <c r="E51" s="11">
        <f>+SPECS!I59</f>
        <v>4.6100000000000003</v>
      </c>
      <c r="F51" s="108">
        <f t="shared" si="17"/>
        <v>198.23000000000002</v>
      </c>
      <c r="H51" s="132" t="s">
        <v>421</v>
      </c>
      <c r="I51" s="116">
        <f>+'HOUSE EST MODEL 3'!$C$45+'HOUSE EST MODEL 3'!$C$46</f>
        <v>2925</v>
      </c>
      <c r="J51" s="133" t="s">
        <v>40</v>
      </c>
      <c r="K51" s="133">
        <v>1.7</v>
      </c>
      <c r="L51" s="133">
        <f>+K51/100</f>
        <v>1.7000000000000001E-2</v>
      </c>
      <c r="M51" s="136">
        <f t="shared" ref="M51:M52" si="23">+L51*I51</f>
        <v>49.725000000000001</v>
      </c>
      <c r="N51" s="137">
        <v>16</v>
      </c>
      <c r="O51" s="138">
        <v>1</v>
      </c>
      <c r="P51" s="139">
        <f>+M51/O51</f>
        <v>49.725000000000001</v>
      </c>
      <c r="Q51" s="140">
        <f>+P51/160</f>
        <v>0.31078125000000001</v>
      </c>
      <c r="R51" s="154">
        <f>+N51*M51*O51</f>
        <v>795.6</v>
      </c>
      <c r="T51" t="str">
        <f t="shared" si="1"/>
        <v>Laborer</v>
      </c>
      <c r="U51" s="57">
        <f t="shared" si="3"/>
        <v>1442.0250000000001</v>
      </c>
      <c r="V51" s="72">
        <f t="shared" si="2"/>
        <v>9.0126562500000009</v>
      </c>
    </row>
    <row r="52" spans="2:22" x14ac:dyDescent="0.25">
      <c r="B52" s="49" t="s">
        <v>369</v>
      </c>
      <c r="C52">
        <v>153</v>
      </c>
      <c r="D52" s="87" t="s">
        <v>40</v>
      </c>
      <c r="E52" s="11">
        <f>+SPECS!I61</f>
        <v>4.7300000000000004</v>
      </c>
      <c r="F52" s="108">
        <f t="shared" si="17"/>
        <v>723.69</v>
      </c>
      <c r="H52" s="132" t="s">
        <v>427</v>
      </c>
      <c r="I52" s="133">
        <f>+I51</f>
        <v>2925</v>
      </c>
      <c r="J52" s="133" t="s">
        <v>40</v>
      </c>
      <c r="K52" s="133">
        <f>+K51</f>
        <v>1.7</v>
      </c>
      <c r="L52" s="133">
        <f>+L51</f>
        <v>1.7000000000000001E-2</v>
      </c>
      <c r="M52" s="136">
        <f t="shared" si="23"/>
        <v>49.725000000000001</v>
      </c>
      <c r="N52" s="137">
        <v>10</v>
      </c>
      <c r="O52" s="138">
        <v>1</v>
      </c>
      <c r="P52" s="139">
        <f>+M52/O52</f>
        <v>49.725000000000001</v>
      </c>
      <c r="Q52" s="140">
        <f>+P52/160</f>
        <v>0.31078125000000001</v>
      </c>
      <c r="R52" s="154">
        <f>+N52*M52*O52</f>
        <v>497.25</v>
      </c>
      <c r="T52" t="str">
        <f t="shared" si="1"/>
        <v>Helper</v>
      </c>
      <c r="U52" s="57">
        <f t="shared" si="3"/>
        <v>1442.0250000000001</v>
      </c>
      <c r="V52" s="72">
        <f t="shared" si="2"/>
        <v>9.0126562500000009</v>
      </c>
    </row>
    <row r="53" spans="2:22" x14ac:dyDescent="0.25">
      <c r="B53" s="49" t="s">
        <v>370</v>
      </c>
      <c r="C53">
        <v>15</v>
      </c>
      <c r="D53" s="87" t="s">
        <v>40</v>
      </c>
      <c r="E53" s="11">
        <f>+SPECS!I60</f>
        <v>4.5599999999999996</v>
      </c>
      <c r="F53" s="108">
        <f t="shared" si="17"/>
        <v>68.399999999999991</v>
      </c>
      <c r="H53" s="125" t="s">
        <v>279</v>
      </c>
      <c r="I53" s="125"/>
      <c r="J53" s="125"/>
      <c r="K53" s="125"/>
      <c r="L53" s="125"/>
      <c r="M53" s="125"/>
      <c r="N53" s="125"/>
      <c r="O53" s="125"/>
      <c r="P53" s="125"/>
      <c r="Q53" s="125"/>
      <c r="R53" s="126">
        <f>+R54+R55</f>
        <v>1028.9760000000001</v>
      </c>
      <c r="T53" s="89" t="str">
        <f t="shared" si="1"/>
        <v>Flooring</v>
      </c>
      <c r="U53" s="57">
        <f t="shared" si="3"/>
        <v>0</v>
      </c>
      <c r="V53" s="72">
        <f t="shared" si="2"/>
        <v>0</v>
      </c>
    </row>
    <row r="54" spans="2:22" x14ac:dyDescent="0.25">
      <c r="B54" s="48" t="s">
        <v>371</v>
      </c>
      <c r="C54" s="48"/>
      <c r="D54" s="48"/>
      <c r="E54" s="48"/>
      <c r="F54" s="66"/>
      <c r="H54" s="132" t="s">
        <v>421</v>
      </c>
      <c r="I54" s="136">
        <f>+'HOUSE EST MODEL 3'!$C$48+'HOUSE EST MODEL 3'!$C$49</f>
        <v>582</v>
      </c>
      <c r="J54" s="133" t="s">
        <v>40</v>
      </c>
      <c r="K54" s="133">
        <v>6.8</v>
      </c>
      <c r="L54" s="133">
        <f>+K54/100</f>
        <v>6.8000000000000005E-2</v>
      </c>
      <c r="M54" s="136">
        <f t="shared" ref="M54:M55" si="24">+L54*I54</f>
        <v>39.576000000000001</v>
      </c>
      <c r="N54" s="137">
        <v>16</v>
      </c>
      <c r="O54" s="138">
        <v>1</v>
      </c>
      <c r="P54" s="139">
        <f>+M54/O54</f>
        <v>39.576000000000001</v>
      </c>
      <c r="Q54" s="140">
        <f>+P54/160</f>
        <v>0.24735000000000001</v>
      </c>
      <c r="R54" s="154">
        <f>+N54*M54*O54</f>
        <v>633.21600000000001</v>
      </c>
      <c r="T54" t="str">
        <f t="shared" si="1"/>
        <v>Laborer</v>
      </c>
      <c r="U54" s="57">
        <f t="shared" si="3"/>
        <v>1147.704</v>
      </c>
      <c r="V54" s="72">
        <f t="shared" si="2"/>
        <v>7.1731500000000006</v>
      </c>
    </row>
    <row r="55" spans="2:22" x14ac:dyDescent="0.25">
      <c r="B55" s="49" t="s">
        <v>372</v>
      </c>
      <c r="C55">
        <v>30</v>
      </c>
      <c r="D55" s="87" t="s">
        <v>40</v>
      </c>
      <c r="E55" s="11">
        <f>+SPECS!I58</f>
        <v>4.3</v>
      </c>
      <c r="F55" s="108">
        <f t="shared" si="17"/>
        <v>129</v>
      </c>
      <c r="H55" s="132" t="s">
        <v>427</v>
      </c>
      <c r="I55" s="133">
        <f>+I54</f>
        <v>582</v>
      </c>
      <c r="J55" s="133" t="s">
        <v>40</v>
      </c>
      <c r="K55" s="133">
        <f>+K54</f>
        <v>6.8</v>
      </c>
      <c r="L55" s="133">
        <f>+L54</f>
        <v>6.8000000000000005E-2</v>
      </c>
      <c r="M55" s="136">
        <f t="shared" si="24"/>
        <v>39.576000000000001</v>
      </c>
      <c r="N55" s="137">
        <v>10</v>
      </c>
      <c r="O55" s="138">
        <v>1</v>
      </c>
      <c r="P55" s="139">
        <f>+M55/O55</f>
        <v>39.576000000000001</v>
      </c>
      <c r="Q55" s="140">
        <f>+P55/160</f>
        <v>0.24735000000000001</v>
      </c>
      <c r="R55" s="154">
        <f>+N55*M55*O55</f>
        <v>395.76</v>
      </c>
      <c r="T55" t="str">
        <f t="shared" si="1"/>
        <v>Helper</v>
      </c>
      <c r="U55" s="57">
        <f t="shared" si="3"/>
        <v>1147.704</v>
      </c>
      <c r="V55" s="72">
        <f t="shared" si="2"/>
        <v>7.1731500000000006</v>
      </c>
    </row>
    <row r="56" spans="2:22" x14ac:dyDescent="0.25">
      <c r="B56" s="48" t="s">
        <v>373</v>
      </c>
      <c r="C56" s="48"/>
      <c r="D56" s="48"/>
      <c r="E56" s="48"/>
      <c r="F56" s="66"/>
      <c r="H56" s="125" t="s">
        <v>282</v>
      </c>
      <c r="I56" s="125"/>
      <c r="J56" s="125"/>
      <c r="K56" s="125"/>
      <c r="L56" s="125"/>
      <c r="M56" s="125"/>
      <c r="N56" s="125"/>
      <c r="O56" s="125"/>
      <c r="P56" s="125"/>
      <c r="Q56" s="125"/>
      <c r="R56" s="126">
        <f>+R57+R58</f>
        <v>433.39400000000001</v>
      </c>
      <c r="T56" s="89" t="str">
        <f t="shared" si="1"/>
        <v>Bathroom Tiling</v>
      </c>
      <c r="U56" s="57">
        <f t="shared" si="3"/>
        <v>0</v>
      </c>
      <c r="V56" s="72">
        <f t="shared" si="2"/>
        <v>0</v>
      </c>
    </row>
    <row r="57" spans="2:22" x14ac:dyDescent="0.25">
      <c r="B57" s="49" t="s">
        <v>374</v>
      </c>
      <c r="C57">
        <v>2</v>
      </c>
      <c r="D57" t="s">
        <v>324</v>
      </c>
      <c r="E57" s="11">
        <v>550</v>
      </c>
      <c r="F57" s="108">
        <f t="shared" si="17"/>
        <v>1100</v>
      </c>
      <c r="H57" s="132" t="s">
        <v>421</v>
      </c>
      <c r="I57" s="136">
        <f>+'HOUSE EST MODEL 3'!$C$51+'HOUSE EST MODEL 3'!$C$52+'HOUSE EST MODEL 3'!$C$53</f>
        <v>211</v>
      </c>
      <c r="J57" s="133" t="s">
        <v>40</v>
      </c>
      <c r="K57" s="133">
        <v>7.9</v>
      </c>
      <c r="L57" s="133">
        <f>+K57/100</f>
        <v>7.9000000000000001E-2</v>
      </c>
      <c r="M57" s="136">
        <f t="shared" ref="M57:M58" si="25">+L57*I57</f>
        <v>16.669</v>
      </c>
      <c r="N57" s="137">
        <v>16</v>
      </c>
      <c r="O57" s="138">
        <v>1</v>
      </c>
      <c r="P57" s="139">
        <f>+M57/O57</f>
        <v>16.669</v>
      </c>
      <c r="Q57" s="140">
        <f>+P57/160</f>
        <v>0.10418125</v>
      </c>
      <c r="R57" s="154">
        <f>+N57*M57*O57</f>
        <v>266.70400000000001</v>
      </c>
      <c r="T57" t="str">
        <f t="shared" si="1"/>
        <v>Laborer</v>
      </c>
      <c r="U57" s="57">
        <f t="shared" si="3"/>
        <v>483.40100000000001</v>
      </c>
      <c r="V57" s="72">
        <f t="shared" si="2"/>
        <v>3.02125625</v>
      </c>
    </row>
    <row r="58" spans="2:22" x14ac:dyDescent="0.25">
      <c r="B58" s="49" t="s">
        <v>375</v>
      </c>
      <c r="C58">
        <v>2</v>
      </c>
      <c r="D58" t="s">
        <v>324</v>
      </c>
      <c r="E58" s="11">
        <v>450</v>
      </c>
      <c r="F58" s="108">
        <f t="shared" si="17"/>
        <v>900</v>
      </c>
      <c r="H58" s="132" t="s">
        <v>427</v>
      </c>
      <c r="I58" s="148">
        <f>+I57</f>
        <v>211</v>
      </c>
      <c r="J58" s="133" t="s">
        <v>40</v>
      </c>
      <c r="K58" s="133">
        <f>+K57</f>
        <v>7.9</v>
      </c>
      <c r="L58" s="133">
        <f>+L57</f>
        <v>7.9000000000000001E-2</v>
      </c>
      <c r="M58" s="136">
        <f t="shared" si="25"/>
        <v>16.669</v>
      </c>
      <c r="N58" s="137">
        <v>10</v>
      </c>
      <c r="O58" s="138">
        <v>1</v>
      </c>
      <c r="P58" s="139">
        <f>+M58/O58</f>
        <v>16.669</v>
      </c>
      <c r="Q58" s="140">
        <f>+P58/160</f>
        <v>0.10418125</v>
      </c>
      <c r="R58" s="154">
        <f>+N58*M58*O58</f>
        <v>166.69</v>
      </c>
      <c r="T58" t="str">
        <f t="shared" si="1"/>
        <v>Helper</v>
      </c>
      <c r="U58" s="57">
        <f t="shared" si="3"/>
        <v>483.40100000000001</v>
      </c>
      <c r="V58" s="72">
        <f t="shared" si="2"/>
        <v>3.02125625</v>
      </c>
    </row>
    <row r="59" spans="2:22" x14ac:dyDescent="0.25">
      <c r="B59" s="48" t="s">
        <v>376</v>
      </c>
      <c r="C59" s="48"/>
      <c r="D59" s="48"/>
      <c r="E59" s="48"/>
      <c r="F59" s="66"/>
      <c r="H59" s="125" t="s">
        <v>371</v>
      </c>
      <c r="I59" s="125"/>
      <c r="J59" s="125"/>
      <c r="K59" s="125"/>
      <c r="L59" s="125"/>
      <c r="M59" s="125"/>
      <c r="N59" s="125"/>
      <c r="O59" s="125"/>
      <c r="P59" s="125"/>
      <c r="Q59" s="125"/>
      <c r="R59" s="126">
        <f>+R60+R61</f>
        <v>61.620000000000005</v>
      </c>
      <c r="T59" s="89" t="str">
        <f t="shared" si="1"/>
        <v>Kitchen Backsplash</v>
      </c>
      <c r="U59" s="57">
        <f t="shared" si="3"/>
        <v>0</v>
      </c>
      <c r="V59" s="72">
        <f t="shared" si="2"/>
        <v>0</v>
      </c>
    </row>
    <row r="60" spans="2:22" x14ac:dyDescent="0.25">
      <c r="B60" s="49" t="s">
        <v>377</v>
      </c>
      <c r="C60">
        <v>2</v>
      </c>
      <c r="D60" t="s">
        <v>324</v>
      </c>
      <c r="E60" s="11">
        <v>800</v>
      </c>
      <c r="F60" s="108">
        <f t="shared" si="17"/>
        <v>1600</v>
      </c>
      <c r="H60" s="132" t="s">
        <v>421</v>
      </c>
      <c r="I60" s="136">
        <f>+'HOUSE EST MODEL 3'!$C$55</f>
        <v>30</v>
      </c>
      <c r="J60" s="133" t="s">
        <v>40</v>
      </c>
      <c r="K60" s="133">
        <v>7.9</v>
      </c>
      <c r="L60" s="133">
        <f>+K60/100</f>
        <v>7.9000000000000001E-2</v>
      </c>
      <c r="M60" s="136">
        <f t="shared" ref="M60:M61" si="26">+L60*I60</f>
        <v>2.37</v>
      </c>
      <c r="N60" s="137">
        <v>16</v>
      </c>
      <c r="O60" s="138">
        <v>1</v>
      </c>
      <c r="P60" s="139">
        <f>+M60/O60</f>
        <v>2.37</v>
      </c>
      <c r="Q60" s="140">
        <f>+P60/160</f>
        <v>1.4812500000000001E-2</v>
      </c>
      <c r="R60" s="154">
        <f>+N60*M60*O60</f>
        <v>37.92</v>
      </c>
      <c r="T60" t="str">
        <f t="shared" si="1"/>
        <v>Laborer</v>
      </c>
      <c r="U60" s="57">
        <f t="shared" si="3"/>
        <v>68.73</v>
      </c>
      <c r="V60" s="72">
        <f t="shared" si="2"/>
        <v>0.42956250000000001</v>
      </c>
    </row>
    <row r="61" spans="2:22" x14ac:dyDescent="0.25">
      <c r="B61" s="48" t="s">
        <v>378</v>
      </c>
      <c r="C61" s="48"/>
      <c r="D61" s="48"/>
      <c r="E61" s="48"/>
      <c r="F61" s="66"/>
      <c r="H61" s="132" t="s">
        <v>427</v>
      </c>
      <c r="I61" s="148">
        <f>+I60</f>
        <v>30</v>
      </c>
      <c r="J61" s="133" t="s">
        <v>40</v>
      </c>
      <c r="K61" s="133">
        <f>+K60</f>
        <v>7.9</v>
      </c>
      <c r="L61" s="133">
        <f>+L60</f>
        <v>7.9000000000000001E-2</v>
      </c>
      <c r="M61" s="136">
        <f t="shared" si="26"/>
        <v>2.37</v>
      </c>
      <c r="N61" s="137">
        <v>10</v>
      </c>
      <c r="O61" s="138">
        <v>1</v>
      </c>
      <c r="P61" s="139">
        <f>+M61/O61</f>
        <v>2.37</v>
      </c>
      <c r="Q61" s="140">
        <f>+P61/160</f>
        <v>1.4812500000000001E-2</v>
      </c>
      <c r="R61" s="154">
        <f>+N61*M61*O61</f>
        <v>23.700000000000003</v>
      </c>
      <c r="T61" t="str">
        <f t="shared" si="1"/>
        <v>Helper</v>
      </c>
      <c r="U61" s="57">
        <f t="shared" si="3"/>
        <v>68.73</v>
      </c>
      <c r="V61" s="72">
        <f t="shared" si="2"/>
        <v>0.42956250000000001</v>
      </c>
    </row>
    <row r="62" spans="2:22" x14ac:dyDescent="0.25">
      <c r="B62" s="49" t="s">
        <v>379</v>
      </c>
      <c r="C62">
        <v>45</v>
      </c>
      <c r="D62" t="s">
        <v>40</v>
      </c>
      <c r="E62" s="11">
        <f>+SPECS!I22</f>
        <v>52.92</v>
      </c>
      <c r="F62" s="108">
        <f>+C62*E62</f>
        <v>2381.4</v>
      </c>
      <c r="H62" s="125" t="s">
        <v>373</v>
      </c>
      <c r="I62" s="125"/>
      <c r="J62" s="125"/>
      <c r="K62" s="125"/>
      <c r="L62" s="125"/>
      <c r="M62" s="125"/>
      <c r="N62" s="125"/>
      <c r="O62" s="125"/>
      <c r="P62" s="125"/>
      <c r="Q62" s="125"/>
      <c r="R62" s="126">
        <f>+R63+R64</f>
        <v>156</v>
      </c>
      <c r="T62" s="89" t="str">
        <f t="shared" si="1"/>
        <v>Kitchen Cabinets</v>
      </c>
      <c r="U62" s="57">
        <f t="shared" si="3"/>
        <v>0</v>
      </c>
      <c r="V62" s="72">
        <f t="shared" si="2"/>
        <v>0</v>
      </c>
    </row>
    <row r="63" spans="2:22" x14ac:dyDescent="0.25">
      <c r="B63" s="48" t="s">
        <v>380</v>
      </c>
      <c r="C63" s="48"/>
      <c r="D63" s="48"/>
      <c r="E63" s="48"/>
      <c r="F63" s="66"/>
      <c r="H63" s="132" t="s">
        <v>421</v>
      </c>
      <c r="I63" s="136">
        <f>+'HOUSE EST MODEL 3'!$C$57</f>
        <v>2</v>
      </c>
      <c r="J63" s="116" t="s">
        <v>324</v>
      </c>
      <c r="K63" s="133"/>
      <c r="L63" s="133">
        <v>3</v>
      </c>
      <c r="M63" s="136">
        <f t="shared" ref="M63:M64" si="27">+L63*I63</f>
        <v>6</v>
      </c>
      <c r="N63" s="137">
        <v>16</v>
      </c>
      <c r="O63" s="138">
        <v>1</v>
      </c>
      <c r="P63" s="139">
        <f>+M63/O63</f>
        <v>6</v>
      </c>
      <c r="Q63" s="140">
        <f>+P63/160</f>
        <v>3.7499999999999999E-2</v>
      </c>
      <c r="R63" s="154">
        <f>+N63*M63*O63</f>
        <v>96</v>
      </c>
      <c r="T63" t="str">
        <f t="shared" si="1"/>
        <v>Laborer</v>
      </c>
      <c r="U63" s="57">
        <f t="shared" si="3"/>
        <v>174</v>
      </c>
      <c r="V63" s="72">
        <f t="shared" si="2"/>
        <v>1.0874999999999999</v>
      </c>
    </row>
    <row r="64" spans="2:22" x14ac:dyDescent="0.25">
      <c r="B64" s="49" t="s">
        <v>381</v>
      </c>
      <c r="C64">
        <v>6</v>
      </c>
      <c r="D64" s="87" t="s">
        <v>324</v>
      </c>
      <c r="E64" s="11">
        <f>+SPECS!I35</f>
        <v>10.8</v>
      </c>
      <c r="F64" s="108">
        <f t="shared" ref="F64:F85" si="28">+C64*E64</f>
        <v>64.800000000000011</v>
      </c>
      <c r="H64" s="132" t="s">
        <v>427</v>
      </c>
      <c r="I64" s="148">
        <f>+I63</f>
        <v>2</v>
      </c>
      <c r="J64" s="116" t="s">
        <v>324</v>
      </c>
      <c r="K64" s="133"/>
      <c r="L64" s="133">
        <f>+L63</f>
        <v>3</v>
      </c>
      <c r="M64" s="136">
        <f t="shared" si="27"/>
        <v>6</v>
      </c>
      <c r="N64" s="137">
        <v>10</v>
      </c>
      <c r="O64" s="138">
        <v>1</v>
      </c>
      <c r="P64" s="139">
        <f>+M64/O64</f>
        <v>6</v>
      </c>
      <c r="Q64" s="140">
        <f>+P64/160</f>
        <v>3.7499999999999999E-2</v>
      </c>
      <c r="R64" s="154">
        <f>+N64*M64*O64</f>
        <v>60</v>
      </c>
      <c r="T64" t="str">
        <f t="shared" si="1"/>
        <v>Helper</v>
      </c>
      <c r="U64" s="57">
        <f t="shared" si="3"/>
        <v>174</v>
      </c>
      <c r="V64" s="72">
        <f t="shared" si="2"/>
        <v>1.0874999999999999</v>
      </c>
    </row>
    <row r="65" spans="2:22" x14ac:dyDescent="0.25">
      <c r="B65" s="49" t="s">
        <v>382</v>
      </c>
      <c r="C65">
        <v>1</v>
      </c>
      <c r="D65" s="87" t="s">
        <v>324</v>
      </c>
      <c r="E65" s="11">
        <f>+SPECS!I36</f>
        <v>38.869200000000006</v>
      </c>
      <c r="F65" s="108">
        <f t="shared" si="28"/>
        <v>38.869200000000006</v>
      </c>
      <c r="H65" s="125" t="s">
        <v>376</v>
      </c>
      <c r="I65" s="125"/>
      <c r="J65" s="125"/>
      <c r="K65" s="125"/>
      <c r="L65" s="125"/>
      <c r="M65" s="125"/>
      <c r="N65" s="125"/>
      <c r="O65" s="125"/>
      <c r="P65" s="125"/>
      <c r="Q65" s="125"/>
      <c r="R65" s="126">
        <f>+R66+R67</f>
        <v>156</v>
      </c>
      <c r="T65" s="89" t="str">
        <f t="shared" si="1"/>
        <v>Bathroom Cabinets</v>
      </c>
      <c r="U65" s="57">
        <f t="shared" si="3"/>
        <v>0</v>
      </c>
      <c r="V65" s="72">
        <f t="shared" si="2"/>
        <v>0</v>
      </c>
    </row>
    <row r="66" spans="2:22" x14ac:dyDescent="0.25">
      <c r="B66" s="49" t="s">
        <v>383</v>
      </c>
      <c r="C66">
        <v>20</v>
      </c>
      <c r="D66" s="87" t="s">
        <v>324</v>
      </c>
      <c r="E66" s="11">
        <f>+SPECS!I39</f>
        <v>2.1384000000000003</v>
      </c>
      <c r="F66" s="108">
        <f t="shared" si="28"/>
        <v>42.768000000000008</v>
      </c>
      <c r="H66" s="132" t="s">
        <v>421</v>
      </c>
      <c r="I66" s="136">
        <f>+'HOUSE EST MODEL 3'!$C$60</f>
        <v>2</v>
      </c>
      <c r="J66" s="116" t="s">
        <v>324</v>
      </c>
      <c r="K66" s="133"/>
      <c r="L66" s="133">
        <v>3</v>
      </c>
      <c r="M66" s="136">
        <f t="shared" ref="M66:M67" si="29">+L66*I66</f>
        <v>6</v>
      </c>
      <c r="N66" s="137">
        <v>16</v>
      </c>
      <c r="O66" s="138">
        <v>1</v>
      </c>
      <c r="P66" s="139">
        <f>+M66/O66</f>
        <v>6</v>
      </c>
      <c r="Q66" s="140">
        <f>+P66/160</f>
        <v>3.7499999999999999E-2</v>
      </c>
      <c r="R66" s="154">
        <f>+N66*M66*O66</f>
        <v>96</v>
      </c>
      <c r="T66" t="str">
        <f t="shared" si="1"/>
        <v>Laborer</v>
      </c>
      <c r="U66" s="57">
        <f t="shared" si="3"/>
        <v>174</v>
      </c>
      <c r="V66" s="72">
        <f t="shared" si="2"/>
        <v>1.0874999999999999</v>
      </c>
    </row>
    <row r="67" spans="2:22" x14ac:dyDescent="0.25">
      <c r="B67" s="49" t="s">
        <v>384</v>
      </c>
      <c r="C67">
        <v>7</v>
      </c>
      <c r="D67" s="87" t="s">
        <v>324</v>
      </c>
      <c r="E67" s="11">
        <f>+SPECS!I55</f>
        <v>0.68310000000000004</v>
      </c>
      <c r="F67" s="108">
        <f t="shared" si="28"/>
        <v>4.7817000000000007</v>
      </c>
      <c r="H67" s="132" t="s">
        <v>427</v>
      </c>
      <c r="I67" s="148">
        <f>+I66</f>
        <v>2</v>
      </c>
      <c r="J67" s="116" t="s">
        <v>324</v>
      </c>
      <c r="K67" s="133"/>
      <c r="L67" s="133">
        <f>+L66</f>
        <v>3</v>
      </c>
      <c r="M67" s="136">
        <f t="shared" si="29"/>
        <v>6</v>
      </c>
      <c r="N67" s="137">
        <v>10</v>
      </c>
      <c r="O67" s="138">
        <v>1</v>
      </c>
      <c r="P67" s="139">
        <f>+M67/O67</f>
        <v>6</v>
      </c>
      <c r="Q67" s="140">
        <f>+P67/160</f>
        <v>3.7499999999999999E-2</v>
      </c>
      <c r="R67" s="154">
        <f>+N67*M67*O67</f>
        <v>60</v>
      </c>
      <c r="T67" t="str">
        <f t="shared" si="1"/>
        <v>Helper</v>
      </c>
      <c r="U67" s="57">
        <f t="shared" si="3"/>
        <v>174</v>
      </c>
      <c r="V67" s="72">
        <f t="shared" si="2"/>
        <v>1.0874999999999999</v>
      </c>
    </row>
    <row r="68" spans="2:22" x14ac:dyDescent="0.25">
      <c r="B68" s="49" t="s">
        <v>385</v>
      </c>
      <c r="C68">
        <v>1</v>
      </c>
      <c r="D68" s="87" t="s">
        <v>324</v>
      </c>
      <c r="E68" s="11">
        <f>+SPECS!I14</f>
        <v>32.378399999999999</v>
      </c>
      <c r="F68" s="108">
        <f t="shared" si="28"/>
        <v>32.378399999999999</v>
      </c>
      <c r="H68" s="125" t="s">
        <v>378</v>
      </c>
      <c r="I68" s="125"/>
      <c r="J68" s="125"/>
      <c r="K68" s="125"/>
      <c r="L68" s="125"/>
      <c r="M68" s="125"/>
      <c r="N68" s="125"/>
      <c r="O68" s="125"/>
      <c r="P68" s="125"/>
      <c r="Q68" s="125"/>
      <c r="R68" s="126">
        <f>+R69+R70</f>
        <v>58.5</v>
      </c>
      <c r="T68" s="89" t="str">
        <f t="shared" si="1"/>
        <v>Countertops</v>
      </c>
      <c r="U68" s="57">
        <f t="shared" si="3"/>
        <v>0</v>
      </c>
      <c r="V68" s="72">
        <f t="shared" si="2"/>
        <v>0</v>
      </c>
    </row>
    <row r="69" spans="2:22" x14ac:dyDescent="0.25">
      <c r="B69" s="49" t="s">
        <v>386</v>
      </c>
      <c r="C69">
        <v>3</v>
      </c>
      <c r="D69" s="87" t="s">
        <v>324</v>
      </c>
      <c r="E69" s="11">
        <f>+SPECS!I8</f>
        <v>10.797300000000002</v>
      </c>
      <c r="F69" s="108">
        <f t="shared" si="28"/>
        <v>32.391900000000007</v>
      </c>
      <c r="H69" s="132" t="s">
        <v>421</v>
      </c>
      <c r="I69" s="116">
        <f>+'HOUSE EST MODEL 3'!$C$62</f>
        <v>45</v>
      </c>
      <c r="J69" s="116" t="s">
        <v>40</v>
      </c>
      <c r="K69" s="116"/>
      <c r="L69" s="133">
        <v>0.05</v>
      </c>
      <c r="M69" s="136">
        <f t="shared" ref="M69:M70" si="30">+L69*I69</f>
        <v>2.25</v>
      </c>
      <c r="N69" s="137">
        <v>16</v>
      </c>
      <c r="O69" s="138">
        <v>1</v>
      </c>
      <c r="P69" s="139">
        <f>+M69/O69</f>
        <v>2.25</v>
      </c>
      <c r="Q69" s="140">
        <f>+P69/160</f>
        <v>1.40625E-2</v>
      </c>
      <c r="R69" s="154">
        <f>+N69*M69*O69</f>
        <v>36</v>
      </c>
      <c r="T69" t="str">
        <f t="shared" si="1"/>
        <v>Laborer</v>
      </c>
      <c r="U69" s="57">
        <f t="shared" si="3"/>
        <v>65.25</v>
      </c>
      <c r="V69" s="72">
        <f t="shared" si="2"/>
        <v>0.40781250000000002</v>
      </c>
    </row>
    <row r="70" spans="2:22" x14ac:dyDescent="0.25">
      <c r="B70" s="48" t="s">
        <v>304</v>
      </c>
      <c r="C70" s="48"/>
      <c r="D70" s="48"/>
      <c r="E70" s="48"/>
      <c r="F70" s="66"/>
      <c r="H70" s="132" t="s">
        <v>427</v>
      </c>
      <c r="I70" s="116">
        <f>+I69</f>
        <v>45</v>
      </c>
      <c r="J70" s="116" t="s">
        <v>40</v>
      </c>
      <c r="K70" s="116"/>
      <c r="L70" s="133">
        <f>+L69</f>
        <v>0.05</v>
      </c>
      <c r="M70" s="136">
        <f t="shared" si="30"/>
        <v>2.25</v>
      </c>
      <c r="N70" s="137">
        <v>10</v>
      </c>
      <c r="O70" s="138">
        <v>1</v>
      </c>
      <c r="P70" s="139">
        <f>+M70/O70</f>
        <v>2.25</v>
      </c>
      <c r="Q70" s="140">
        <f>+P70/160</f>
        <v>1.40625E-2</v>
      </c>
      <c r="R70" s="154">
        <f>+N70*M70*O70</f>
        <v>22.5</v>
      </c>
      <c r="T70" t="str">
        <f t="shared" si="1"/>
        <v>Helper</v>
      </c>
      <c r="U70" s="57">
        <f t="shared" si="3"/>
        <v>65.25</v>
      </c>
      <c r="V70" s="72">
        <f t="shared" si="2"/>
        <v>0.40781250000000002</v>
      </c>
    </row>
    <row r="71" spans="2:22" x14ac:dyDescent="0.25">
      <c r="B71" s="49" t="s">
        <v>387</v>
      </c>
      <c r="C71">
        <v>1</v>
      </c>
      <c r="D71" s="87" t="s">
        <v>324</v>
      </c>
      <c r="E71" s="11">
        <f>+SPECS!I18</f>
        <v>1294.92</v>
      </c>
      <c r="F71" s="108">
        <f t="shared" si="28"/>
        <v>1294.92</v>
      </c>
      <c r="H71" s="125" t="s">
        <v>380</v>
      </c>
      <c r="I71" s="125"/>
      <c r="J71" s="125"/>
      <c r="K71" s="125"/>
      <c r="L71" s="125"/>
      <c r="M71" s="125"/>
      <c r="N71" s="125"/>
      <c r="O71" s="125"/>
      <c r="P71" s="125"/>
      <c r="Q71" s="125"/>
      <c r="R71" s="126">
        <f>+R72+R73</f>
        <v>247</v>
      </c>
      <c r="T71" s="89" t="str">
        <f t="shared" ref="T71:T83" si="31">+H71</f>
        <v>House Hardware</v>
      </c>
      <c r="U71" s="57">
        <f t="shared" si="3"/>
        <v>0</v>
      </c>
      <c r="V71" s="72">
        <f t="shared" si="3"/>
        <v>0</v>
      </c>
    </row>
    <row r="72" spans="2:22" x14ac:dyDescent="0.25">
      <c r="B72" s="49" t="s">
        <v>388</v>
      </c>
      <c r="C72">
        <v>1</v>
      </c>
      <c r="D72" s="87" t="s">
        <v>324</v>
      </c>
      <c r="E72" s="11">
        <f>+SPECS!I19</f>
        <v>538.92000000000007</v>
      </c>
      <c r="F72" s="108">
        <f t="shared" si="28"/>
        <v>538.92000000000007</v>
      </c>
      <c r="H72" s="132" t="s">
        <v>421</v>
      </c>
      <c r="I72" s="116">
        <f>+SUM('HOUSE EST MODEL 3'!$C$64:$C$69)</f>
        <v>38</v>
      </c>
      <c r="J72" s="116" t="s">
        <v>324</v>
      </c>
      <c r="K72" s="116"/>
      <c r="L72" s="133">
        <f>15/60</f>
        <v>0.25</v>
      </c>
      <c r="M72" s="136">
        <f t="shared" ref="M72:M73" si="32">+L72*I72</f>
        <v>9.5</v>
      </c>
      <c r="N72" s="137">
        <v>16</v>
      </c>
      <c r="O72" s="138">
        <v>1</v>
      </c>
      <c r="P72" s="139">
        <f>+M72/O72</f>
        <v>9.5</v>
      </c>
      <c r="Q72" s="140">
        <f>+P72/160</f>
        <v>5.9374999999999997E-2</v>
      </c>
      <c r="R72" s="154">
        <f>+N72*M72*O72</f>
        <v>152</v>
      </c>
      <c r="T72" t="str">
        <f t="shared" si="31"/>
        <v>Laborer</v>
      </c>
      <c r="U72" s="57">
        <f t="shared" ref="U72:V83" si="33">+P72*$U$1</f>
        <v>275.5</v>
      </c>
      <c r="V72" s="72">
        <f t="shared" si="33"/>
        <v>1.7218749999999998</v>
      </c>
    </row>
    <row r="73" spans="2:22" x14ac:dyDescent="0.25">
      <c r="B73" s="49" t="s">
        <v>389</v>
      </c>
      <c r="C73">
        <v>1</v>
      </c>
      <c r="D73" s="87" t="s">
        <v>324</v>
      </c>
      <c r="E73" s="11">
        <f>+SPECS!I20</f>
        <v>592.92000000000007</v>
      </c>
      <c r="F73" s="108">
        <f t="shared" si="28"/>
        <v>592.92000000000007</v>
      </c>
      <c r="H73" s="132" t="s">
        <v>427</v>
      </c>
      <c r="I73" s="116">
        <f>+I72</f>
        <v>38</v>
      </c>
      <c r="J73" s="116" t="s">
        <v>324</v>
      </c>
      <c r="K73" s="116"/>
      <c r="L73" s="133">
        <f>+L72</f>
        <v>0.25</v>
      </c>
      <c r="M73" s="136">
        <f t="shared" si="32"/>
        <v>9.5</v>
      </c>
      <c r="N73" s="137">
        <v>10</v>
      </c>
      <c r="O73" s="138">
        <v>1</v>
      </c>
      <c r="P73" s="139">
        <f>+M73/O73</f>
        <v>9.5</v>
      </c>
      <c r="Q73" s="140">
        <f>+P73/160</f>
        <v>5.9374999999999997E-2</v>
      </c>
      <c r="R73" s="154">
        <f>+N73*M73*O73</f>
        <v>95</v>
      </c>
      <c r="T73" t="str">
        <f t="shared" si="31"/>
        <v>Helper</v>
      </c>
      <c r="U73" s="57">
        <f t="shared" si="33"/>
        <v>275.5</v>
      </c>
      <c r="V73" s="72">
        <f t="shared" si="33"/>
        <v>1.7218749999999998</v>
      </c>
    </row>
    <row r="74" spans="2:22" x14ac:dyDescent="0.25">
      <c r="B74" s="49" t="s">
        <v>390</v>
      </c>
      <c r="C74">
        <v>1</v>
      </c>
      <c r="D74" s="87" t="s">
        <v>324</v>
      </c>
      <c r="E74" s="11">
        <f>+SPECS!I21</f>
        <v>431.98920000000004</v>
      </c>
      <c r="F74" s="108">
        <f t="shared" si="28"/>
        <v>431.98920000000004</v>
      </c>
      <c r="H74" s="125" t="s">
        <v>304</v>
      </c>
      <c r="I74" s="125"/>
      <c r="J74" s="125"/>
      <c r="K74" s="125"/>
      <c r="L74" s="125"/>
      <c r="M74" s="125"/>
      <c r="N74" s="125"/>
      <c r="O74" s="125"/>
      <c r="P74" s="125"/>
      <c r="Q74" s="125"/>
      <c r="R74" s="126">
        <f>+R75+R76</f>
        <v>104</v>
      </c>
      <c r="T74" s="89" t="str">
        <f t="shared" si="31"/>
        <v>Appliances</v>
      </c>
      <c r="U74" s="57">
        <f t="shared" si="33"/>
        <v>0</v>
      </c>
      <c r="V74" s="72">
        <f t="shared" si="33"/>
        <v>0</v>
      </c>
    </row>
    <row r="75" spans="2:22" x14ac:dyDescent="0.25">
      <c r="B75" s="48" t="s">
        <v>391</v>
      </c>
      <c r="C75" s="48"/>
      <c r="D75" s="48"/>
      <c r="E75" s="48"/>
      <c r="F75" s="66"/>
      <c r="H75" s="132" t="s">
        <v>421</v>
      </c>
      <c r="I75" s="116">
        <f>+SUM('HOUSE EST MODEL 3'!$C$71:$C$74)</f>
        <v>4</v>
      </c>
      <c r="J75" s="116" t="s">
        <v>324</v>
      </c>
      <c r="K75" s="116"/>
      <c r="L75" s="133">
        <v>1</v>
      </c>
      <c r="M75" s="136">
        <f t="shared" ref="M75:M76" si="34">+L75*I75</f>
        <v>4</v>
      </c>
      <c r="N75" s="137">
        <v>16</v>
      </c>
      <c r="O75" s="138">
        <v>1</v>
      </c>
      <c r="P75" s="139">
        <f>+M75/O75</f>
        <v>4</v>
      </c>
      <c r="Q75" s="140">
        <f>+P75/160</f>
        <v>2.5000000000000001E-2</v>
      </c>
      <c r="R75" s="154">
        <f>+N75*M75*O75</f>
        <v>64</v>
      </c>
      <c r="T75" t="str">
        <f t="shared" si="31"/>
        <v>Laborer</v>
      </c>
      <c r="U75" s="57">
        <f t="shared" si="33"/>
        <v>116</v>
      </c>
      <c r="V75" s="72">
        <f t="shared" si="33"/>
        <v>0.72500000000000009</v>
      </c>
    </row>
    <row r="76" spans="2:22" x14ac:dyDescent="0.25">
      <c r="B76" s="49" t="s">
        <v>392</v>
      </c>
      <c r="C76">
        <v>1</v>
      </c>
      <c r="D76" s="87" t="s">
        <v>324</v>
      </c>
      <c r="E76" s="11">
        <f>+SPECS!I41</f>
        <v>432.30239999999998</v>
      </c>
      <c r="F76" s="108">
        <f t="shared" si="28"/>
        <v>432.30239999999998</v>
      </c>
      <c r="H76" s="132" t="s">
        <v>427</v>
      </c>
      <c r="I76" s="116">
        <f>+I75</f>
        <v>4</v>
      </c>
      <c r="J76" s="116" t="s">
        <v>324</v>
      </c>
      <c r="K76" s="116"/>
      <c r="L76" s="133">
        <f>+L75</f>
        <v>1</v>
      </c>
      <c r="M76" s="136">
        <f t="shared" si="34"/>
        <v>4</v>
      </c>
      <c r="N76" s="137">
        <v>10</v>
      </c>
      <c r="O76" s="138">
        <v>1</v>
      </c>
      <c r="P76" s="139">
        <f>+M76/O76</f>
        <v>4</v>
      </c>
      <c r="Q76" s="140">
        <f>+P76/160</f>
        <v>2.5000000000000001E-2</v>
      </c>
      <c r="R76" s="154">
        <f>+N76*M76*O76</f>
        <v>40</v>
      </c>
      <c r="T76" t="str">
        <f t="shared" si="31"/>
        <v>Helper</v>
      </c>
      <c r="U76" s="57">
        <f t="shared" si="33"/>
        <v>116</v>
      </c>
      <c r="V76" s="72">
        <f t="shared" si="33"/>
        <v>0.72500000000000009</v>
      </c>
    </row>
    <row r="77" spans="2:22" x14ac:dyDescent="0.25">
      <c r="B77" s="49" t="s">
        <v>393</v>
      </c>
      <c r="C77">
        <v>1</v>
      </c>
      <c r="D77" s="87" t="s">
        <v>324</v>
      </c>
      <c r="E77" s="11">
        <f>+SPECS!I42</f>
        <v>139.61160000000001</v>
      </c>
      <c r="F77" s="108">
        <f t="shared" si="28"/>
        <v>139.61160000000001</v>
      </c>
      <c r="H77" s="125" t="s">
        <v>391</v>
      </c>
      <c r="I77" s="125"/>
      <c r="J77" s="125"/>
      <c r="K77" s="125"/>
      <c r="L77" s="125"/>
      <c r="M77" s="125"/>
      <c r="N77" s="125"/>
      <c r="O77" s="125"/>
      <c r="P77" s="125"/>
      <c r="Q77" s="125"/>
      <c r="R77" s="126">
        <f>+R78+R79</f>
        <v>221</v>
      </c>
      <c r="T77" s="89" t="str">
        <f t="shared" si="31"/>
        <v>Plumbing Fixtures</v>
      </c>
      <c r="U77" s="57">
        <f t="shared" si="33"/>
        <v>0</v>
      </c>
      <c r="V77" s="72">
        <f t="shared" si="33"/>
        <v>0</v>
      </c>
    </row>
    <row r="78" spans="2:22" x14ac:dyDescent="0.25">
      <c r="B78" s="49" t="s">
        <v>394</v>
      </c>
      <c r="C78">
        <v>1</v>
      </c>
      <c r="D78" s="87" t="s">
        <v>324</v>
      </c>
      <c r="E78" s="11">
        <f>+SPECS!I40</f>
        <v>187.0128</v>
      </c>
      <c r="F78" s="108">
        <f t="shared" si="28"/>
        <v>187.0128</v>
      </c>
      <c r="H78" s="132" t="s">
        <v>421</v>
      </c>
      <c r="I78" s="116">
        <f>+SUM('HOUSE EST MODEL 3'!$C$76:$C$85)</f>
        <v>17</v>
      </c>
      <c r="J78" s="116" t="s">
        <v>324</v>
      </c>
      <c r="K78" s="116"/>
      <c r="L78" s="133">
        <v>0.5</v>
      </c>
      <c r="M78" s="136">
        <f t="shared" ref="M78:M79" si="35">+L78*I78</f>
        <v>8.5</v>
      </c>
      <c r="N78" s="137">
        <v>16</v>
      </c>
      <c r="O78" s="138">
        <v>1</v>
      </c>
      <c r="P78" s="139">
        <f>+M78/O78</f>
        <v>8.5</v>
      </c>
      <c r="Q78" s="140">
        <f>+P78/160</f>
        <v>5.3124999999999999E-2</v>
      </c>
      <c r="R78" s="154">
        <f>+N78*M78*O78</f>
        <v>136</v>
      </c>
      <c r="T78" t="str">
        <f t="shared" si="31"/>
        <v>Laborer</v>
      </c>
      <c r="U78" s="57">
        <f t="shared" si="33"/>
        <v>246.5</v>
      </c>
      <c r="V78" s="72">
        <f t="shared" si="33"/>
        <v>1.5406249999999999</v>
      </c>
    </row>
    <row r="79" spans="2:22" x14ac:dyDescent="0.25">
      <c r="B79" s="49" t="s">
        <v>395</v>
      </c>
      <c r="C79">
        <v>2</v>
      </c>
      <c r="D79" s="87" t="s">
        <v>324</v>
      </c>
      <c r="E79" s="11">
        <f>+SPECS!I43</f>
        <v>108.6156</v>
      </c>
      <c r="F79" s="108">
        <f t="shared" si="28"/>
        <v>217.2312</v>
      </c>
      <c r="H79" s="132" t="s">
        <v>427</v>
      </c>
      <c r="I79" s="116">
        <f>+I78</f>
        <v>17</v>
      </c>
      <c r="J79" s="116" t="s">
        <v>324</v>
      </c>
      <c r="K79" s="116"/>
      <c r="L79" s="133">
        <f>+L78</f>
        <v>0.5</v>
      </c>
      <c r="M79" s="136">
        <f t="shared" si="35"/>
        <v>8.5</v>
      </c>
      <c r="N79" s="137">
        <v>10</v>
      </c>
      <c r="O79" s="138">
        <v>1</v>
      </c>
      <c r="P79" s="139">
        <f>+M79/O79</f>
        <v>8.5</v>
      </c>
      <c r="Q79" s="140">
        <f>+P79/160</f>
        <v>5.3124999999999999E-2</v>
      </c>
      <c r="R79" s="154">
        <f>+N79*M79*O79</f>
        <v>85</v>
      </c>
      <c r="T79" t="str">
        <f t="shared" si="31"/>
        <v>Helper</v>
      </c>
      <c r="U79" s="57">
        <f t="shared" si="33"/>
        <v>246.5</v>
      </c>
      <c r="V79" s="72">
        <f t="shared" si="33"/>
        <v>1.5406249999999999</v>
      </c>
    </row>
    <row r="80" spans="2:22" x14ac:dyDescent="0.25">
      <c r="B80" s="49" t="s">
        <v>396</v>
      </c>
      <c r="C80">
        <v>2</v>
      </c>
      <c r="D80" s="87" t="s">
        <v>324</v>
      </c>
      <c r="E80" s="11">
        <f>+SPECS!I46</f>
        <v>87.469200000000001</v>
      </c>
      <c r="F80" s="108">
        <f t="shared" si="28"/>
        <v>174.9384</v>
      </c>
      <c r="H80" s="125" t="s">
        <v>402</v>
      </c>
      <c r="I80" s="125"/>
      <c r="J80" s="125"/>
      <c r="K80" s="125"/>
      <c r="L80" s="125"/>
      <c r="M80" s="125"/>
      <c r="N80" s="125"/>
      <c r="O80" s="125"/>
      <c r="P80" s="125"/>
      <c r="Q80" s="125"/>
      <c r="R80" s="126">
        <f>+R81+R82</f>
        <v>702</v>
      </c>
      <c r="T80" s="89" t="str">
        <f t="shared" si="31"/>
        <v>Electrical Fixtures</v>
      </c>
      <c r="U80" s="57">
        <f t="shared" si="33"/>
        <v>0</v>
      </c>
      <c r="V80" s="72">
        <f t="shared" si="33"/>
        <v>0</v>
      </c>
    </row>
    <row r="81" spans="2:22" x14ac:dyDescent="0.25">
      <c r="B81" s="49" t="s">
        <v>397</v>
      </c>
      <c r="C81">
        <v>2</v>
      </c>
      <c r="D81" s="87" t="s">
        <v>324</v>
      </c>
      <c r="E81" s="11">
        <f>+SPECS!I44</f>
        <v>64.800000000000011</v>
      </c>
      <c r="F81" s="108">
        <f t="shared" si="28"/>
        <v>129.60000000000002</v>
      </c>
      <c r="H81" s="132" t="s">
        <v>421</v>
      </c>
      <c r="I81" s="116">
        <f>+SUM('HOUSE EST MODEL 3'!$C$87:$C$94)</f>
        <v>54</v>
      </c>
      <c r="J81" s="116" t="s">
        <v>324</v>
      </c>
      <c r="K81" s="116"/>
      <c r="L81" s="133">
        <v>0.5</v>
      </c>
      <c r="M81" s="136">
        <f t="shared" ref="M81:M82" si="36">+L81*I81</f>
        <v>27</v>
      </c>
      <c r="N81" s="137">
        <v>16</v>
      </c>
      <c r="O81" s="138">
        <v>1</v>
      </c>
      <c r="P81" s="139">
        <f>+M81/O81</f>
        <v>27</v>
      </c>
      <c r="Q81" s="140">
        <f>+P81/160</f>
        <v>0.16875000000000001</v>
      </c>
      <c r="R81" s="154">
        <f>+N81*M81*O81</f>
        <v>432</v>
      </c>
      <c r="T81" t="str">
        <f t="shared" si="31"/>
        <v>Laborer</v>
      </c>
      <c r="U81" s="57">
        <f t="shared" si="33"/>
        <v>783</v>
      </c>
      <c r="V81" s="72">
        <f t="shared" si="33"/>
        <v>4.8937500000000007</v>
      </c>
    </row>
    <row r="82" spans="2:22" x14ac:dyDescent="0.25">
      <c r="B82" s="49" t="s">
        <v>398</v>
      </c>
      <c r="C82">
        <v>2</v>
      </c>
      <c r="D82" s="87" t="s">
        <v>324</v>
      </c>
      <c r="E82" s="11">
        <f>+SPECS!I45</f>
        <v>38.577600000000004</v>
      </c>
      <c r="F82" s="108">
        <f t="shared" si="28"/>
        <v>77.155200000000008</v>
      </c>
      <c r="H82" s="132" t="s">
        <v>427</v>
      </c>
      <c r="I82" s="116">
        <f>+I81</f>
        <v>54</v>
      </c>
      <c r="J82" s="116" t="s">
        <v>324</v>
      </c>
      <c r="K82" s="116"/>
      <c r="L82" s="133">
        <f>+L81</f>
        <v>0.5</v>
      </c>
      <c r="M82" s="136">
        <f t="shared" si="36"/>
        <v>27</v>
      </c>
      <c r="N82" s="137">
        <v>10</v>
      </c>
      <c r="O82" s="138">
        <v>1</v>
      </c>
      <c r="P82" s="139">
        <f>+M82/O82</f>
        <v>27</v>
      </c>
      <c r="Q82" s="140">
        <f>+P82/160</f>
        <v>0.16875000000000001</v>
      </c>
      <c r="R82" s="154">
        <f>+N82*M82*O82</f>
        <v>270</v>
      </c>
      <c r="T82" t="str">
        <f t="shared" si="31"/>
        <v>Helper</v>
      </c>
      <c r="U82" s="57">
        <f t="shared" si="33"/>
        <v>783</v>
      </c>
      <c r="V82" s="72">
        <f t="shared" si="33"/>
        <v>4.8937500000000007</v>
      </c>
    </row>
    <row r="83" spans="2:22" x14ac:dyDescent="0.25">
      <c r="B83" s="49" t="s">
        <v>399</v>
      </c>
      <c r="C83">
        <v>2</v>
      </c>
      <c r="D83" s="87" t="s">
        <v>324</v>
      </c>
      <c r="E83" s="11">
        <f>+SPECS!I47</f>
        <v>28.069199999999999</v>
      </c>
      <c r="F83" s="108">
        <f t="shared" si="28"/>
        <v>56.138399999999997</v>
      </c>
      <c r="H83" s="149" t="s">
        <v>436</v>
      </c>
      <c r="I83" s="149"/>
      <c r="J83" s="149"/>
      <c r="K83" s="149"/>
      <c r="L83" s="149"/>
      <c r="M83" s="149"/>
      <c r="N83" s="149"/>
      <c r="O83" s="149"/>
      <c r="P83" s="149"/>
      <c r="Q83" s="149"/>
      <c r="R83" s="152">
        <f>+R4+R12+R15+R18+R21+R24+R27+R31+R34+R37+R41+R44+R47+R50+R53+R59+R56+R62+R65+R68+R71+R74+R77+R80</f>
        <v>20772.542666666664</v>
      </c>
      <c r="T83" t="str">
        <f t="shared" si="31"/>
        <v>SUB TOTAL LABOR</v>
      </c>
      <c r="U83" s="57">
        <f t="shared" si="33"/>
        <v>0</v>
      </c>
      <c r="V83" s="72">
        <f t="shared" si="33"/>
        <v>0</v>
      </c>
    </row>
    <row r="84" spans="2:22" x14ac:dyDescent="0.25">
      <c r="B84" s="49" t="s">
        <v>400</v>
      </c>
      <c r="C84">
        <v>2</v>
      </c>
      <c r="D84" s="87" t="s">
        <v>324</v>
      </c>
      <c r="E84" s="11">
        <f>+SPECS!I48</f>
        <v>51.224400000000003</v>
      </c>
      <c r="F84" s="108">
        <f t="shared" si="28"/>
        <v>102.44880000000001</v>
      </c>
      <c r="H84" s="116"/>
      <c r="I84" s="116"/>
      <c r="J84" s="116"/>
      <c r="K84" s="116"/>
      <c r="L84" s="116"/>
      <c r="M84" s="116"/>
      <c r="N84" s="116"/>
      <c r="O84" s="116"/>
      <c r="P84" s="116"/>
      <c r="Q84" s="116"/>
      <c r="R84" s="116"/>
    </row>
    <row r="85" spans="2:22" x14ac:dyDescent="0.25">
      <c r="B85" s="49" t="s">
        <v>401</v>
      </c>
      <c r="C85">
        <v>2</v>
      </c>
      <c r="D85" s="87" t="s">
        <v>324</v>
      </c>
      <c r="E85" s="11">
        <f>+SPECS!I49</f>
        <v>204.17400000000004</v>
      </c>
      <c r="F85" s="108">
        <f t="shared" si="28"/>
        <v>408.34800000000007</v>
      </c>
      <c r="H85" s="151" t="s">
        <v>437</v>
      </c>
      <c r="I85" s="152">
        <f>+F95+R83</f>
        <v>83207.997566666672</v>
      </c>
      <c r="J85" s="116"/>
      <c r="K85" s="116"/>
      <c r="L85" s="116"/>
      <c r="M85" s="116"/>
      <c r="N85" s="116"/>
      <c r="O85" s="116"/>
      <c r="P85" s="116"/>
      <c r="Q85" s="116"/>
      <c r="R85" s="116"/>
    </row>
    <row r="86" spans="2:22" x14ac:dyDescent="0.25">
      <c r="B86" s="48" t="s">
        <v>402</v>
      </c>
      <c r="C86" s="48"/>
      <c r="D86" s="48"/>
      <c r="E86" s="48"/>
      <c r="F86" s="66"/>
    </row>
    <row r="87" spans="2:22" x14ac:dyDescent="0.25">
      <c r="B87" s="49" t="s">
        <v>403</v>
      </c>
      <c r="C87">
        <v>3</v>
      </c>
      <c r="D87" t="s">
        <v>324</v>
      </c>
      <c r="E87" s="11">
        <f>+SPECS!I31</f>
        <v>41.040000000000006</v>
      </c>
      <c r="F87" s="108">
        <f t="shared" ref="F87:F94" si="37">+C87*E87</f>
        <v>123.12000000000002</v>
      </c>
      <c r="I87">
        <f>+I85*1.9</f>
        <v>158095.19537666667</v>
      </c>
    </row>
    <row r="88" spans="2:22" x14ac:dyDescent="0.25">
      <c r="B88" s="49" t="s">
        <v>404</v>
      </c>
      <c r="C88">
        <v>16</v>
      </c>
      <c r="D88" t="s">
        <v>324</v>
      </c>
      <c r="E88" s="11">
        <f>+SPECS!I33</f>
        <v>17.917200000000001</v>
      </c>
      <c r="F88" s="108">
        <f t="shared" si="37"/>
        <v>286.67520000000002</v>
      </c>
    </row>
    <row r="89" spans="2:22" x14ac:dyDescent="0.25">
      <c r="B89" s="49" t="s">
        <v>405</v>
      </c>
      <c r="C89">
        <v>2</v>
      </c>
      <c r="D89" t="s">
        <v>324</v>
      </c>
      <c r="E89" s="11">
        <f>+SPECS!I34</f>
        <v>81.183600000000013</v>
      </c>
      <c r="F89" s="108">
        <f t="shared" si="37"/>
        <v>162.36720000000003</v>
      </c>
    </row>
    <row r="90" spans="2:22" x14ac:dyDescent="0.25">
      <c r="B90" s="49" t="s">
        <v>406</v>
      </c>
      <c r="C90">
        <v>1</v>
      </c>
      <c r="D90" t="s">
        <v>324</v>
      </c>
      <c r="E90" s="11">
        <f>+SPECS!I32</f>
        <v>21.578400000000002</v>
      </c>
      <c r="F90" s="108">
        <f t="shared" si="37"/>
        <v>21.578400000000002</v>
      </c>
    </row>
    <row r="91" spans="2:22" x14ac:dyDescent="0.25">
      <c r="B91" s="49" t="s">
        <v>407</v>
      </c>
      <c r="C91">
        <v>2</v>
      </c>
      <c r="D91" t="s">
        <v>324</v>
      </c>
      <c r="E91" s="11">
        <f>+SPECS!I56</f>
        <v>25.92</v>
      </c>
      <c r="F91" s="108">
        <f t="shared" si="37"/>
        <v>51.84</v>
      </c>
    </row>
    <row r="92" spans="2:22" x14ac:dyDescent="0.25">
      <c r="B92" s="49" t="s">
        <v>408</v>
      </c>
      <c r="C92">
        <v>14</v>
      </c>
      <c r="D92" t="s">
        <v>324</v>
      </c>
      <c r="E92" s="11">
        <f>+SPECS!I51</f>
        <v>2.4084000000000003</v>
      </c>
      <c r="F92" s="108">
        <f t="shared" si="37"/>
        <v>33.717600000000004</v>
      </c>
    </row>
    <row r="93" spans="2:22" x14ac:dyDescent="0.25">
      <c r="B93" s="49" t="s">
        <v>409</v>
      </c>
      <c r="C93">
        <v>14</v>
      </c>
      <c r="D93" t="s">
        <v>324</v>
      </c>
      <c r="E93" s="11">
        <f>+SPECS!I52</f>
        <v>2.5099999999999998</v>
      </c>
      <c r="F93" s="108">
        <f t="shared" si="37"/>
        <v>35.14</v>
      </c>
    </row>
    <row r="94" spans="2:22" x14ac:dyDescent="0.25">
      <c r="B94" s="49" t="s">
        <v>410</v>
      </c>
      <c r="C94">
        <v>2</v>
      </c>
      <c r="D94" t="s">
        <v>324</v>
      </c>
      <c r="E94" s="11">
        <f>+SPECS!I57</f>
        <v>16.491600000000002</v>
      </c>
      <c r="F94" s="108">
        <f t="shared" si="37"/>
        <v>32.983200000000004</v>
      </c>
    </row>
    <row r="95" spans="2:22" x14ac:dyDescent="0.25">
      <c r="B95" s="58" t="s">
        <v>438</v>
      </c>
      <c r="C95" s="58"/>
      <c r="D95" s="58"/>
      <c r="E95" s="58"/>
      <c r="F95" s="67">
        <f>SUM(F3:F94)</f>
        <v>62435.454900000004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D93B0-9E9E-41AB-A0A0-C479122969FC}">
  <dimension ref="B1:V95"/>
  <sheetViews>
    <sheetView showGridLines="0" workbookViewId="0">
      <pane ySplit="2" topLeftCell="A3" activePane="bottomLeft" state="frozen"/>
      <selection pane="bottomLeft" activeCell="C11" sqref="C11"/>
    </sheetView>
    <sheetView topLeftCell="A76" workbookViewId="1">
      <selection activeCell="R85" sqref="R85"/>
    </sheetView>
  </sheetViews>
  <sheetFormatPr baseColWidth="10" defaultColWidth="11.42578125" defaultRowHeight="15" x14ac:dyDescent="0.25"/>
  <cols>
    <col min="2" max="2" width="46.5703125" bestFit="1" customWidth="1"/>
    <col min="5" max="5" width="12" style="11" bestFit="1" customWidth="1"/>
    <col min="6" max="6" width="11.85546875" style="63" bestFit="1" customWidth="1"/>
    <col min="8" max="8" width="28.5703125" bestFit="1" customWidth="1"/>
    <col min="11" max="11" width="12.5703125" bestFit="1" customWidth="1"/>
    <col min="13" max="13" width="11.7109375" customWidth="1"/>
    <col min="17" max="17" width="12.5703125" bestFit="1" customWidth="1"/>
    <col min="18" max="18" width="16.42578125" customWidth="1"/>
    <col min="20" max="20" width="21.7109375" bestFit="1" customWidth="1"/>
    <col min="21" max="22" width="11.5703125" customWidth="1"/>
  </cols>
  <sheetData>
    <row r="1" spans="2:22" x14ac:dyDescent="0.25">
      <c r="E1" s="106" t="s">
        <v>321</v>
      </c>
      <c r="F1" s="57">
        <f>+'HOUSE EST MODEL 1'!F1+'HOUSE EST MODEL 2'!F1+'HOUSE EST MODEL 3'!F1</f>
        <v>1475</v>
      </c>
      <c r="K1">
        <v>1000</v>
      </c>
      <c r="M1" s="57">
        <f>+'HOUSE EST MODEL 1'!M1+'HOUSE EST MODEL 2'!M1+'HOUSE EST MODEL 3'!M1</f>
        <v>0</v>
      </c>
      <c r="N1" s="106" t="s">
        <v>321</v>
      </c>
      <c r="O1" s="107"/>
      <c r="P1" s="107"/>
      <c r="Q1" s="107"/>
      <c r="R1" s="57">
        <f>+'HOUSE EST MODEL 1'!R1+'HOUSE EST MODEL 2'!R1+'HOUSE EST MODEL 3'!R1</f>
        <v>0</v>
      </c>
      <c r="T1" s="87" t="s">
        <v>431</v>
      </c>
      <c r="U1" s="57">
        <f>+'HOUSE EST MODEL 1'!U1+'HOUSE EST MODEL 2'!U1+'HOUSE EST MODEL 3'!U1</f>
        <v>57</v>
      </c>
    </row>
    <row r="2" spans="2:22" x14ac:dyDescent="0.25">
      <c r="B2" s="58" t="s">
        <v>322</v>
      </c>
      <c r="C2" s="58" t="s">
        <v>323</v>
      </c>
      <c r="D2" s="58" t="s">
        <v>324</v>
      </c>
      <c r="E2" s="59" t="s">
        <v>325</v>
      </c>
      <c r="F2" s="64" t="s">
        <v>326</v>
      </c>
      <c r="H2" s="58" t="s">
        <v>322</v>
      </c>
      <c r="I2" s="58" t="s">
        <v>323</v>
      </c>
      <c r="J2" s="58" t="s">
        <v>324</v>
      </c>
      <c r="K2" s="58" t="s">
        <v>411</v>
      </c>
      <c r="L2" s="58" t="s">
        <v>412</v>
      </c>
      <c r="M2" s="58" t="s">
        <v>413</v>
      </c>
      <c r="N2" s="59" t="s">
        <v>414</v>
      </c>
      <c r="O2" s="76" t="s">
        <v>415</v>
      </c>
      <c r="P2" s="76" t="s">
        <v>416</v>
      </c>
      <c r="Q2" s="76" t="s">
        <v>417</v>
      </c>
      <c r="R2" s="64" t="s">
        <v>326</v>
      </c>
      <c r="U2" s="57"/>
    </row>
    <row r="3" spans="2:22" x14ac:dyDescent="0.25">
      <c r="B3" s="47" t="s">
        <v>217</v>
      </c>
      <c r="C3" s="47"/>
      <c r="D3" s="47"/>
      <c r="E3" s="47"/>
      <c r="F3" s="65"/>
      <c r="H3" s="47" t="s">
        <v>217</v>
      </c>
      <c r="I3" s="47"/>
      <c r="J3" s="47"/>
      <c r="K3" s="47"/>
      <c r="L3" s="47"/>
      <c r="M3" s="47"/>
      <c r="N3" s="47"/>
      <c r="O3" s="47"/>
      <c r="P3" s="47"/>
      <c r="Q3" s="47"/>
      <c r="R3" s="65"/>
      <c r="U3" s="57"/>
    </row>
    <row r="4" spans="2:22" x14ac:dyDescent="0.25">
      <c r="B4" s="48" t="s">
        <v>221</v>
      </c>
      <c r="C4" s="48"/>
      <c r="D4" s="48"/>
      <c r="E4" s="48"/>
      <c r="F4" s="66"/>
      <c r="H4" s="48" t="s">
        <v>221</v>
      </c>
      <c r="I4" s="48"/>
      <c r="J4" s="48"/>
      <c r="K4" s="48"/>
      <c r="L4" s="48"/>
      <c r="M4" s="48"/>
      <c r="N4" s="48"/>
      <c r="O4" s="48"/>
      <c r="P4" s="48"/>
      <c r="Q4" s="48"/>
      <c r="R4" s="66">
        <f>+SUM(R6:R10)</f>
        <v>164156.36244943517</v>
      </c>
      <c r="U4" s="91" t="s">
        <v>434</v>
      </c>
      <c r="V4" s="92" t="s">
        <v>435</v>
      </c>
    </row>
    <row r="5" spans="2:22" x14ac:dyDescent="0.25">
      <c r="B5" s="49" t="s">
        <v>327</v>
      </c>
      <c r="C5" s="57">
        <f>+'HOUSE EST MODEL 1'!C5+'HOUSE EST MODEL 2'!C5+'HOUSE EST MODEL 3'!C5</f>
        <v>4490</v>
      </c>
      <c r="D5" t="s">
        <v>40</v>
      </c>
      <c r="E5" s="11">
        <v>3</v>
      </c>
      <c r="F5" s="108">
        <f>+C5*E5</f>
        <v>13470</v>
      </c>
      <c r="H5" s="73" t="s">
        <v>328</v>
      </c>
      <c r="I5" s="46">
        <f>+'HOUSE EST TOTAL'!$C$5</f>
        <v>4490</v>
      </c>
      <c r="J5" s="46" t="s">
        <v>40</v>
      </c>
      <c r="K5" s="46"/>
      <c r="L5" s="46"/>
      <c r="M5" s="111"/>
      <c r="N5" s="112"/>
      <c r="O5" s="107"/>
      <c r="P5" s="107"/>
      <c r="Q5" s="107"/>
      <c r="R5" s="108"/>
      <c r="T5" s="88" t="str">
        <f t="shared" ref="T5:T36" si="0">+H5</f>
        <v>Framing Labor</v>
      </c>
      <c r="U5" s="57"/>
    </row>
    <row r="6" spans="2:22" x14ac:dyDescent="0.25">
      <c r="B6" s="49" t="s">
        <v>329</v>
      </c>
      <c r="C6" s="57">
        <f>+'HOUSE EST MODEL 1'!C6+'HOUSE EST MODEL 2'!C6+'HOUSE EST MODEL 3'!C6</f>
        <v>1475</v>
      </c>
      <c r="D6" t="s">
        <v>40</v>
      </c>
      <c r="E6" s="11">
        <v>3</v>
      </c>
      <c r="F6" s="108">
        <f t="shared" ref="F6" si="1">+C6*E6</f>
        <v>4425</v>
      </c>
      <c r="H6" s="74" t="s">
        <v>420</v>
      </c>
      <c r="I6" s="87">
        <f>+I5</f>
        <v>4490</v>
      </c>
      <c r="J6" t="s">
        <v>40</v>
      </c>
      <c r="K6" s="82">
        <v>69.25</v>
      </c>
      <c r="L6" s="84">
        <f>+K6/1000</f>
        <v>6.9250000000000006E-2</v>
      </c>
      <c r="M6" s="57">
        <f>+L6*I6</f>
        <v>310.9325</v>
      </c>
      <c r="N6" s="80">
        <v>16</v>
      </c>
      <c r="O6" s="93">
        <v>9.2308330146086242</v>
      </c>
      <c r="P6" s="79">
        <f>+M6/O6</f>
        <v>33.68412141221939</v>
      </c>
      <c r="Q6" s="78">
        <f>+P6/160</f>
        <v>0.2105257588263712</v>
      </c>
      <c r="R6" s="75">
        <f>+N6*M6*O6</f>
        <v>45922.655781036738</v>
      </c>
      <c r="T6" t="str">
        <f t="shared" si="0"/>
        <v>Carpenter - Armador</v>
      </c>
      <c r="U6" s="57">
        <f>+P6*$U$1</f>
        <v>1919.9949204965053</v>
      </c>
      <c r="V6" s="72">
        <f>+Q6*$U$1</f>
        <v>11.999968253103159</v>
      </c>
    </row>
    <row r="7" spans="2:22" x14ac:dyDescent="0.25">
      <c r="B7" s="47" t="s">
        <v>331</v>
      </c>
      <c r="C7" s="47"/>
      <c r="D7" s="47"/>
      <c r="E7" s="47"/>
      <c r="F7" s="65"/>
      <c r="H7" s="74" t="s">
        <v>427</v>
      </c>
      <c r="I7" s="87">
        <f>+I5</f>
        <v>4490</v>
      </c>
      <c r="J7" t="s">
        <v>40</v>
      </c>
      <c r="K7">
        <f>+K6</f>
        <v>69.25</v>
      </c>
      <c r="L7" s="84">
        <f>+K7/1000</f>
        <v>6.9250000000000006E-2</v>
      </c>
      <c r="M7" s="57">
        <f>+L7*I7</f>
        <v>310.9325</v>
      </c>
      <c r="N7" s="80">
        <v>10</v>
      </c>
      <c r="O7" s="93">
        <v>9.23080859375</v>
      </c>
      <c r="P7" s="79">
        <f>+M7/O7</f>
        <v>33.684210526315788</v>
      </c>
      <c r="Q7" s="78">
        <f>+P7/160</f>
        <v>0.21052631578947367</v>
      </c>
      <c r="R7" s="75">
        <f>+N7*M7*O7</f>
        <v>28701.583930761717</v>
      </c>
      <c r="T7" t="str">
        <f t="shared" si="0"/>
        <v>Helper</v>
      </c>
      <c r="U7" s="57">
        <f>+P7*$U$1</f>
        <v>1920</v>
      </c>
      <c r="V7" s="72">
        <f t="shared" ref="V7:V70" si="2">+Q7*$U$1</f>
        <v>12</v>
      </c>
    </row>
    <row r="8" spans="2:22" x14ac:dyDescent="0.25">
      <c r="B8" s="48" t="s">
        <v>332</v>
      </c>
      <c r="C8" s="48"/>
      <c r="D8" s="48"/>
      <c r="E8" s="48"/>
      <c r="F8" s="66"/>
      <c r="H8" s="73" t="s">
        <v>330</v>
      </c>
      <c r="I8" s="46">
        <f>+'HOUSE EST TOTAL'!$C$6</f>
        <v>1475</v>
      </c>
      <c r="J8" s="46" t="s">
        <v>40</v>
      </c>
      <c r="L8" s="71"/>
      <c r="N8" s="11"/>
      <c r="O8" s="78"/>
      <c r="P8" s="77"/>
      <c r="Q8" s="77"/>
      <c r="R8" s="108"/>
      <c r="T8" s="88" t="str">
        <f t="shared" si="0"/>
        <v>Roofing labor</v>
      </c>
      <c r="U8" s="57">
        <f t="shared" ref="U8:V71" si="3">+P8*$U$1</f>
        <v>0</v>
      </c>
      <c r="V8" s="72">
        <f t="shared" si="2"/>
        <v>0</v>
      </c>
    </row>
    <row r="9" spans="2:22" x14ac:dyDescent="0.25">
      <c r="B9" s="49" t="s">
        <v>333</v>
      </c>
      <c r="C9" s="57">
        <f>+'HOUSE EST MODEL 1'!C9+'HOUSE EST MODEL 2'!C9+'HOUSE EST MODEL 3'!C9</f>
        <v>1475</v>
      </c>
      <c r="D9" t="s">
        <v>40</v>
      </c>
      <c r="E9" s="11">
        <f>+SPECS!I12</f>
        <v>2</v>
      </c>
      <c r="F9" s="108">
        <f>+C9*E9</f>
        <v>2950</v>
      </c>
      <c r="H9" s="74" t="s">
        <v>422</v>
      </c>
      <c r="I9" s="87">
        <f>+I8</f>
        <v>1475</v>
      </c>
      <c r="J9" t="s">
        <v>40</v>
      </c>
      <c r="K9" s="82">
        <f>12.6+48+28.8+33+45+45.5+9+9</f>
        <v>230.9</v>
      </c>
      <c r="L9" s="84">
        <f>+K9/1000</f>
        <v>0.23089999999999999</v>
      </c>
      <c r="M9" s="57">
        <f>+L9*I9</f>
        <v>340.57749999999999</v>
      </c>
      <c r="N9" s="80">
        <v>16</v>
      </c>
      <c r="O9" s="93">
        <v>10.110894531249999</v>
      </c>
      <c r="P9" s="79">
        <f t="shared" ref="P9:P10" si="4">+M9/O9</f>
        <v>33.684210526315795</v>
      </c>
      <c r="Q9" s="78">
        <f t="shared" ref="Q9:Q10" si="5">+P9/160</f>
        <v>0.21052631578947373</v>
      </c>
      <c r="R9" s="75">
        <f t="shared" ref="R9:R10" si="6">+N9*M9*O9</f>
        <v>55096.690915468738</v>
      </c>
      <c r="T9" t="str">
        <f t="shared" si="0"/>
        <v>Carpenter</v>
      </c>
      <c r="U9" s="57">
        <f t="shared" si="3"/>
        <v>1920.0000000000002</v>
      </c>
      <c r="V9" s="72">
        <f t="shared" si="2"/>
        <v>12.000000000000002</v>
      </c>
    </row>
    <row r="10" spans="2:22" x14ac:dyDescent="0.25">
      <c r="B10" s="48" t="s">
        <v>231</v>
      </c>
      <c r="C10" s="48"/>
      <c r="D10" s="48"/>
      <c r="E10" s="48"/>
      <c r="F10" s="66"/>
      <c r="H10" s="74" t="s">
        <v>427</v>
      </c>
      <c r="I10" s="87">
        <f>+I8</f>
        <v>1475</v>
      </c>
      <c r="J10" t="s">
        <v>40</v>
      </c>
      <c r="K10">
        <f>+K9</f>
        <v>230.9</v>
      </c>
      <c r="L10" s="84">
        <f>+K10/1000</f>
        <v>0.23089999999999999</v>
      </c>
      <c r="M10" s="57">
        <f>+L10*I10</f>
        <v>340.57749999999999</v>
      </c>
      <c r="N10" s="80">
        <v>10</v>
      </c>
      <c r="O10" s="93">
        <v>10.110894531249999</v>
      </c>
      <c r="P10" s="79">
        <f t="shared" si="4"/>
        <v>33.684210526315795</v>
      </c>
      <c r="Q10" s="78">
        <f t="shared" si="5"/>
        <v>0.21052631578947373</v>
      </c>
      <c r="R10" s="75">
        <f t="shared" si="6"/>
        <v>34435.431822167964</v>
      </c>
      <c r="T10" t="str">
        <f t="shared" si="0"/>
        <v>Helper</v>
      </c>
      <c r="U10" s="57">
        <f t="shared" si="3"/>
        <v>1920.0000000000002</v>
      </c>
      <c r="V10" s="72">
        <f t="shared" si="2"/>
        <v>12.000000000000002</v>
      </c>
    </row>
    <row r="11" spans="2:22" x14ac:dyDescent="0.25">
      <c r="B11" s="49" t="s">
        <v>335</v>
      </c>
      <c r="C11" s="57">
        <f>+'HOUSE EST MODEL 1'!C11+'HOUSE EST MODEL 2'!C11+'HOUSE EST MODEL 3'!C11</f>
        <v>12</v>
      </c>
      <c r="D11" s="87" t="s">
        <v>324</v>
      </c>
      <c r="E11" s="11">
        <f>+SPECS!I9</f>
        <v>289</v>
      </c>
      <c r="F11" s="108">
        <f>+C11*E11</f>
        <v>3468</v>
      </c>
      <c r="H11" s="47" t="s">
        <v>331</v>
      </c>
      <c r="I11" s="47"/>
      <c r="J11" s="47"/>
      <c r="K11" s="47"/>
      <c r="L11" s="85"/>
      <c r="M11" s="47"/>
      <c r="N11" s="47"/>
      <c r="O11" s="47"/>
      <c r="P11" s="47"/>
      <c r="Q11" s="47"/>
      <c r="R11" s="65"/>
      <c r="T11" s="90" t="str">
        <f t="shared" si="0"/>
        <v>Exteriors</v>
      </c>
      <c r="U11" s="57">
        <f t="shared" si="3"/>
        <v>0</v>
      </c>
      <c r="V11" s="72">
        <f t="shared" si="2"/>
        <v>0</v>
      </c>
    </row>
    <row r="12" spans="2:22" x14ac:dyDescent="0.25">
      <c r="B12" s="49" t="s">
        <v>336</v>
      </c>
      <c r="C12" s="57">
        <f>+'HOUSE EST MODEL 1'!C12+'HOUSE EST MODEL 2'!C12+'HOUSE EST MODEL 3'!C12</f>
        <v>4</v>
      </c>
      <c r="D12" s="87" t="s">
        <v>324</v>
      </c>
      <c r="E12" s="11">
        <f>+SPECS!I10</f>
        <v>238</v>
      </c>
      <c r="F12" s="108">
        <f>+C12*E12</f>
        <v>952</v>
      </c>
      <c r="H12" s="48" t="s">
        <v>332</v>
      </c>
      <c r="I12" s="48"/>
      <c r="J12" s="48"/>
      <c r="K12" s="48"/>
      <c r="L12" s="86"/>
      <c r="M12" s="48"/>
      <c r="N12" s="48"/>
      <c r="O12" s="48"/>
      <c r="P12" s="48"/>
      <c r="Q12" s="48"/>
      <c r="R12" s="66">
        <f>+R13+R14</f>
        <v>1316.5794687499999</v>
      </c>
      <c r="T12" s="89" t="str">
        <f t="shared" si="0"/>
        <v>Roofing Shingles</v>
      </c>
      <c r="U12" s="57">
        <f t="shared" si="3"/>
        <v>0</v>
      </c>
      <c r="V12" s="72">
        <f t="shared" si="2"/>
        <v>0</v>
      </c>
    </row>
    <row r="13" spans="2:22" x14ac:dyDescent="0.25">
      <c r="B13" s="48" t="s">
        <v>234</v>
      </c>
      <c r="C13" s="48"/>
      <c r="D13" s="48"/>
      <c r="E13" s="48"/>
      <c r="F13" s="66"/>
      <c r="H13" s="74" t="s">
        <v>426</v>
      </c>
      <c r="I13" s="57">
        <f>+'HOUSE EST TOTAL'!$C$9</f>
        <v>1475</v>
      </c>
      <c r="J13" t="s">
        <v>40</v>
      </c>
      <c r="K13" s="82">
        <v>2.8</v>
      </c>
      <c r="L13" s="84">
        <f>+K13/100</f>
        <v>2.7999999999999997E-2</v>
      </c>
      <c r="M13" s="57">
        <f>+L13*I13</f>
        <v>41.3</v>
      </c>
      <c r="N13" s="80">
        <v>16</v>
      </c>
      <c r="O13" s="93">
        <v>1.22609375</v>
      </c>
      <c r="P13" s="79">
        <f>+M13/O13</f>
        <v>33.684210526315788</v>
      </c>
      <c r="Q13" s="78">
        <f>+P13/160</f>
        <v>0.21052631578947367</v>
      </c>
      <c r="R13" s="75">
        <f>+N13*M13*O13</f>
        <v>810.20274999999992</v>
      </c>
      <c r="T13" t="str">
        <f t="shared" si="0"/>
        <v>Roofer</v>
      </c>
      <c r="U13" s="57">
        <f t="shared" si="3"/>
        <v>1920</v>
      </c>
      <c r="V13" s="72">
        <f t="shared" si="2"/>
        <v>12</v>
      </c>
    </row>
    <row r="14" spans="2:22" x14ac:dyDescent="0.25">
      <c r="B14" s="49" t="s">
        <v>337</v>
      </c>
      <c r="C14" s="57">
        <f>+'HOUSE EST MODEL 1'!C14+'HOUSE EST MODEL 2'!C14+'HOUSE EST MODEL 3'!C14</f>
        <v>3250</v>
      </c>
      <c r="D14" t="s">
        <v>40</v>
      </c>
      <c r="E14" s="109">
        <v>0.27</v>
      </c>
      <c r="F14" s="108">
        <f>+C14*E14</f>
        <v>877.50000000000011</v>
      </c>
      <c r="H14" s="74" t="s">
        <v>427</v>
      </c>
      <c r="I14" s="57">
        <f>+I13</f>
        <v>1475</v>
      </c>
      <c r="J14" t="s">
        <v>40</v>
      </c>
      <c r="K14" s="83">
        <f>+K13</f>
        <v>2.8</v>
      </c>
      <c r="L14" s="84">
        <f>+K14/100</f>
        <v>2.7999999999999997E-2</v>
      </c>
      <c r="M14" s="57">
        <f>+L14*I14</f>
        <v>41.3</v>
      </c>
      <c r="N14" s="80">
        <v>10</v>
      </c>
      <c r="O14" s="93">
        <v>1.22609375</v>
      </c>
      <c r="P14" s="79">
        <f>+M14/O14</f>
        <v>33.684210526315788</v>
      </c>
      <c r="Q14" s="78">
        <f>+P14/160</f>
        <v>0.21052631578947367</v>
      </c>
      <c r="R14" s="75">
        <f>+N14*M14*O14</f>
        <v>506.37671875000001</v>
      </c>
      <c r="T14" t="str">
        <f t="shared" si="0"/>
        <v>Helper</v>
      </c>
      <c r="U14" s="57">
        <f t="shared" si="3"/>
        <v>1920</v>
      </c>
      <c r="V14" s="72">
        <f t="shared" si="2"/>
        <v>12</v>
      </c>
    </row>
    <row r="15" spans="2:22" x14ac:dyDescent="0.25">
      <c r="B15" s="49" t="s">
        <v>338</v>
      </c>
      <c r="C15" s="57">
        <f>+'HOUSE EST MODEL 1'!C15+'HOUSE EST MODEL 2'!C15+'HOUSE EST MODEL 3'!C15</f>
        <v>3250</v>
      </c>
      <c r="D15" t="s">
        <v>40</v>
      </c>
      <c r="E15" s="109">
        <v>2.5</v>
      </c>
      <c r="F15" s="108">
        <f>+C15*E15</f>
        <v>8125</v>
      </c>
      <c r="G15" s="87" t="s">
        <v>339</v>
      </c>
      <c r="H15" s="48" t="s">
        <v>231</v>
      </c>
      <c r="I15" s="48"/>
      <c r="J15" s="48"/>
      <c r="K15" s="48"/>
      <c r="L15" s="48"/>
      <c r="M15" s="48"/>
      <c r="N15" s="48"/>
      <c r="O15" s="48"/>
      <c r="P15" s="48"/>
      <c r="Q15" s="48"/>
      <c r="R15" s="66">
        <f>+R16+R17</f>
        <v>197.60000000000002</v>
      </c>
      <c r="T15" s="89" t="str">
        <f t="shared" si="0"/>
        <v>Windows</v>
      </c>
      <c r="U15" s="57">
        <f t="shared" si="3"/>
        <v>0</v>
      </c>
      <c r="V15" s="72">
        <f t="shared" si="2"/>
        <v>0</v>
      </c>
    </row>
    <row r="16" spans="2:22" x14ac:dyDescent="0.25">
      <c r="B16" s="48" t="s">
        <v>340</v>
      </c>
      <c r="C16" s="48"/>
      <c r="D16" s="48"/>
      <c r="E16" s="48"/>
      <c r="F16" s="66"/>
      <c r="H16" s="74" t="s">
        <v>421</v>
      </c>
      <c r="I16">
        <f>+'HOUSE EST TOTAL'!$C$11+'HOUSE EST TOTAL'!$C$12</f>
        <v>16</v>
      </c>
      <c r="J16" s="87" t="s">
        <v>324</v>
      </c>
      <c r="K16" s="87"/>
      <c r="L16" s="87">
        <v>1</v>
      </c>
      <c r="M16" s="57">
        <f>+L16*I16</f>
        <v>16</v>
      </c>
      <c r="N16" s="80">
        <v>16</v>
      </c>
      <c r="O16" s="93">
        <v>0.47500000000000003</v>
      </c>
      <c r="P16" s="79">
        <f>+M16/O16</f>
        <v>33.684210526315788</v>
      </c>
      <c r="Q16" s="78">
        <f>+P16/160</f>
        <v>0.21052631578947367</v>
      </c>
      <c r="R16" s="75">
        <f>+N16*M16*O16</f>
        <v>121.60000000000001</v>
      </c>
      <c r="T16" t="str">
        <f t="shared" si="0"/>
        <v>Laborer</v>
      </c>
      <c r="U16" s="57">
        <f t="shared" si="3"/>
        <v>1920</v>
      </c>
      <c r="V16" s="72">
        <f t="shared" si="2"/>
        <v>12</v>
      </c>
    </row>
    <row r="17" spans="2:22" x14ac:dyDescent="0.25">
      <c r="B17" s="49" t="s">
        <v>341</v>
      </c>
      <c r="C17" s="57">
        <f>+'HOUSE EST MODEL 1'!C17+'HOUSE EST MODEL 2'!C17+'HOUSE EST MODEL 3'!C17</f>
        <v>283</v>
      </c>
      <c r="D17" s="87" t="s">
        <v>163</v>
      </c>
      <c r="E17" s="11">
        <f>+SPECS!I50</f>
        <v>2</v>
      </c>
      <c r="F17" s="108">
        <f>+C17*E17</f>
        <v>566</v>
      </c>
      <c r="H17" s="74" t="s">
        <v>427</v>
      </c>
      <c r="I17">
        <f>+I16</f>
        <v>16</v>
      </c>
      <c r="J17" s="87" t="s">
        <v>324</v>
      </c>
      <c r="K17" s="87"/>
      <c r="L17" s="87">
        <v>1</v>
      </c>
      <c r="M17" s="57">
        <f>+L17*I17</f>
        <v>16</v>
      </c>
      <c r="N17" s="80">
        <v>10</v>
      </c>
      <c r="O17" s="93">
        <v>0.47500000000000003</v>
      </c>
      <c r="P17" s="79">
        <f>+M17/O17</f>
        <v>33.684210526315788</v>
      </c>
      <c r="Q17" s="78">
        <f>+P17/160</f>
        <v>0.21052631578947367</v>
      </c>
      <c r="R17" s="75">
        <f>+N17*M17*O17</f>
        <v>76</v>
      </c>
      <c r="T17" t="str">
        <f t="shared" si="0"/>
        <v>Helper</v>
      </c>
      <c r="U17" s="57">
        <f t="shared" si="3"/>
        <v>1920</v>
      </c>
      <c r="V17" s="72">
        <f t="shared" si="2"/>
        <v>12</v>
      </c>
    </row>
    <row r="18" spans="2:22" x14ac:dyDescent="0.25">
      <c r="B18" s="49" t="s">
        <v>342</v>
      </c>
      <c r="C18" s="57">
        <f>+'HOUSE EST MODEL 1'!C18+'HOUSE EST MODEL 2'!C18+'HOUSE EST MODEL 3'!C18</f>
        <v>325</v>
      </c>
      <c r="D18" s="87" t="s">
        <v>163</v>
      </c>
      <c r="E18" s="11">
        <v>4</v>
      </c>
      <c r="F18" s="108">
        <f>+C18*E18</f>
        <v>1300</v>
      </c>
      <c r="H18" s="48" t="s">
        <v>234</v>
      </c>
      <c r="I18" s="48"/>
      <c r="J18" s="48"/>
      <c r="K18" s="48"/>
      <c r="L18" s="48"/>
      <c r="M18" s="48"/>
      <c r="N18" s="48"/>
      <c r="O18" s="48"/>
      <c r="P18" s="48"/>
      <c r="Q18" s="48"/>
      <c r="R18" s="66">
        <f>+R19+R20</f>
        <v>14381.767968750002</v>
      </c>
      <c r="T18" s="89" t="str">
        <f t="shared" si="0"/>
        <v>Siding</v>
      </c>
      <c r="U18" s="57">
        <f t="shared" si="3"/>
        <v>0</v>
      </c>
      <c r="V18" s="72">
        <f t="shared" si="2"/>
        <v>0</v>
      </c>
    </row>
    <row r="19" spans="2:22" x14ac:dyDescent="0.25">
      <c r="B19" s="48" t="s">
        <v>343</v>
      </c>
      <c r="C19" s="48"/>
      <c r="D19" s="48"/>
      <c r="E19" s="48"/>
      <c r="F19" s="66"/>
      <c r="H19" s="74" t="s">
        <v>421</v>
      </c>
      <c r="I19" s="57">
        <f>+'HOUSE EST TOTAL'!$C$14</f>
        <v>3250</v>
      </c>
      <c r="J19" t="s">
        <v>40</v>
      </c>
      <c r="K19" s="82">
        <v>4.2</v>
      </c>
      <c r="L19" s="84">
        <f>+K19/100</f>
        <v>4.2000000000000003E-2</v>
      </c>
      <c r="M19" s="57">
        <f>+L19*I19</f>
        <v>136.5</v>
      </c>
      <c r="N19" s="80">
        <v>16</v>
      </c>
      <c r="O19" s="93">
        <v>4.0523437500000004</v>
      </c>
      <c r="P19" s="79">
        <f>+M19/O19</f>
        <v>33.684210526315788</v>
      </c>
      <c r="Q19" s="78">
        <f>+P19/160</f>
        <v>0.21052631578947367</v>
      </c>
      <c r="R19" s="75">
        <f>+N19*M19*O19</f>
        <v>8850.3187500000004</v>
      </c>
      <c r="T19" t="str">
        <f t="shared" si="0"/>
        <v>Laborer</v>
      </c>
      <c r="U19" s="57">
        <f t="shared" si="3"/>
        <v>1920</v>
      </c>
      <c r="V19" s="72">
        <f t="shared" si="2"/>
        <v>12</v>
      </c>
    </row>
    <row r="20" spans="2:22" x14ac:dyDescent="0.25">
      <c r="B20" s="49" t="s">
        <v>344</v>
      </c>
      <c r="C20" s="57">
        <f>+'HOUSE EST MODEL 1'!C20+'HOUSE EST MODEL 2'!C20+'HOUSE EST MODEL 3'!C20</f>
        <v>3</v>
      </c>
      <c r="D20" s="87" t="s">
        <v>324</v>
      </c>
      <c r="E20" s="11">
        <f>+SPECS!I7</f>
        <v>421.20000000000005</v>
      </c>
      <c r="F20" s="108">
        <f>+C20*E20</f>
        <v>1263.6000000000001</v>
      </c>
      <c r="H20" s="74" t="s">
        <v>427</v>
      </c>
      <c r="I20" s="57">
        <f>+I19</f>
        <v>3250</v>
      </c>
      <c r="J20" t="s">
        <v>40</v>
      </c>
      <c r="K20" s="83">
        <f>+K19</f>
        <v>4.2</v>
      </c>
      <c r="L20" s="84">
        <f>+K20/100</f>
        <v>4.2000000000000003E-2</v>
      </c>
      <c r="M20" s="57">
        <f>+L20*I20</f>
        <v>136.5</v>
      </c>
      <c r="N20" s="80">
        <v>10</v>
      </c>
      <c r="O20" s="93">
        <v>4.0523437500000004</v>
      </c>
      <c r="P20" s="79">
        <f>+M20/O20</f>
        <v>33.684210526315788</v>
      </c>
      <c r="Q20" s="78">
        <f>+P20/160</f>
        <v>0.21052631578947367</v>
      </c>
      <c r="R20" s="75">
        <f>+N20*M20*O20</f>
        <v>5531.4492187500009</v>
      </c>
      <c r="T20" t="str">
        <f t="shared" si="0"/>
        <v>Helper</v>
      </c>
      <c r="U20" s="57">
        <f t="shared" si="3"/>
        <v>1920</v>
      </c>
      <c r="V20" s="72">
        <f t="shared" si="2"/>
        <v>12</v>
      </c>
    </row>
    <row r="21" spans="2:22" x14ac:dyDescent="0.25">
      <c r="B21" s="48" t="s">
        <v>242</v>
      </c>
      <c r="C21" s="48"/>
      <c r="D21" s="48"/>
      <c r="E21" s="48"/>
      <c r="F21" s="66"/>
      <c r="H21" s="48" t="s">
        <v>340</v>
      </c>
      <c r="I21" s="48"/>
      <c r="J21" s="48"/>
      <c r="K21" s="48"/>
      <c r="L21" s="48"/>
      <c r="M21" s="48"/>
      <c r="N21" s="48"/>
      <c r="O21" s="48"/>
      <c r="P21" s="48"/>
      <c r="Q21" s="48"/>
      <c r="R21" s="66">
        <f>+R22+R23</f>
        <v>1319.3862656000001</v>
      </c>
      <c r="T21" s="89" t="str">
        <f t="shared" si="0"/>
        <v>Exterior Trim</v>
      </c>
      <c r="U21" s="57">
        <f t="shared" si="3"/>
        <v>0</v>
      </c>
      <c r="V21" s="72">
        <f t="shared" si="2"/>
        <v>0</v>
      </c>
    </row>
    <row r="22" spans="2:22" x14ac:dyDescent="0.25">
      <c r="B22" s="49" t="s">
        <v>345</v>
      </c>
      <c r="C22" s="57">
        <f>+'HOUSE EST MODEL 1'!C22+'HOUSE EST MODEL 2'!C22+'HOUSE EST MODEL 3'!C22</f>
        <v>325</v>
      </c>
      <c r="D22" s="87" t="s">
        <v>163</v>
      </c>
      <c r="E22" s="11">
        <v>5</v>
      </c>
      <c r="F22" s="108">
        <f>+C22*E22</f>
        <v>1625</v>
      </c>
      <c r="H22" s="74" t="s">
        <v>421</v>
      </c>
      <c r="I22">
        <f>+'HOUSE EST TOTAL'!$C$17+'HOUSE EST TOTAL'!$C$18</f>
        <v>608</v>
      </c>
      <c r="J22" s="87" t="s">
        <v>163</v>
      </c>
      <c r="K22" s="82">
        <v>6.8</v>
      </c>
      <c r="L22" s="84">
        <f>+K22/100</f>
        <v>6.8000000000000005E-2</v>
      </c>
      <c r="M22" s="57">
        <f>+L22*I22</f>
        <v>41.344000000000001</v>
      </c>
      <c r="N22" s="80">
        <v>16</v>
      </c>
      <c r="O22" s="93">
        <v>1.2274</v>
      </c>
      <c r="P22" s="79">
        <f>+M22/O22</f>
        <v>33.684210526315788</v>
      </c>
      <c r="Q22" s="78">
        <f>+P22/160</f>
        <v>0.21052631578947367</v>
      </c>
      <c r="R22" s="75">
        <f>+N22*M22*O22</f>
        <v>811.93000960000006</v>
      </c>
      <c r="T22" t="str">
        <f t="shared" si="0"/>
        <v>Laborer</v>
      </c>
      <c r="U22" s="57">
        <f t="shared" si="3"/>
        <v>1920</v>
      </c>
      <c r="V22" s="72">
        <f t="shared" si="2"/>
        <v>12</v>
      </c>
    </row>
    <row r="23" spans="2:22" x14ac:dyDescent="0.25">
      <c r="B23" s="49" t="s">
        <v>346</v>
      </c>
      <c r="C23" s="57">
        <f>+'HOUSE EST MODEL 1'!C23+'HOUSE EST MODEL 2'!C23+'HOUSE EST MODEL 3'!C23</f>
        <v>140</v>
      </c>
      <c r="D23" s="87" t="s">
        <v>163</v>
      </c>
      <c r="E23" s="11">
        <v>5</v>
      </c>
      <c r="F23" s="108">
        <f t="shared" ref="F23" si="7">+C23*E23</f>
        <v>700</v>
      </c>
      <c r="H23" s="74" t="s">
        <v>427</v>
      </c>
      <c r="I23">
        <f>+I22</f>
        <v>608</v>
      </c>
      <c r="J23" s="87" t="s">
        <v>163</v>
      </c>
      <c r="K23" s="83">
        <f>+K22</f>
        <v>6.8</v>
      </c>
      <c r="L23" s="84">
        <f>+K23/100</f>
        <v>6.8000000000000005E-2</v>
      </c>
      <c r="M23" s="57">
        <f>+L23*I23</f>
        <v>41.344000000000001</v>
      </c>
      <c r="N23" s="80">
        <v>10</v>
      </c>
      <c r="O23" s="93">
        <v>1.2274</v>
      </c>
      <c r="P23" s="79">
        <f>+M23/O23</f>
        <v>33.684210526315788</v>
      </c>
      <c r="Q23" s="78">
        <f>+P23/160</f>
        <v>0.21052631578947367</v>
      </c>
      <c r="R23" s="75">
        <f>+N23*M23*O23</f>
        <v>507.456256</v>
      </c>
      <c r="T23" t="str">
        <f t="shared" si="0"/>
        <v>Helper</v>
      </c>
      <c r="U23" s="57">
        <f t="shared" si="3"/>
        <v>1920</v>
      </c>
      <c r="V23" s="72">
        <f t="shared" si="2"/>
        <v>12</v>
      </c>
    </row>
    <row r="24" spans="2:22" x14ac:dyDescent="0.25">
      <c r="B24" s="47" t="s">
        <v>347</v>
      </c>
      <c r="C24" s="47"/>
      <c r="D24" s="47"/>
      <c r="E24" s="47"/>
      <c r="F24" s="65"/>
      <c r="H24" s="48" t="s">
        <v>343</v>
      </c>
      <c r="I24" s="48"/>
      <c r="J24" s="48"/>
      <c r="K24" s="48"/>
      <c r="L24" s="48"/>
      <c r="M24" s="48"/>
      <c r="N24" s="48"/>
      <c r="O24" s="48"/>
      <c r="P24" s="48"/>
      <c r="Q24" s="48"/>
      <c r="R24" s="66">
        <f>+R25+R26</f>
        <v>54.463499999999982</v>
      </c>
      <c r="T24" s="89" t="str">
        <f t="shared" si="0"/>
        <v>Exterior Doors</v>
      </c>
      <c r="U24" s="57">
        <f t="shared" si="3"/>
        <v>0</v>
      </c>
      <c r="V24" s="72">
        <f t="shared" si="2"/>
        <v>0</v>
      </c>
    </row>
    <row r="25" spans="2:22" x14ac:dyDescent="0.25">
      <c r="B25" s="48" t="s">
        <v>348</v>
      </c>
      <c r="C25" s="48"/>
      <c r="D25" s="48"/>
      <c r="E25" s="48"/>
      <c r="F25" s="66"/>
      <c r="H25" s="74" t="s">
        <v>421</v>
      </c>
      <c r="I25">
        <f>+'HOUSE EST TOTAL'!$C$20</f>
        <v>3</v>
      </c>
      <c r="J25" s="87" t="s">
        <v>324</v>
      </c>
      <c r="K25" s="87"/>
      <c r="L25" s="87">
        <v>2.8</v>
      </c>
      <c r="M25" s="57">
        <f>+L25*I25</f>
        <v>8.3999999999999986</v>
      </c>
      <c r="N25" s="80">
        <v>16</v>
      </c>
      <c r="O25" s="93">
        <v>0.24937499999999999</v>
      </c>
      <c r="P25" s="79">
        <f>+M25/O25</f>
        <v>33.684210526315788</v>
      </c>
      <c r="Q25" s="78">
        <f>+P25/160</f>
        <v>0.21052631578947367</v>
      </c>
      <c r="R25" s="75">
        <f>+N25*M25*O25</f>
        <v>33.515999999999991</v>
      </c>
      <c r="T25" t="str">
        <f t="shared" si="0"/>
        <v>Laborer</v>
      </c>
      <c r="U25" s="57">
        <f t="shared" si="3"/>
        <v>1920</v>
      </c>
      <c r="V25" s="72">
        <f t="shared" si="2"/>
        <v>12</v>
      </c>
    </row>
    <row r="26" spans="2:22" x14ac:dyDescent="0.25">
      <c r="B26" s="49" t="s">
        <v>349</v>
      </c>
      <c r="C26" s="57">
        <f>+'HOUSE EST MODEL 1'!C26+'HOUSE EST MODEL 2'!C26+'HOUSE EST MODEL 3'!C26</f>
        <v>170</v>
      </c>
      <c r="D26" s="87" t="s">
        <v>163</v>
      </c>
      <c r="E26" s="11">
        <v>23</v>
      </c>
      <c r="F26" s="108">
        <f t="shared" ref="F26:F32" si="8">+C26*E26</f>
        <v>3910</v>
      </c>
      <c r="G26" s="13"/>
      <c r="H26" s="74" t="s">
        <v>427</v>
      </c>
      <c r="I26">
        <f>+I25</f>
        <v>3</v>
      </c>
      <c r="J26" s="87" t="s">
        <v>324</v>
      </c>
      <c r="K26" s="87"/>
      <c r="L26" s="87">
        <f>+L25</f>
        <v>2.8</v>
      </c>
      <c r="M26" s="57">
        <f>+L26*I26</f>
        <v>8.3999999999999986</v>
      </c>
      <c r="N26" s="80">
        <v>10</v>
      </c>
      <c r="O26" s="93">
        <v>0.24937499999999999</v>
      </c>
      <c r="P26" s="79">
        <f>+M26/O26</f>
        <v>33.684210526315788</v>
      </c>
      <c r="Q26" s="78">
        <f>+P26/160</f>
        <v>0.21052631578947367</v>
      </c>
      <c r="R26" s="75">
        <f>+N26*M26*O26</f>
        <v>20.947499999999994</v>
      </c>
      <c r="T26" t="str">
        <f t="shared" si="0"/>
        <v>Helper</v>
      </c>
      <c r="U26" s="57">
        <f t="shared" si="3"/>
        <v>1920</v>
      </c>
      <c r="V26" s="72">
        <f t="shared" si="2"/>
        <v>12</v>
      </c>
    </row>
    <row r="27" spans="2:22" x14ac:dyDescent="0.25">
      <c r="B27" s="49" t="s">
        <v>350</v>
      </c>
      <c r="C27" s="57">
        <f>+'HOUSE EST MODEL 1'!C27+'HOUSE EST MODEL 2'!C27+'HOUSE EST MODEL 3'!C27</f>
        <v>170</v>
      </c>
      <c r="D27" s="87" t="s">
        <v>163</v>
      </c>
      <c r="E27" s="11">
        <v>38</v>
      </c>
      <c r="F27" s="108">
        <f t="shared" si="8"/>
        <v>6460</v>
      </c>
      <c r="G27" s="13"/>
      <c r="H27" s="48" t="s">
        <v>242</v>
      </c>
      <c r="I27" s="48"/>
      <c r="J27" s="48"/>
      <c r="K27" s="48"/>
      <c r="L27" s="48"/>
      <c r="M27" s="48"/>
      <c r="N27" s="48"/>
      <c r="O27" s="48"/>
      <c r="P27" s="48"/>
      <c r="Q27" s="48"/>
      <c r="R27" s="66">
        <f>+R28+R29</f>
        <v>185.44296875000001</v>
      </c>
      <c r="T27" s="89" t="str">
        <f t="shared" si="0"/>
        <v>Gutters</v>
      </c>
      <c r="U27" s="57">
        <f t="shared" si="3"/>
        <v>0</v>
      </c>
      <c r="V27" s="72">
        <f t="shared" si="2"/>
        <v>0</v>
      </c>
    </row>
    <row r="28" spans="2:22" x14ac:dyDescent="0.25">
      <c r="B28" s="49" t="s">
        <v>351</v>
      </c>
      <c r="C28" s="57">
        <f>+'HOUSE EST MODEL 1'!C28+'HOUSE EST MODEL 2'!C28+'HOUSE EST MODEL 3'!C28</f>
        <v>3</v>
      </c>
      <c r="D28" s="87" t="s">
        <v>324</v>
      </c>
      <c r="E28" s="11">
        <v>625</v>
      </c>
      <c r="F28" s="108">
        <f t="shared" si="8"/>
        <v>1875</v>
      </c>
      <c r="H28" s="74" t="s">
        <v>421</v>
      </c>
      <c r="I28">
        <f>+'HOUSE EST TOTAL'!$C$22+'HOUSE EST TOTAL'!$C$23</f>
        <v>465</v>
      </c>
      <c r="J28" s="87" t="s">
        <v>163</v>
      </c>
      <c r="K28" s="87"/>
      <c r="L28" s="114">
        <f>1/30</f>
        <v>3.3333333333333333E-2</v>
      </c>
      <c r="M28" s="57">
        <f>+L28*I28</f>
        <v>15.5</v>
      </c>
      <c r="N28" s="80">
        <v>16</v>
      </c>
      <c r="O28" s="93">
        <v>0.46015625000000004</v>
      </c>
      <c r="P28" s="79">
        <f>+M28/O28</f>
        <v>33.684210526315788</v>
      </c>
      <c r="Q28" s="78">
        <f>+P28/160</f>
        <v>0.21052631578947367</v>
      </c>
      <c r="R28" s="75">
        <f>+N28*M28*O28</f>
        <v>114.11875000000001</v>
      </c>
      <c r="T28" t="str">
        <f t="shared" si="0"/>
        <v>Laborer</v>
      </c>
      <c r="U28" s="57">
        <f t="shared" si="3"/>
        <v>1920</v>
      </c>
      <c r="V28" s="72">
        <f t="shared" si="2"/>
        <v>12</v>
      </c>
    </row>
    <row r="29" spans="2:22" x14ac:dyDescent="0.25">
      <c r="B29" s="48" t="s">
        <v>352</v>
      </c>
      <c r="C29" s="48"/>
      <c r="D29" s="48"/>
      <c r="E29" s="48"/>
      <c r="F29" s="66"/>
      <c r="H29" s="74" t="s">
        <v>427</v>
      </c>
      <c r="I29">
        <f>+I28</f>
        <v>465</v>
      </c>
      <c r="J29" s="87" t="s">
        <v>163</v>
      </c>
      <c r="K29" s="87"/>
      <c r="L29" s="114">
        <f>+L28</f>
        <v>3.3333333333333333E-2</v>
      </c>
      <c r="M29" s="57">
        <f>+L29*I29</f>
        <v>15.5</v>
      </c>
      <c r="N29" s="80">
        <v>10</v>
      </c>
      <c r="O29" s="93">
        <v>0.46015625000000004</v>
      </c>
      <c r="P29" s="79">
        <f>+M29/O29</f>
        <v>33.684210526315788</v>
      </c>
      <c r="Q29" s="78">
        <f>+P29/160</f>
        <v>0.21052631578947367</v>
      </c>
      <c r="R29" s="75">
        <f>+N29*M29*O29</f>
        <v>71.32421875</v>
      </c>
      <c r="T29" t="str">
        <f t="shared" si="0"/>
        <v>Helper</v>
      </c>
      <c r="U29" s="57">
        <f t="shared" si="3"/>
        <v>1920</v>
      </c>
      <c r="V29" s="72">
        <f t="shared" si="2"/>
        <v>12</v>
      </c>
    </row>
    <row r="30" spans="2:22" x14ac:dyDescent="0.25">
      <c r="B30" s="49" t="s">
        <v>353</v>
      </c>
      <c r="C30" s="57">
        <f>+'HOUSE EST MODEL 1'!C30+'HOUSE EST MODEL 2'!C30+'HOUSE EST MODEL 3'!C30</f>
        <v>325</v>
      </c>
      <c r="D30" s="87" t="s">
        <v>163</v>
      </c>
      <c r="E30" s="11">
        <v>23.4375</v>
      </c>
      <c r="F30" s="108">
        <f t="shared" si="8"/>
        <v>7617.1875</v>
      </c>
      <c r="H30" s="47" t="s">
        <v>347</v>
      </c>
      <c r="I30" s="47"/>
      <c r="J30" s="47"/>
      <c r="K30" s="47"/>
      <c r="L30" s="47"/>
      <c r="M30" s="47"/>
      <c r="N30" s="47"/>
      <c r="O30" s="47"/>
      <c r="P30" s="47"/>
      <c r="Q30" s="47"/>
      <c r="R30" s="65"/>
      <c r="T30" s="90" t="str">
        <f t="shared" si="0"/>
        <v xml:space="preserve">MEP's </v>
      </c>
      <c r="U30" s="57">
        <f t="shared" si="3"/>
        <v>0</v>
      </c>
      <c r="V30" s="72">
        <f t="shared" si="2"/>
        <v>0</v>
      </c>
    </row>
    <row r="31" spans="2:22" x14ac:dyDescent="0.25">
      <c r="B31" s="48" t="s">
        <v>258</v>
      </c>
      <c r="C31" s="48"/>
      <c r="D31" s="48"/>
      <c r="E31" s="48"/>
      <c r="F31" s="66"/>
      <c r="H31" s="48" t="s">
        <v>348</v>
      </c>
      <c r="I31" s="48"/>
      <c r="J31" s="48"/>
      <c r="K31" s="48"/>
      <c r="L31" s="48"/>
      <c r="M31" s="48"/>
      <c r="N31" s="48"/>
      <c r="O31" s="48"/>
      <c r="P31" s="48"/>
      <c r="Q31" s="48"/>
      <c r="R31" s="66">
        <f>+R32+R33</f>
        <v>1748.8835000000001</v>
      </c>
      <c r="T31" s="89" t="str">
        <f t="shared" si="0"/>
        <v>Plumbing Roughs</v>
      </c>
      <c r="U31" s="57">
        <f t="shared" si="3"/>
        <v>0</v>
      </c>
      <c r="V31" s="72">
        <f t="shared" si="2"/>
        <v>0</v>
      </c>
    </row>
    <row r="32" spans="2:22" x14ac:dyDescent="0.25">
      <c r="B32" s="49" t="s">
        <v>354</v>
      </c>
      <c r="C32" s="57">
        <f>+'HOUSE EST MODEL 1'!C32+'HOUSE EST MODEL 2'!C32+'HOUSE EST MODEL 3'!C32</f>
        <v>3</v>
      </c>
      <c r="D32" s="87" t="s">
        <v>324</v>
      </c>
      <c r="E32" s="11">
        <v>6000</v>
      </c>
      <c r="F32" s="108">
        <f t="shared" si="8"/>
        <v>18000</v>
      </c>
      <c r="H32" s="74" t="s">
        <v>428</v>
      </c>
      <c r="I32" s="57">
        <f>+'HOUSE EST TOTAL'!$C$26+'HOUSE EST TOTAL'!$C$27</f>
        <v>340</v>
      </c>
      <c r="J32" s="87" t="s">
        <v>163</v>
      </c>
      <c r="K32" s="87"/>
      <c r="L32" s="87">
        <v>0.14000000000000001</v>
      </c>
      <c r="M32" s="57">
        <f>+L32*I32</f>
        <v>47.6</v>
      </c>
      <c r="N32" s="80">
        <v>16</v>
      </c>
      <c r="O32" s="94">
        <v>1.413125</v>
      </c>
      <c r="P32" s="79">
        <f>+M32/O32</f>
        <v>33.684210526315795</v>
      </c>
      <c r="Q32" s="78">
        <f>+P32/160</f>
        <v>0.21052631578947373</v>
      </c>
      <c r="R32" s="75">
        <f>+N32*M32*O32</f>
        <v>1076.2360000000001</v>
      </c>
      <c r="T32" t="str">
        <f t="shared" si="0"/>
        <v>Plumber</v>
      </c>
      <c r="U32" s="57">
        <f t="shared" si="3"/>
        <v>1920.0000000000002</v>
      </c>
      <c r="V32" s="72">
        <f t="shared" si="2"/>
        <v>12.000000000000002</v>
      </c>
    </row>
    <row r="33" spans="2:22" x14ac:dyDescent="0.25">
      <c r="B33" s="47" t="s">
        <v>263</v>
      </c>
      <c r="C33" s="47"/>
      <c r="D33" s="47"/>
      <c r="E33" s="47"/>
      <c r="F33" s="65"/>
      <c r="H33" s="74" t="s">
        <v>427</v>
      </c>
      <c r="I33" s="57">
        <f>+I32</f>
        <v>340</v>
      </c>
      <c r="J33" s="87" t="s">
        <v>163</v>
      </c>
      <c r="K33" s="87"/>
      <c r="L33" s="87">
        <f>+L32</f>
        <v>0.14000000000000001</v>
      </c>
      <c r="M33" s="57">
        <f>+L33*I33</f>
        <v>47.6</v>
      </c>
      <c r="N33" s="80">
        <v>10</v>
      </c>
      <c r="O33" s="94">
        <v>1.413125</v>
      </c>
      <c r="P33" s="79">
        <f>+M33/O33</f>
        <v>33.684210526315795</v>
      </c>
      <c r="Q33" s="78">
        <f>+P33/160</f>
        <v>0.21052631578947373</v>
      </c>
      <c r="R33" s="75">
        <f>+N33*M33*O33</f>
        <v>672.64750000000004</v>
      </c>
      <c r="T33" t="str">
        <f t="shared" si="0"/>
        <v>Helper</v>
      </c>
      <c r="U33" s="57">
        <f t="shared" si="3"/>
        <v>1920.0000000000002</v>
      </c>
      <c r="V33" s="72">
        <f t="shared" si="2"/>
        <v>12.000000000000002</v>
      </c>
    </row>
    <row r="34" spans="2:22" x14ac:dyDescent="0.25">
      <c r="B34" s="48" t="s">
        <v>264</v>
      </c>
      <c r="C34" s="48"/>
      <c r="D34" s="48"/>
      <c r="E34" s="48"/>
      <c r="F34" s="66"/>
      <c r="H34" s="48" t="s">
        <v>352</v>
      </c>
      <c r="I34" s="48"/>
      <c r="J34" s="48"/>
      <c r="K34" s="48"/>
      <c r="L34" s="48"/>
      <c r="M34" s="48"/>
      <c r="N34" s="48"/>
      <c r="O34" s="48"/>
      <c r="P34" s="48"/>
      <c r="Q34" s="48"/>
      <c r="R34" s="66">
        <f>+R35+R36</f>
        <v>20382.32421875</v>
      </c>
      <c r="T34" s="89" t="str">
        <f t="shared" si="0"/>
        <v>Electrical Roughs</v>
      </c>
      <c r="U34" s="57">
        <f t="shared" si="3"/>
        <v>0</v>
      </c>
      <c r="V34" s="72">
        <f t="shared" si="2"/>
        <v>0</v>
      </c>
    </row>
    <row r="35" spans="2:22" x14ac:dyDescent="0.25">
      <c r="B35" s="49" t="s">
        <v>355</v>
      </c>
      <c r="C35" s="57">
        <f>+'HOUSE EST MODEL 1'!C35+'HOUSE EST MODEL 2'!C35+'HOUSE EST MODEL 3'!C35</f>
        <v>2925</v>
      </c>
      <c r="D35" s="87" t="s">
        <v>40</v>
      </c>
      <c r="E35" s="11">
        <v>2.5</v>
      </c>
      <c r="F35" s="108">
        <f t="shared" ref="F35:F60" si="9">+C35*E35</f>
        <v>7312.5</v>
      </c>
      <c r="H35" s="49" t="s">
        <v>429</v>
      </c>
      <c r="I35">
        <f>+'HOUSE EST TOTAL'!$C$30</f>
        <v>325</v>
      </c>
      <c r="J35" s="87" t="s">
        <v>163</v>
      </c>
      <c r="K35" s="87"/>
      <c r="L35" s="87">
        <v>0.5</v>
      </c>
      <c r="M35" s="57">
        <f>+L35*I35</f>
        <v>162.5</v>
      </c>
      <c r="N35" s="80">
        <v>16</v>
      </c>
      <c r="O35" s="93">
        <v>4.82421875</v>
      </c>
      <c r="P35" s="79">
        <f>+M35/O35</f>
        <v>33.684210526315788</v>
      </c>
      <c r="Q35" s="78">
        <f>+P35/160</f>
        <v>0.21052631578947367</v>
      </c>
      <c r="R35" s="75">
        <f>+N35*M35*O35</f>
        <v>12542.96875</v>
      </c>
      <c r="T35" t="str">
        <f t="shared" si="0"/>
        <v>Electrician</v>
      </c>
      <c r="U35" s="57">
        <f t="shared" si="3"/>
        <v>1920</v>
      </c>
      <c r="V35" s="72">
        <f t="shared" si="2"/>
        <v>12</v>
      </c>
    </row>
    <row r="36" spans="2:22" x14ac:dyDescent="0.25">
      <c r="B36" s="49" t="s">
        <v>356</v>
      </c>
      <c r="C36" s="57">
        <f>+'HOUSE EST MODEL 1'!C36+'HOUSE EST MODEL 2'!C36+'HOUSE EST MODEL 3'!C36</f>
        <v>1475</v>
      </c>
      <c r="D36" s="87" t="s">
        <v>40</v>
      </c>
      <c r="E36" s="11">
        <v>2.5</v>
      </c>
      <c r="F36" s="108">
        <f t="shared" si="9"/>
        <v>3687.5</v>
      </c>
      <c r="H36" s="49" t="s">
        <v>427</v>
      </c>
      <c r="I36">
        <f>+I35</f>
        <v>325</v>
      </c>
      <c r="J36" s="87" t="s">
        <v>163</v>
      </c>
      <c r="K36" s="87"/>
      <c r="L36" s="87">
        <f>+L35</f>
        <v>0.5</v>
      </c>
      <c r="M36" s="57">
        <f>+L36*I36</f>
        <v>162.5</v>
      </c>
      <c r="N36" s="80">
        <v>10</v>
      </c>
      <c r="O36" s="93">
        <v>4.82421875</v>
      </c>
      <c r="P36" s="79">
        <f>+M36/O36</f>
        <v>33.684210526315788</v>
      </c>
      <c r="Q36" s="78">
        <f>+P36/160</f>
        <v>0.21052631578947367</v>
      </c>
      <c r="R36" s="75">
        <f>+N36*M36*O36</f>
        <v>7839.35546875</v>
      </c>
      <c r="T36" t="str">
        <f t="shared" si="0"/>
        <v>Helper</v>
      </c>
      <c r="U36" s="57">
        <f t="shared" si="3"/>
        <v>1920</v>
      </c>
      <c r="V36" s="72">
        <f t="shared" si="2"/>
        <v>12</v>
      </c>
    </row>
    <row r="37" spans="2:22" x14ac:dyDescent="0.25">
      <c r="B37" s="48" t="s">
        <v>266</v>
      </c>
      <c r="C37" s="48"/>
      <c r="D37" s="48"/>
      <c r="E37" s="48"/>
      <c r="F37" s="66"/>
      <c r="H37" s="48" t="s">
        <v>258</v>
      </c>
      <c r="I37" s="48"/>
      <c r="J37" s="48"/>
      <c r="K37" s="48"/>
      <c r="L37" s="48"/>
      <c r="M37" s="48"/>
      <c r="N37" s="48"/>
      <c r="O37" s="48"/>
      <c r="P37" s="48"/>
      <c r="Q37" s="48"/>
      <c r="R37" s="66">
        <f>+R38+R39</f>
        <v>9234</v>
      </c>
      <c r="T37" s="89" t="str">
        <f t="shared" ref="T37:T68" si="10">+H37</f>
        <v>HVAC</v>
      </c>
      <c r="U37" s="57">
        <f t="shared" si="3"/>
        <v>0</v>
      </c>
      <c r="V37" s="72">
        <f t="shared" si="2"/>
        <v>0</v>
      </c>
    </row>
    <row r="38" spans="2:22" x14ac:dyDescent="0.25">
      <c r="B38" s="49" t="s">
        <v>357</v>
      </c>
      <c r="C38" s="57">
        <f>+'HOUSE EST MODEL 1'!C38+'HOUSE EST MODEL 2'!C38+'HOUSE EST MODEL 3'!C38</f>
        <v>4005</v>
      </c>
      <c r="D38" s="87" t="s">
        <v>40</v>
      </c>
      <c r="E38" s="11">
        <v>2.21</v>
      </c>
      <c r="F38" s="108">
        <f t="shared" si="9"/>
        <v>8851.0499999999993</v>
      </c>
      <c r="H38" s="74" t="s">
        <v>421</v>
      </c>
      <c r="I38">
        <f>+'HOUSE EST TOTAL'!$C$32</f>
        <v>3</v>
      </c>
      <c r="J38" s="87" t="s">
        <v>324</v>
      </c>
      <c r="K38" s="87"/>
      <c r="L38" s="87">
        <v>24</v>
      </c>
      <c r="M38" s="57">
        <f>+L38*I38</f>
        <v>72</v>
      </c>
      <c r="N38" s="80">
        <v>30</v>
      </c>
      <c r="O38" s="93">
        <v>2.1375000000000002</v>
      </c>
      <c r="P38" s="79">
        <f>+M38/O38</f>
        <v>33.684210526315788</v>
      </c>
      <c r="Q38" s="78">
        <f>+P38/160</f>
        <v>0.21052631578947367</v>
      </c>
      <c r="R38" s="75">
        <f>+N38*M38*O38</f>
        <v>4617</v>
      </c>
      <c r="T38" t="str">
        <f t="shared" si="10"/>
        <v>Laborer</v>
      </c>
      <c r="U38" s="57">
        <f t="shared" si="3"/>
        <v>1920</v>
      </c>
      <c r="V38" s="72">
        <f t="shared" si="2"/>
        <v>12</v>
      </c>
    </row>
    <row r="39" spans="2:22" x14ac:dyDescent="0.25">
      <c r="B39" s="48" t="s">
        <v>359</v>
      </c>
      <c r="C39" s="48"/>
      <c r="D39" s="48"/>
      <c r="E39" s="48"/>
      <c r="F39" s="66"/>
      <c r="H39" s="74" t="s">
        <v>421</v>
      </c>
      <c r="I39">
        <f>+I38</f>
        <v>3</v>
      </c>
      <c r="J39" s="87" t="s">
        <v>324</v>
      </c>
      <c r="K39" s="87"/>
      <c r="L39" s="87">
        <f>+L38</f>
        <v>24</v>
      </c>
      <c r="M39" s="57">
        <f>+L39*I39</f>
        <v>72</v>
      </c>
      <c r="N39" s="80">
        <v>30</v>
      </c>
      <c r="O39" s="93">
        <v>2.1375000000000002</v>
      </c>
      <c r="P39" s="79">
        <f>+M39/O39</f>
        <v>33.684210526315788</v>
      </c>
      <c r="Q39" s="78">
        <f>+P39/160</f>
        <v>0.21052631578947367</v>
      </c>
      <c r="R39" s="75">
        <f>+N39*M39*O39</f>
        <v>4617</v>
      </c>
      <c r="T39" t="str">
        <f t="shared" si="10"/>
        <v>Laborer</v>
      </c>
      <c r="U39" s="57">
        <f t="shared" si="3"/>
        <v>1920</v>
      </c>
      <c r="V39" s="72">
        <f t="shared" si="2"/>
        <v>12</v>
      </c>
    </row>
    <row r="40" spans="2:22" x14ac:dyDescent="0.25">
      <c r="B40" s="49" t="s">
        <v>360</v>
      </c>
      <c r="C40" s="57">
        <f>+'HOUSE EST MODEL 1'!C40+'HOUSE EST MODEL 2'!C40+'HOUSE EST MODEL 3'!C40</f>
        <v>15</v>
      </c>
      <c r="D40" s="87" t="s">
        <v>324</v>
      </c>
      <c r="E40" s="11">
        <f>+SPECS!I37</f>
        <v>141.48000000000002</v>
      </c>
      <c r="F40" s="108">
        <f t="shared" si="9"/>
        <v>2122.2000000000003</v>
      </c>
      <c r="H40" s="47" t="s">
        <v>263</v>
      </c>
      <c r="I40" s="47"/>
      <c r="J40" s="47"/>
      <c r="K40" s="47"/>
      <c r="L40" s="47"/>
      <c r="M40" s="47"/>
      <c r="N40" s="47"/>
      <c r="O40" s="47"/>
      <c r="P40" s="47"/>
      <c r="Q40" s="47"/>
      <c r="R40" s="65"/>
      <c r="T40" s="90" t="str">
        <f t="shared" si="10"/>
        <v>Finishes</v>
      </c>
      <c r="U40" s="57">
        <f t="shared" si="3"/>
        <v>0</v>
      </c>
      <c r="V40" s="72">
        <f t="shared" si="2"/>
        <v>0</v>
      </c>
    </row>
    <row r="41" spans="2:22" x14ac:dyDescent="0.25">
      <c r="B41" s="49" t="s">
        <v>361</v>
      </c>
      <c r="C41" s="57">
        <f>+'HOUSE EST MODEL 1'!C41+'HOUSE EST MODEL 2'!C41+'HOUSE EST MODEL 3'!C41</f>
        <v>3</v>
      </c>
      <c r="D41" s="87" t="s">
        <v>324</v>
      </c>
      <c r="E41" s="11">
        <f>+SPECS!I38</f>
        <v>109.47960000000002</v>
      </c>
      <c r="F41" s="108">
        <f t="shared" si="9"/>
        <v>328.43880000000007</v>
      </c>
      <c r="H41" s="48" t="s">
        <v>264</v>
      </c>
      <c r="I41" s="48"/>
      <c r="J41" s="48"/>
      <c r="K41" s="48"/>
      <c r="L41" s="48"/>
      <c r="M41" s="48"/>
      <c r="N41" s="48"/>
      <c r="O41" s="48"/>
      <c r="P41" s="48"/>
      <c r="Q41" s="48"/>
      <c r="R41" s="66">
        <f>+R42+R43</f>
        <v>3362.2874999999999</v>
      </c>
      <c r="T41" s="89" t="str">
        <f t="shared" si="10"/>
        <v>Insulation</v>
      </c>
      <c r="U41" s="57">
        <f t="shared" si="3"/>
        <v>0</v>
      </c>
      <c r="V41" s="72">
        <f t="shared" si="2"/>
        <v>0</v>
      </c>
    </row>
    <row r="42" spans="2:22" x14ac:dyDescent="0.25">
      <c r="B42" s="49" t="s">
        <v>362</v>
      </c>
      <c r="C42" s="57">
        <f>+'HOUSE EST MODEL 1'!C42+'HOUSE EST MODEL 2'!C42+'HOUSE EST MODEL 3'!C42</f>
        <v>445</v>
      </c>
      <c r="D42" s="87" t="s">
        <v>163</v>
      </c>
      <c r="E42" s="11">
        <f>+SPECS!I50</f>
        <v>2</v>
      </c>
      <c r="F42" s="108">
        <f t="shared" si="9"/>
        <v>890</v>
      </c>
      <c r="H42" s="74" t="s">
        <v>421</v>
      </c>
      <c r="I42" s="57">
        <f>+'HOUSE EST TOTAL'!$C$35+'HOUSE EST TOTAL'!$C$36</f>
        <v>4400</v>
      </c>
      <c r="J42" s="87" t="s">
        <v>40</v>
      </c>
      <c r="K42" s="87">
        <v>1.5</v>
      </c>
      <c r="L42" s="87">
        <f>+K42/100</f>
        <v>1.4999999999999999E-2</v>
      </c>
      <c r="M42" s="57">
        <f>+L42*I42</f>
        <v>66</v>
      </c>
      <c r="N42" s="80">
        <v>16</v>
      </c>
      <c r="O42" s="93">
        <v>1.9593749999999999</v>
      </c>
      <c r="P42" s="79">
        <f>+M42/O42</f>
        <v>33.684210526315795</v>
      </c>
      <c r="Q42" s="78">
        <f>+P42/160</f>
        <v>0.21052631578947373</v>
      </c>
      <c r="R42" s="75">
        <f>+N42*M42*O42</f>
        <v>2069.1</v>
      </c>
      <c r="T42" t="str">
        <f t="shared" si="10"/>
        <v>Laborer</v>
      </c>
      <c r="U42" s="57">
        <f t="shared" si="3"/>
        <v>1920.0000000000002</v>
      </c>
      <c r="V42" s="72">
        <f t="shared" si="2"/>
        <v>12.000000000000002</v>
      </c>
    </row>
    <row r="43" spans="2:22" x14ac:dyDescent="0.25">
      <c r="B43" s="49" t="s">
        <v>363</v>
      </c>
      <c r="C43" s="57">
        <f>+'HOUSE EST MODEL 1'!C43+'HOUSE EST MODEL 2'!C43+'HOUSE EST MODEL 3'!C43</f>
        <v>438</v>
      </c>
      <c r="D43" s="87" t="s">
        <v>163</v>
      </c>
      <c r="E43" s="11">
        <f>+E42</f>
        <v>2</v>
      </c>
      <c r="F43" s="108">
        <f t="shared" si="9"/>
        <v>876</v>
      </c>
      <c r="H43" s="74" t="s">
        <v>427</v>
      </c>
      <c r="I43" s="57">
        <f>+I42</f>
        <v>4400</v>
      </c>
      <c r="J43" s="87" t="s">
        <v>40</v>
      </c>
      <c r="K43" s="87">
        <f>+K42</f>
        <v>1.5</v>
      </c>
      <c r="L43" s="87">
        <f>+L42</f>
        <v>1.4999999999999999E-2</v>
      </c>
      <c r="M43" s="57">
        <f>+L43*I43</f>
        <v>66</v>
      </c>
      <c r="N43" s="80">
        <v>10</v>
      </c>
      <c r="O43" s="93">
        <v>1.9593749999999999</v>
      </c>
      <c r="P43" s="79">
        <f>+M43/O43</f>
        <v>33.684210526315795</v>
      </c>
      <c r="Q43" s="78">
        <f>+P43/160</f>
        <v>0.21052631578947373</v>
      </c>
      <c r="R43" s="75">
        <f>+N43*M43*O43</f>
        <v>1293.1875</v>
      </c>
      <c r="T43" t="str">
        <f t="shared" si="10"/>
        <v>Helper</v>
      </c>
      <c r="U43" s="57">
        <f t="shared" si="3"/>
        <v>1920.0000000000002</v>
      </c>
      <c r="V43" s="72">
        <f t="shared" si="2"/>
        <v>12.000000000000002</v>
      </c>
    </row>
    <row r="44" spans="2:22" x14ac:dyDescent="0.25">
      <c r="B44" s="48" t="s">
        <v>364</v>
      </c>
      <c r="C44" s="48"/>
      <c r="D44" s="48"/>
      <c r="E44" s="48"/>
      <c r="F44" s="66"/>
      <c r="H44" s="48" t="s">
        <v>266</v>
      </c>
      <c r="I44" s="48"/>
      <c r="J44" s="48"/>
      <c r="K44" s="48"/>
      <c r="L44" s="48"/>
      <c r="M44" s="48"/>
      <c r="N44" s="48"/>
      <c r="O44" s="48"/>
      <c r="P44" s="48"/>
      <c r="Q44" s="48"/>
      <c r="R44" s="66">
        <f>+R45+R46</f>
        <v>16949.444292421882</v>
      </c>
      <c r="T44" s="89" t="str">
        <f t="shared" si="10"/>
        <v>Drywall</v>
      </c>
      <c r="U44" s="57">
        <f t="shared" si="3"/>
        <v>0</v>
      </c>
      <c r="V44" s="72">
        <f t="shared" si="2"/>
        <v>0</v>
      </c>
    </row>
    <row r="45" spans="2:22" x14ac:dyDescent="0.25">
      <c r="B45" s="49" t="s">
        <v>365</v>
      </c>
      <c r="C45" s="57">
        <f>+'HOUSE EST MODEL 1'!C45+'HOUSE EST MODEL 2'!C45+'HOUSE EST MODEL 3'!C45</f>
        <v>4005</v>
      </c>
      <c r="D45" s="87" t="s">
        <v>40</v>
      </c>
      <c r="E45" s="11">
        <v>2</v>
      </c>
      <c r="F45" s="108">
        <f t="shared" si="9"/>
        <v>8010</v>
      </c>
      <c r="H45" s="74" t="s">
        <v>421</v>
      </c>
      <c r="I45">
        <f>+'HOUSE EST TOTAL'!$C$38</f>
        <v>4005</v>
      </c>
      <c r="J45" s="87" t="s">
        <v>40</v>
      </c>
      <c r="K45" s="87">
        <v>3.7</v>
      </c>
      <c r="L45" s="87">
        <f>+K45/100</f>
        <v>3.7000000000000005E-2</v>
      </c>
      <c r="M45" s="57">
        <f>+L45*I45</f>
        <v>148.18500000000003</v>
      </c>
      <c r="N45" s="80">
        <v>16</v>
      </c>
      <c r="O45" s="93">
        <v>4.3992421875000005</v>
      </c>
      <c r="P45" s="79">
        <f>+M45/O45</f>
        <v>33.684210526315795</v>
      </c>
      <c r="Q45" s="78">
        <f>+P45/160</f>
        <v>0.21052631578947373</v>
      </c>
      <c r="R45" s="75">
        <f>+N45*M45*O45</f>
        <v>10430.427256875004</v>
      </c>
      <c r="T45" t="str">
        <f t="shared" si="10"/>
        <v>Laborer</v>
      </c>
      <c r="U45" s="57">
        <f t="shared" si="3"/>
        <v>1920.0000000000002</v>
      </c>
      <c r="V45" s="72">
        <f t="shared" si="2"/>
        <v>12.000000000000002</v>
      </c>
    </row>
    <row r="46" spans="2:22" x14ac:dyDescent="0.25">
      <c r="B46" s="49" t="s">
        <v>276</v>
      </c>
      <c r="C46" s="57">
        <f>+'HOUSE EST MODEL 1'!C46+'HOUSE EST MODEL 2'!C46+'HOUSE EST MODEL 3'!C46</f>
        <v>3250</v>
      </c>
      <c r="D46" s="87" t="s">
        <v>40</v>
      </c>
      <c r="E46" s="11">
        <v>3</v>
      </c>
      <c r="F46" s="108">
        <f t="shared" si="9"/>
        <v>9750</v>
      </c>
      <c r="H46" s="74" t="s">
        <v>427</v>
      </c>
      <c r="I46" s="87">
        <f>+I45</f>
        <v>4005</v>
      </c>
      <c r="J46" s="87" t="s">
        <v>40</v>
      </c>
      <c r="K46" s="87">
        <f>+K45</f>
        <v>3.7</v>
      </c>
      <c r="L46" s="87">
        <f>+L45</f>
        <v>3.7000000000000005E-2</v>
      </c>
      <c r="M46" s="57">
        <f>+L46*I46</f>
        <v>148.18500000000003</v>
      </c>
      <c r="N46" s="80">
        <v>10</v>
      </c>
      <c r="O46" s="93">
        <v>4.3992421875000005</v>
      </c>
      <c r="P46" s="79">
        <f>+M46/O46</f>
        <v>33.684210526315795</v>
      </c>
      <c r="Q46" s="78">
        <f>+P46/160</f>
        <v>0.21052631578947373</v>
      </c>
      <c r="R46" s="75">
        <f>+N46*M46*O46</f>
        <v>6519.0170355468772</v>
      </c>
      <c r="T46" t="str">
        <f t="shared" si="10"/>
        <v>Helper</v>
      </c>
      <c r="U46" s="57">
        <f t="shared" si="3"/>
        <v>1920.0000000000002</v>
      </c>
      <c r="V46" s="72">
        <f t="shared" si="2"/>
        <v>12.000000000000002</v>
      </c>
    </row>
    <row r="47" spans="2:22" x14ac:dyDescent="0.25">
      <c r="B47" s="48" t="s">
        <v>279</v>
      </c>
      <c r="C47" s="48"/>
      <c r="D47" s="48"/>
      <c r="E47" s="48"/>
      <c r="F47" s="66"/>
      <c r="H47" s="48" t="s">
        <v>359</v>
      </c>
      <c r="I47" s="48"/>
      <c r="J47" s="48"/>
      <c r="K47" s="48"/>
      <c r="L47" s="48"/>
      <c r="M47" s="48"/>
      <c r="N47" s="48"/>
      <c r="O47" s="48"/>
      <c r="P47" s="48"/>
      <c r="Q47" s="48"/>
      <c r="R47" s="66">
        <f>+R48+R49</f>
        <v>1960.6860000000001</v>
      </c>
      <c r="T47" s="89" t="str">
        <f t="shared" si="10"/>
        <v>Interior Doors and Trim</v>
      </c>
      <c r="U47" s="57">
        <f t="shared" si="3"/>
        <v>0</v>
      </c>
      <c r="V47" s="72">
        <f t="shared" si="2"/>
        <v>0</v>
      </c>
    </row>
    <row r="48" spans="2:22" x14ac:dyDescent="0.25">
      <c r="B48" s="49" t="s">
        <v>366</v>
      </c>
      <c r="C48" s="57">
        <f>+'HOUSE EST MODEL 1'!C48+'HOUSE EST MODEL 2'!C48+'HOUSE EST MODEL 3'!C48</f>
        <v>555</v>
      </c>
      <c r="D48" s="87" t="s">
        <v>40</v>
      </c>
      <c r="E48" s="11">
        <f>+SPECS!I16</f>
        <v>3.0132000000000003</v>
      </c>
      <c r="F48" s="108">
        <f t="shared" si="9"/>
        <v>1672.3260000000002</v>
      </c>
      <c r="H48" s="74" t="s">
        <v>421</v>
      </c>
      <c r="I48">
        <f>+'HOUSE EST TOTAL'!$C$40+'HOUSE EST TOTAL'!$C$41</f>
        <v>18</v>
      </c>
      <c r="J48" s="87" t="s">
        <v>324</v>
      </c>
      <c r="K48" s="87">
        <v>3.7</v>
      </c>
      <c r="L48" s="87">
        <v>2.8</v>
      </c>
      <c r="M48" s="57">
        <f>+L48*I48</f>
        <v>50.4</v>
      </c>
      <c r="N48" s="80">
        <v>16</v>
      </c>
      <c r="O48" s="93">
        <v>1.4962500000000001</v>
      </c>
      <c r="P48" s="79">
        <f>+M48/O48</f>
        <v>33.684210526315788</v>
      </c>
      <c r="Q48" s="78">
        <f>+P48/160</f>
        <v>0.21052631578947367</v>
      </c>
      <c r="R48" s="75">
        <f>+N48*M48*O48</f>
        <v>1206.576</v>
      </c>
      <c r="T48" t="str">
        <f t="shared" si="10"/>
        <v>Laborer</v>
      </c>
      <c r="U48" s="57">
        <f t="shared" si="3"/>
        <v>1920</v>
      </c>
      <c r="V48" s="72">
        <f t="shared" si="2"/>
        <v>12</v>
      </c>
    </row>
    <row r="49" spans="2:22" x14ac:dyDescent="0.25">
      <c r="B49" s="49" t="s">
        <v>367</v>
      </c>
      <c r="C49" s="57">
        <f>+'HOUSE EST MODEL 1'!C49+'HOUSE EST MODEL 2'!C49+'HOUSE EST MODEL 3'!C49</f>
        <v>835</v>
      </c>
      <c r="D49" s="87" t="s">
        <v>40</v>
      </c>
      <c r="E49" s="11">
        <f>+SPECS!I17</f>
        <v>4.4820000000000011</v>
      </c>
      <c r="F49" s="108">
        <f t="shared" si="9"/>
        <v>3742.4700000000007</v>
      </c>
      <c r="H49" s="74" t="s">
        <v>427</v>
      </c>
      <c r="I49" s="87">
        <f>+I48</f>
        <v>18</v>
      </c>
      <c r="J49" s="87" t="s">
        <v>324</v>
      </c>
      <c r="K49" s="87">
        <f>+K48</f>
        <v>3.7</v>
      </c>
      <c r="L49" s="87">
        <f>+L48</f>
        <v>2.8</v>
      </c>
      <c r="M49" s="57">
        <f>+L49*I49</f>
        <v>50.4</v>
      </c>
      <c r="N49" s="80">
        <v>10</v>
      </c>
      <c r="O49" s="93">
        <v>1.4962500000000001</v>
      </c>
      <c r="P49" s="79">
        <f>+M49/O49</f>
        <v>33.684210526315788</v>
      </c>
      <c r="Q49" s="78">
        <f>+P49/160</f>
        <v>0.21052631578947367</v>
      </c>
      <c r="R49" s="75">
        <f>+N49*M49*O49</f>
        <v>754.11</v>
      </c>
      <c r="T49" t="str">
        <f t="shared" si="10"/>
        <v>Helper</v>
      </c>
      <c r="U49" s="57">
        <f t="shared" si="3"/>
        <v>1920</v>
      </c>
      <c r="V49" s="72">
        <f t="shared" si="2"/>
        <v>12</v>
      </c>
    </row>
    <row r="50" spans="2:22" x14ac:dyDescent="0.25">
      <c r="B50" s="48" t="s">
        <v>282</v>
      </c>
      <c r="C50" s="48"/>
      <c r="D50" s="48"/>
      <c r="E50" s="48"/>
      <c r="F50" s="66"/>
      <c r="H50" s="48" t="s">
        <v>364</v>
      </c>
      <c r="I50" s="48"/>
      <c r="J50" s="48"/>
      <c r="K50" s="48"/>
      <c r="L50" s="48"/>
      <c r="M50" s="48"/>
      <c r="N50" s="48"/>
      <c r="O50" s="48"/>
      <c r="P50" s="48"/>
      <c r="Q50" s="48"/>
      <c r="R50" s="66">
        <f>+R51+R52</f>
        <v>11741.393717421875</v>
      </c>
      <c r="T50" s="89" t="str">
        <f t="shared" si="10"/>
        <v>Painting</v>
      </c>
      <c r="U50" s="57">
        <f t="shared" si="3"/>
        <v>0</v>
      </c>
      <c r="V50" s="72">
        <f t="shared" si="2"/>
        <v>0</v>
      </c>
    </row>
    <row r="51" spans="2:22" x14ac:dyDescent="0.25">
      <c r="B51" s="49" t="s">
        <v>368</v>
      </c>
      <c r="C51" s="57">
        <f>+'HOUSE EST MODEL 1'!C51+'HOUSE EST MODEL 2'!C51+'HOUSE EST MODEL 3'!C51</f>
        <v>85</v>
      </c>
      <c r="D51" s="87" t="s">
        <v>40</v>
      </c>
      <c r="E51" s="11">
        <f>+SPECS!I59</f>
        <v>4.6100000000000003</v>
      </c>
      <c r="F51" s="108">
        <f t="shared" si="9"/>
        <v>391.85</v>
      </c>
      <c r="H51" s="74" t="s">
        <v>421</v>
      </c>
      <c r="I51">
        <f>+'HOUSE EST TOTAL'!$C$45+'HOUSE EST TOTAL'!$C$46</f>
        <v>7255</v>
      </c>
      <c r="J51" s="87" t="s">
        <v>40</v>
      </c>
      <c r="K51" s="87">
        <v>1.7</v>
      </c>
      <c r="L51" s="87">
        <f>+K51/100</f>
        <v>1.7000000000000001E-2</v>
      </c>
      <c r="M51" s="57">
        <f>+L51*I51</f>
        <v>123.33500000000001</v>
      </c>
      <c r="N51" s="80">
        <v>16</v>
      </c>
      <c r="O51" s="93">
        <v>3.6615078125</v>
      </c>
      <c r="P51" s="79">
        <f>+M51/O51</f>
        <v>33.684210526315795</v>
      </c>
      <c r="Q51" s="78">
        <f>+P51/160</f>
        <v>0.21052631578947373</v>
      </c>
      <c r="R51" s="75">
        <f>+N51*M51*O51</f>
        <v>7225.4730568750001</v>
      </c>
      <c r="T51" t="str">
        <f t="shared" si="10"/>
        <v>Laborer</v>
      </c>
      <c r="U51" s="57">
        <f t="shared" si="3"/>
        <v>1920.0000000000002</v>
      </c>
      <c r="V51" s="72">
        <f t="shared" si="2"/>
        <v>12.000000000000002</v>
      </c>
    </row>
    <row r="52" spans="2:22" x14ac:dyDescent="0.25">
      <c r="B52" s="49" t="s">
        <v>369</v>
      </c>
      <c r="C52" s="57">
        <f>+'HOUSE EST MODEL 1'!C52+'HOUSE EST MODEL 2'!C52+'HOUSE EST MODEL 3'!C52</f>
        <v>306</v>
      </c>
      <c r="D52" s="87" t="s">
        <v>40</v>
      </c>
      <c r="E52" s="11">
        <f>+SPECS!I61</f>
        <v>4.7300000000000004</v>
      </c>
      <c r="F52" s="108">
        <f t="shared" si="9"/>
        <v>1447.38</v>
      </c>
      <c r="H52" s="74" t="s">
        <v>427</v>
      </c>
      <c r="I52" s="87">
        <f>+I51</f>
        <v>7255</v>
      </c>
      <c r="J52" s="87" t="s">
        <v>40</v>
      </c>
      <c r="K52" s="87">
        <f>+K51</f>
        <v>1.7</v>
      </c>
      <c r="L52" s="87">
        <f>+L51</f>
        <v>1.7000000000000001E-2</v>
      </c>
      <c r="M52" s="57">
        <f>+L52*I52</f>
        <v>123.33500000000001</v>
      </c>
      <c r="N52" s="80">
        <v>10</v>
      </c>
      <c r="O52" s="93">
        <v>3.6615078125</v>
      </c>
      <c r="P52" s="79">
        <f>+M52/O52</f>
        <v>33.684210526315795</v>
      </c>
      <c r="Q52" s="78">
        <f>+P52/160</f>
        <v>0.21052631578947373</v>
      </c>
      <c r="R52" s="75">
        <f>+N52*M52*O52</f>
        <v>4515.9206605468753</v>
      </c>
      <c r="T52" t="str">
        <f t="shared" si="10"/>
        <v>Helper</v>
      </c>
      <c r="U52" s="57">
        <f t="shared" si="3"/>
        <v>1920.0000000000002</v>
      </c>
      <c r="V52" s="72">
        <f t="shared" si="2"/>
        <v>12.000000000000002</v>
      </c>
    </row>
    <row r="53" spans="2:22" x14ac:dyDescent="0.25">
      <c r="B53" s="49" t="s">
        <v>370</v>
      </c>
      <c r="C53" s="57">
        <f>+'HOUSE EST MODEL 1'!C53+'HOUSE EST MODEL 2'!C53+'HOUSE EST MODEL 3'!C53</f>
        <v>29</v>
      </c>
      <c r="D53" s="87" t="s">
        <v>40</v>
      </c>
      <c r="E53" s="11">
        <f>+SPECS!I60</f>
        <v>4.5599999999999996</v>
      </c>
      <c r="F53" s="108">
        <f t="shared" si="9"/>
        <v>132.23999999999998</v>
      </c>
      <c r="H53" s="48" t="s">
        <v>279</v>
      </c>
      <c r="I53" s="48"/>
      <c r="J53" s="48"/>
      <c r="K53" s="48"/>
      <c r="L53" s="48"/>
      <c r="M53" s="48"/>
      <c r="N53" s="48"/>
      <c r="O53" s="48"/>
      <c r="P53" s="48"/>
      <c r="Q53" s="48"/>
      <c r="R53" s="66">
        <f>+R54+R55</f>
        <v>6895.9547150000017</v>
      </c>
      <c r="T53" s="89" t="str">
        <f t="shared" si="10"/>
        <v>Flooring</v>
      </c>
      <c r="U53" s="57">
        <f t="shared" si="3"/>
        <v>0</v>
      </c>
      <c r="V53" s="72">
        <f t="shared" si="2"/>
        <v>0</v>
      </c>
    </row>
    <row r="54" spans="2:22" x14ac:dyDescent="0.25">
      <c r="B54" s="48" t="s">
        <v>371</v>
      </c>
      <c r="C54" s="48"/>
      <c r="D54" s="48"/>
      <c r="E54" s="48"/>
      <c r="F54" s="66"/>
      <c r="H54" s="74" t="s">
        <v>421</v>
      </c>
      <c r="I54" s="57">
        <f>+'HOUSE EST TOTAL'!$C$48+'HOUSE EST TOTAL'!$C$49</f>
        <v>1390</v>
      </c>
      <c r="J54" s="87" t="s">
        <v>40</v>
      </c>
      <c r="K54" s="87">
        <v>6.8</v>
      </c>
      <c r="L54" s="87">
        <f>+K54/100</f>
        <v>6.8000000000000005E-2</v>
      </c>
      <c r="M54" s="57">
        <f>+L54*I54</f>
        <v>94.52000000000001</v>
      </c>
      <c r="N54" s="80">
        <v>16</v>
      </c>
      <c r="O54" s="93">
        <v>2.8060625000000003</v>
      </c>
      <c r="P54" s="79">
        <f>+M54/O54</f>
        <v>33.684210526315788</v>
      </c>
      <c r="Q54" s="78">
        <f>+P54/160</f>
        <v>0.21052631578947367</v>
      </c>
      <c r="R54" s="75">
        <f>+N54*M54*O54</f>
        <v>4243.6644400000014</v>
      </c>
      <c r="T54" t="str">
        <f t="shared" si="10"/>
        <v>Laborer</v>
      </c>
      <c r="U54" s="57">
        <f t="shared" si="3"/>
        <v>1920</v>
      </c>
      <c r="V54" s="72">
        <f t="shared" si="2"/>
        <v>12</v>
      </c>
    </row>
    <row r="55" spans="2:22" x14ac:dyDescent="0.25">
      <c r="B55" s="49" t="s">
        <v>372</v>
      </c>
      <c r="C55" s="57">
        <f>+'HOUSE EST MODEL 1'!C55+'HOUSE EST MODEL 2'!C55+'HOUSE EST MODEL 3'!C55</f>
        <v>90</v>
      </c>
      <c r="D55" s="87" t="s">
        <v>40</v>
      </c>
      <c r="E55" s="11">
        <f>+SPECS!I58</f>
        <v>4.3</v>
      </c>
      <c r="F55" s="108">
        <f t="shared" si="9"/>
        <v>387</v>
      </c>
      <c r="H55" s="74" t="s">
        <v>427</v>
      </c>
      <c r="I55" s="87">
        <f>+I54</f>
        <v>1390</v>
      </c>
      <c r="J55" s="87" t="s">
        <v>40</v>
      </c>
      <c r="K55" s="87">
        <f>+K54</f>
        <v>6.8</v>
      </c>
      <c r="L55" s="87">
        <f>+L54</f>
        <v>6.8000000000000005E-2</v>
      </c>
      <c r="M55" s="57">
        <f>+L55*I55</f>
        <v>94.52000000000001</v>
      </c>
      <c r="N55" s="80">
        <v>10</v>
      </c>
      <c r="O55" s="93">
        <v>2.8060625000000003</v>
      </c>
      <c r="P55" s="79">
        <f>+M55/O55</f>
        <v>33.684210526315788</v>
      </c>
      <c r="Q55" s="78">
        <f>+P55/160</f>
        <v>0.21052631578947367</v>
      </c>
      <c r="R55" s="75">
        <f>+N55*M55*O55</f>
        <v>2652.2902750000003</v>
      </c>
      <c r="T55" t="str">
        <f t="shared" si="10"/>
        <v>Helper</v>
      </c>
      <c r="U55" s="57">
        <f t="shared" si="3"/>
        <v>1920</v>
      </c>
      <c r="V55" s="72">
        <f t="shared" si="2"/>
        <v>12</v>
      </c>
    </row>
    <row r="56" spans="2:22" x14ac:dyDescent="0.25">
      <c r="B56" s="48" t="s">
        <v>373</v>
      </c>
      <c r="C56" s="48"/>
      <c r="D56" s="48"/>
      <c r="E56" s="48"/>
      <c r="F56" s="66"/>
      <c r="H56" s="48" t="s">
        <v>282</v>
      </c>
      <c r="I56" s="48"/>
      <c r="J56" s="48"/>
      <c r="K56" s="48"/>
      <c r="L56" s="48"/>
      <c r="M56" s="48"/>
      <c r="N56" s="48"/>
      <c r="O56" s="48"/>
      <c r="P56" s="48"/>
      <c r="Q56" s="48"/>
      <c r="R56" s="66">
        <f>+R57+R58</f>
        <v>849.76675875000001</v>
      </c>
      <c r="T56" s="89" t="str">
        <f t="shared" si="10"/>
        <v>Bathroom Tiling</v>
      </c>
      <c r="U56" s="57">
        <f t="shared" si="3"/>
        <v>0</v>
      </c>
      <c r="V56" s="72">
        <f t="shared" si="2"/>
        <v>0</v>
      </c>
    </row>
    <row r="57" spans="2:22" x14ac:dyDescent="0.25">
      <c r="B57" s="49" t="s">
        <v>374</v>
      </c>
      <c r="C57" s="57">
        <f>+'HOUSE EST MODEL 1'!C57+'HOUSE EST MODEL 2'!C57+'HOUSE EST MODEL 3'!C57</f>
        <v>6</v>
      </c>
      <c r="D57" t="s">
        <v>324</v>
      </c>
      <c r="E57" s="11">
        <v>550</v>
      </c>
      <c r="F57" s="108">
        <f t="shared" si="9"/>
        <v>3300</v>
      </c>
      <c r="H57" s="74" t="s">
        <v>421</v>
      </c>
      <c r="I57" s="57">
        <f>+'HOUSE EST TOTAL'!$C$51+'HOUSE EST TOTAL'!$C$52+'HOUSE EST TOTAL'!$C$53</f>
        <v>420</v>
      </c>
      <c r="J57" s="87" t="s">
        <v>40</v>
      </c>
      <c r="K57" s="87">
        <v>7.9</v>
      </c>
      <c r="L57" s="87">
        <f>+K57/100</f>
        <v>7.9000000000000001E-2</v>
      </c>
      <c r="M57" s="57">
        <f>+L57*I57</f>
        <v>33.18</v>
      </c>
      <c r="N57" s="80">
        <v>16</v>
      </c>
      <c r="O57" s="93">
        <v>0.98503125000000002</v>
      </c>
      <c r="P57" s="79">
        <f>+M57/O57</f>
        <v>33.684210526315788</v>
      </c>
      <c r="Q57" s="78">
        <f>+P57/160</f>
        <v>0.21052631578947367</v>
      </c>
      <c r="R57" s="75">
        <f>+N57*M57*O57</f>
        <v>522.93339000000003</v>
      </c>
      <c r="T57" t="str">
        <f t="shared" si="10"/>
        <v>Laborer</v>
      </c>
      <c r="U57" s="57">
        <f t="shared" si="3"/>
        <v>1920</v>
      </c>
      <c r="V57" s="72">
        <f t="shared" si="2"/>
        <v>12</v>
      </c>
    </row>
    <row r="58" spans="2:22" x14ac:dyDescent="0.25">
      <c r="B58" s="49" t="s">
        <v>375</v>
      </c>
      <c r="C58" s="57">
        <f>+'HOUSE EST MODEL 1'!C58+'HOUSE EST MODEL 2'!C58+'HOUSE EST MODEL 3'!C58</f>
        <v>6</v>
      </c>
      <c r="D58" t="s">
        <v>324</v>
      </c>
      <c r="E58" s="11">
        <v>450</v>
      </c>
      <c r="F58" s="108">
        <f t="shared" si="9"/>
        <v>2700</v>
      </c>
      <c r="H58" s="74" t="s">
        <v>427</v>
      </c>
      <c r="I58" s="115">
        <f>+I57</f>
        <v>420</v>
      </c>
      <c r="J58" s="87" t="s">
        <v>40</v>
      </c>
      <c r="K58" s="87">
        <f>+K57</f>
        <v>7.9</v>
      </c>
      <c r="L58" s="87">
        <f>+L57</f>
        <v>7.9000000000000001E-2</v>
      </c>
      <c r="M58" s="57">
        <f>+L58*I58</f>
        <v>33.18</v>
      </c>
      <c r="N58" s="80">
        <v>10</v>
      </c>
      <c r="O58" s="93">
        <v>0.98503125000000002</v>
      </c>
      <c r="P58" s="79">
        <f>+M58/O58</f>
        <v>33.684210526315788</v>
      </c>
      <c r="Q58" s="78">
        <f>+P58/160</f>
        <v>0.21052631578947367</v>
      </c>
      <c r="R58" s="75">
        <f>+N58*M58*O58</f>
        <v>326.83336875000003</v>
      </c>
      <c r="T58" t="str">
        <f t="shared" si="10"/>
        <v>Helper</v>
      </c>
      <c r="U58" s="57">
        <f t="shared" si="3"/>
        <v>1920</v>
      </c>
      <c r="V58" s="72">
        <f t="shared" si="2"/>
        <v>12</v>
      </c>
    </row>
    <row r="59" spans="2:22" x14ac:dyDescent="0.25">
      <c r="B59" s="48" t="s">
        <v>376</v>
      </c>
      <c r="C59" s="48"/>
      <c r="D59" s="48"/>
      <c r="E59" s="48"/>
      <c r="F59" s="66"/>
      <c r="H59" s="48" t="s">
        <v>371</v>
      </c>
      <c r="I59" s="48"/>
      <c r="J59" s="48"/>
      <c r="K59" s="48"/>
      <c r="L59" s="48"/>
      <c r="M59" s="48"/>
      <c r="N59" s="48"/>
      <c r="O59" s="48"/>
      <c r="P59" s="48"/>
      <c r="Q59" s="48"/>
      <c r="R59" s="66">
        <f>+R60+R61</f>
        <v>39.019902187500001</v>
      </c>
      <c r="T59" s="89" t="str">
        <f t="shared" si="10"/>
        <v>Kitchen Backsplash</v>
      </c>
      <c r="U59" s="57">
        <f t="shared" si="3"/>
        <v>0</v>
      </c>
      <c r="V59" s="72">
        <f t="shared" si="2"/>
        <v>0</v>
      </c>
    </row>
    <row r="60" spans="2:22" x14ac:dyDescent="0.25">
      <c r="B60" s="49" t="s">
        <v>377</v>
      </c>
      <c r="C60" s="57">
        <f>+'HOUSE EST MODEL 1'!C60+'HOUSE EST MODEL 2'!C60+'HOUSE EST MODEL 3'!C60</f>
        <v>4</v>
      </c>
      <c r="D60" t="s">
        <v>324</v>
      </c>
      <c r="E60" s="11">
        <v>800</v>
      </c>
      <c r="F60" s="108">
        <f t="shared" si="9"/>
        <v>3200</v>
      </c>
      <c r="H60" s="74" t="s">
        <v>421</v>
      </c>
      <c r="I60" s="57">
        <f>+'HOUSE EST TOTAL'!$C$55</f>
        <v>90</v>
      </c>
      <c r="J60" s="87" t="s">
        <v>40</v>
      </c>
      <c r="K60" s="87">
        <v>7.9</v>
      </c>
      <c r="L60" s="87">
        <f>+K60/100</f>
        <v>7.9000000000000001E-2</v>
      </c>
      <c r="M60" s="57">
        <f>+L60*I60</f>
        <v>7.11</v>
      </c>
      <c r="N60" s="80">
        <v>16</v>
      </c>
      <c r="O60" s="93">
        <v>0.21107812500000001</v>
      </c>
      <c r="P60" s="79">
        <f>+M60/O60</f>
        <v>33.684210526315788</v>
      </c>
      <c r="Q60" s="78">
        <f>+P60/160</f>
        <v>0.21052631578947367</v>
      </c>
      <c r="R60" s="75">
        <f>+N60*M60*O60</f>
        <v>24.012247500000001</v>
      </c>
      <c r="T60" t="str">
        <f t="shared" si="10"/>
        <v>Laborer</v>
      </c>
      <c r="U60" s="57">
        <f t="shared" si="3"/>
        <v>1920</v>
      </c>
      <c r="V60" s="72">
        <f t="shared" si="2"/>
        <v>12</v>
      </c>
    </row>
    <row r="61" spans="2:22" x14ac:dyDescent="0.25">
      <c r="B61" s="48" t="s">
        <v>378</v>
      </c>
      <c r="C61" s="48"/>
      <c r="D61" s="48"/>
      <c r="E61" s="48"/>
      <c r="F61" s="66"/>
      <c r="H61" s="74" t="s">
        <v>427</v>
      </c>
      <c r="I61" s="115">
        <f>+I60</f>
        <v>90</v>
      </c>
      <c r="J61" s="87" t="s">
        <v>40</v>
      </c>
      <c r="K61" s="87">
        <f>+K60</f>
        <v>7.9</v>
      </c>
      <c r="L61" s="87">
        <f>+L60</f>
        <v>7.9000000000000001E-2</v>
      </c>
      <c r="M61" s="57">
        <f>+L61*I61</f>
        <v>7.11</v>
      </c>
      <c r="N61" s="80">
        <v>10</v>
      </c>
      <c r="O61" s="93">
        <v>0.21107812500000001</v>
      </c>
      <c r="P61" s="79">
        <f>+M61/O61</f>
        <v>33.684210526315788</v>
      </c>
      <c r="Q61" s="78">
        <f>+P61/160</f>
        <v>0.21052631578947367</v>
      </c>
      <c r="R61" s="75">
        <f>+N61*M61*O61</f>
        <v>15.007654687500002</v>
      </c>
      <c r="T61" t="str">
        <f t="shared" si="10"/>
        <v>Helper</v>
      </c>
      <c r="U61" s="57">
        <f t="shared" si="3"/>
        <v>1920</v>
      </c>
      <c r="V61" s="72">
        <f t="shared" si="2"/>
        <v>12</v>
      </c>
    </row>
    <row r="62" spans="2:22" x14ac:dyDescent="0.25">
      <c r="B62" s="49" t="s">
        <v>379</v>
      </c>
      <c r="C62" s="57">
        <f>+'HOUSE EST MODEL 1'!C62+'HOUSE EST MODEL 2'!C62+'HOUSE EST MODEL 3'!C62</f>
        <v>135</v>
      </c>
      <c r="D62" t="s">
        <v>40</v>
      </c>
      <c r="E62" s="11">
        <f>+SPECS!I22</f>
        <v>52.92</v>
      </c>
      <c r="F62" s="108">
        <f>+C62*E62</f>
        <v>7144.2</v>
      </c>
      <c r="H62" s="48" t="s">
        <v>373</v>
      </c>
      <c r="I62" s="48"/>
      <c r="J62" s="48"/>
      <c r="K62" s="48"/>
      <c r="L62" s="48"/>
      <c r="M62" s="48"/>
      <c r="N62" s="48"/>
      <c r="O62" s="48"/>
      <c r="P62" s="48"/>
      <c r="Q62" s="48"/>
      <c r="R62" s="66">
        <f>+R63+R64</f>
        <v>250.08750000000003</v>
      </c>
      <c r="T62" s="89" t="str">
        <f t="shared" si="10"/>
        <v>Kitchen Cabinets</v>
      </c>
      <c r="U62" s="57">
        <f t="shared" si="3"/>
        <v>0</v>
      </c>
      <c r="V62" s="72">
        <f t="shared" si="2"/>
        <v>0</v>
      </c>
    </row>
    <row r="63" spans="2:22" x14ac:dyDescent="0.25">
      <c r="B63" s="48" t="s">
        <v>380</v>
      </c>
      <c r="C63" s="48"/>
      <c r="D63" s="48"/>
      <c r="E63" s="48"/>
      <c r="F63" s="66"/>
      <c r="H63" s="74" t="s">
        <v>421</v>
      </c>
      <c r="I63" s="57">
        <f>+'HOUSE EST TOTAL'!$C$57</f>
        <v>6</v>
      </c>
      <c r="J63" t="s">
        <v>324</v>
      </c>
      <c r="K63" s="87"/>
      <c r="L63" s="87">
        <v>3</v>
      </c>
      <c r="M63" s="57">
        <f>+L63*I63</f>
        <v>18</v>
      </c>
      <c r="N63" s="80">
        <v>16</v>
      </c>
      <c r="O63" s="93">
        <v>0.53437500000000004</v>
      </c>
      <c r="P63" s="79">
        <f>+M63/O63</f>
        <v>33.684210526315788</v>
      </c>
      <c r="Q63" s="78">
        <f>+P63/160</f>
        <v>0.21052631578947367</v>
      </c>
      <c r="R63" s="75">
        <f>+N63*M63*O63</f>
        <v>153.9</v>
      </c>
      <c r="T63" t="str">
        <f t="shared" si="10"/>
        <v>Laborer</v>
      </c>
      <c r="U63" s="57">
        <f t="shared" si="3"/>
        <v>1920</v>
      </c>
      <c r="V63" s="72">
        <f t="shared" si="2"/>
        <v>12</v>
      </c>
    </row>
    <row r="64" spans="2:22" x14ac:dyDescent="0.25">
      <c r="B64" s="49" t="s">
        <v>381</v>
      </c>
      <c r="C64" s="57">
        <f>+'HOUSE EST MODEL 1'!C64+'HOUSE EST MODEL 2'!C64+'HOUSE EST MODEL 3'!C64</f>
        <v>13</v>
      </c>
      <c r="D64" s="87" t="s">
        <v>324</v>
      </c>
      <c r="E64" s="11">
        <f>+SPECS!I35</f>
        <v>10.8</v>
      </c>
      <c r="F64" s="108">
        <f t="shared" ref="F64:F85" si="11">+C64*E64</f>
        <v>140.4</v>
      </c>
      <c r="H64" s="74" t="s">
        <v>427</v>
      </c>
      <c r="I64" s="115">
        <f>+I63</f>
        <v>6</v>
      </c>
      <c r="J64" t="s">
        <v>324</v>
      </c>
      <c r="K64" s="87"/>
      <c r="L64" s="87">
        <f>+L63</f>
        <v>3</v>
      </c>
      <c r="M64" s="57">
        <f>+L64*I64</f>
        <v>18</v>
      </c>
      <c r="N64" s="80">
        <v>10</v>
      </c>
      <c r="O64" s="93">
        <v>0.53437500000000004</v>
      </c>
      <c r="P64" s="79">
        <f>+M64/O64</f>
        <v>33.684210526315788</v>
      </c>
      <c r="Q64" s="78">
        <f>+P64/160</f>
        <v>0.21052631578947367</v>
      </c>
      <c r="R64" s="75">
        <f>+N64*M64*O64</f>
        <v>96.187500000000014</v>
      </c>
      <c r="T64" t="str">
        <f t="shared" si="10"/>
        <v>Helper</v>
      </c>
      <c r="U64" s="57">
        <f t="shared" si="3"/>
        <v>1920</v>
      </c>
      <c r="V64" s="72">
        <f t="shared" si="2"/>
        <v>12</v>
      </c>
    </row>
    <row r="65" spans="2:22" x14ac:dyDescent="0.25">
      <c r="B65" s="49" t="s">
        <v>382</v>
      </c>
      <c r="C65" s="57">
        <f>+'HOUSE EST MODEL 1'!C65+'HOUSE EST MODEL 2'!C65+'HOUSE EST MODEL 3'!C65</f>
        <v>3</v>
      </c>
      <c r="D65" s="87" t="s">
        <v>324</v>
      </c>
      <c r="E65" s="11">
        <f>+SPECS!I36</f>
        <v>38.869200000000006</v>
      </c>
      <c r="F65" s="108">
        <f t="shared" si="11"/>
        <v>116.60760000000002</v>
      </c>
      <c r="H65" s="48" t="s">
        <v>376</v>
      </c>
      <c r="I65" s="48"/>
      <c r="J65" s="48"/>
      <c r="K65" s="48"/>
      <c r="L65" s="48"/>
      <c r="M65" s="48"/>
      <c r="N65" s="48"/>
      <c r="O65" s="48"/>
      <c r="P65" s="48"/>
      <c r="Q65" s="48"/>
      <c r="R65" s="66">
        <f>+R66+R67</f>
        <v>111.14999999999998</v>
      </c>
      <c r="T65" s="89" t="str">
        <f t="shared" si="10"/>
        <v>Bathroom Cabinets</v>
      </c>
      <c r="U65" s="57">
        <f t="shared" si="3"/>
        <v>0</v>
      </c>
      <c r="V65" s="72">
        <f t="shared" si="2"/>
        <v>0</v>
      </c>
    </row>
    <row r="66" spans="2:22" x14ac:dyDescent="0.25">
      <c r="B66" s="49" t="s">
        <v>383</v>
      </c>
      <c r="C66" s="57">
        <f>+'HOUSE EST MODEL 1'!C66+'HOUSE EST MODEL 2'!C66+'HOUSE EST MODEL 3'!C66</f>
        <v>60</v>
      </c>
      <c r="D66" s="87" t="s">
        <v>324</v>
      </c>
      <c r="E66" s="11">
        <f>+SPECS!I39</f>
        <v>2.1384000000000003</v>
      </c>
      <c r="F66" s="108">
        <f t="shared" si="11"/>
        <v>128.30400000000003</v>
      </c>
      <c r="H66" s="74" t="s">
        <v>421</v>
      </c>
      <c r="I66" s="57">
        <f>+'HOUSE EST TOTAL'!$C$60</f>
        <v>4</v>
      </c>
      <c r="J66" t="s">
        <v>324</v>
      </c>
      <c r="K66" s="87"/>
      <c r="L66" s="87">
        <v>3</v>
      </c>
      <c r="M66" s="57">
        <f>+L66*I66</f>
        <v>12</v>
      </c>
      <c r="N66" s="80">
        <v>16</v>
      </c>
      <c r="O66" s="93">
        <v>0.35624999999999996</v>
      </c>
      <c r="P66" s="79">
        <f>+M66/O66</f>
        <v>33.684210526315795</v>
      </c>
      <c r="Q66" s="78">
        <f>+P66/160</f>
        <v>0.21052631578947373</v>
      </c>
      <c r="R66" s="75">
        <f>+N66*M66*O66</f>
        <v>68.399999999999991</v>
      </c>
      <c r="T66" t="str">
        <f t="shared" si="10"/>
        <v>Laborer</v>
      </c>
      <c r="U66" s="57">
        <f t="shared" si="3"/>
        <v>1920.0000000000002</v>
      </c>
      <c r="V66" s="72">
        <f t="shared" si="2"/>
        <v>12.000000000000002</v>
      </c>
    </row>
    <row r="67" spans="2:22" x14ac:dyDescent="0.25">
      <c r="B67" s="49" t="s">
        <v>384</v>
      </c>
      <c r="C67" s="57">
        <f>+'HOUSE EST MODEL 1'!C67+'HOUSE EST MODEL 2'!C67+'HOUSE EST MODEL 3'!C67</f>
        <v>16</v>
      </c>
      <c r="D67" s="87" t="s">
        <v>324</v>
      </c>
      <c r="E67" s="11">
        <f>+SPECS!I55</f>
        <v>0.68310000000000004</v>
      </c>
      <c r="F67" s="108">
        <f t="shared" si="11"/>
        <v>10.929600000000001</v>
      </c>
      <c r="H67" s="74" t="s">
        <v>427</v>
      </c>
      <c r="I67" s="115">
        <f>+I66</f>
        <v>4</v>
      </c>
      <c r="J67" t="s">
        <v>324</v>
      </c>
      <c r="K67" s="87"/>
      <c r="L67" s="87">
        <f>+L66</f>
        <v>3</v>
      </c>
      <c r="M67" s="57">
        <f>+L67*I67</f>
        <v>12</v>
      </c>
      <c r="N67" s="80">
        <v>10</v>
      </c>
      <c r="O67" s="93">
        <v>0.35624999999999996</v>
      </c>
      <c r="P67" s="79">
        <f>+M67/O67</f>
        <v>33.684210526315795</v>
      </c>
      <c r="Q67" s="78">
        <f>+P67/160</f>
        <v>0.21052631578947373</v>
      </c>
      <c r="R67" s="75">
        <f>+N67*M67*O67</f>
        <v>42.749999999999993</v>
      </c>
      <c r="T67" t="str">
        <f t="shared" si="10"/>
        <v>Helper</v>
      </c>
      <c r="U67" s="57">
        <f t="shared" si="3"/>
        <v>1920.0000000000002</v>
      </c>
      <c r="V67" s="72">
        <f t="shared" si="2"/>
        <v>12.000000000000002</v>
      </c>
    </row>
    <row r="68" spans="2:22" x14ac:dyDescent="0.25">
      <c r="B68" s="49" t="s">
        <v>385</v>
      </c>
      <c r="C68" s="57">
        <f>+'HOUSE EST MODEL 1'!C68+'HOUSE EST MODEL 2'!C68+'HOUSE EST MODEL 3'!C68</f>
        <v>3</v>
      </c>
      <c r="D68" s="87" t="s">
        <v>324</v>
      </c>
      <c r="E68" s="11">
        <f>+SPECS!I14</f>
        <v>32.378399999999999</v>
      </c>
      <c r="F68" s="108">
        <f t="shared" si="11"/>
        <v>97.135199999999998</v>
      </c>
      <c r="H68" s="48" t="s">
        <v>378</v>
      </c>
      <c r="I68" s="48"/>
      <c r="J68" s="48"/>
      <c r="K68" s="48"/>
      <c r="L68" s="48"/>
      <c r="M68" s="48"/>
      <c r="N68" s="48"/>
      <c r="O68" s="48"/>
      <c r="P68" s="48"/>
      <c r="Q68" s="48"/>
      <c r="R68" s="66">
        <f>+R69+R70</f>
        <v>35.168554687500006</v>
      </c>
      <c r="T68" s="89" t="str">
        <f t="shared" si="10"/>
        <v>Countertops</v>
      </c>
      <c r="U68" s="57">
        <f t="shared" si="3"/>
        <v>0</v>
      </c>
      <c r="V68" s="72">
        <f t="shared" si="2"/>
        <v>0</v>
      </c>
    </row>
    <row r="69" spans="2:22" x14ac:dyDescent="0.25">
      <c r="B69" s="49" t="s">
        <v>386</v>
      </c>
      <c r="C69" s="57">
        <f>+'HOUSE EST MODEL 1'!C69+'HOUSE EST MODEL 2'!C69+'HOUSE EST MODEL 3'!C69</f>
        <v>9</v>
      </c>
      <c r="D69" s="87" t="s">
        <v>324</v>
      </c>
      <c r="E69" s="11">
        <f>+SPECS!I8</f>
        <v>10.797300000000002</v>
      </c>
      <c r="F69" s="108">
        <f t="shared" si="11"/>
        <v>97.17570000000002</v>
      </c>
      <c r="H69" s="74" t="s">
        <v>421</v>
      </c>
      <c r="I69">
        <f>+'HOUSE EST TOTAL'!$C$62</f>
        <v>135</v>
      </c>
      <c r="J69" t="s">
        <v>40</v>
      </c>
      <c r="L69" s="87">
        <v>0.05</v>
      </c>
      <c r="M69" s="57">
        <f>+L69*I69</f>
        <v>6.75</v>
      </c>
      <c r="N69" s="80">
        <v>16</v>
      </c>
      <c r="O69" s="93">
        <v>0.20039062500000002</v>
      </c>
      <c r="P69" s="79">
        <f>+M69/O69</f>
        <v>33.684210526315788</v>
      </c>
      <c r="Q69" s="78">
        <f>+P69/160</f>
        <v>0.21052631578947367</v>
      </c>
      <c r="R69" s="75">
        <f>+N69*M69*O69</f>
        <v>21.642187500000002</v>
      </c>
      <c r="T69" t="str">
        <f t="shared" ref="T69:T83" si="12">+H69</f>
        <v>Laborer</v>
      </c>
      <c r="U69" s="57">
        <f t="shared" si="3"/>
        <v>1920</v>
      </c>
      <c r="V69" s="72">
        <f t="shared" si="2"/>
        <v>12</v>
      </c>
    </row>
    <row r="70" spans="2:22" x14ac:dyDescent="0.25">
      <c r="B70" s="48" t="s">
        <v>304</v>
      </c>
      <c r="C70" s="48"/>
      <c r="D70" s="48"/>
      <c r="E70" s="48"/>
      <c r="F70" s="66"/>
      <c r="H70" s="74" t="s">
        <v>427</v>
      </c>
      <c r="I70">
        <f>+I69</f>
        <v>135</v>
      </c>
      <c r="J70" t="s">
        <v>40</v>
      </c>
      <c r="L70" s="87">
        <f>+L69</f>
        <v>0.05</v>
      </c>
      <c r="M70" s="57">
        <f>+L70*I70</f>
        <v>6.75</v>
      </c>
      <c r="N70" s="80">
        <v>10</v>
      </c>
      <c r="O70" s="93">
        <v>0.20039062500000002</v>
      </c>
      <c r="P70" s="79">
        <f>+M70/O70</f>
        <v>33.684210526315788</v>
      </c>
      <c r="Q70" s="78">
        <f>+P70/160</f>
        <v>0.21052631578947367</v>
      </c>
      <c r="R70" s="75">
        <f>+N70*M70*O70</f>
        <v>13.526367187500002</v>
      </c>
      <c r="T70" t="str">
        <f t="shared" si="12"/>
        <v>Helper</v>
      </c>
      <c r="U70" s="57">
        <f t="shared" si="3"/>
        <v>1920</v>
      </c>
      <c r="V70" s="72">
        <f t="shared" si="2"/>
        <v>12</v>
      </c>
    </row>
    <row r="71" spans="2:22" x14ac:dyDescent="0.25">
      <c r="B71" s="49" t="s">
        <v>387</v>
      </c>
      <c r="C71" s="57">
        <f>+'HOUSE EST MODEL 1'!C71+'HOUSE EST MODEL 2'!C71+'HOUSE EST MODEL 3'!C71</f>
        <v>3</v>
      </c>
      <c r="D71" s="87" t="s">
        <v>324</v>
      </c>
      <c r="E71" s="11">
        <f>+SPECS!I18</f>
        <v>1294.92</v>
      </c>
      <c r="F71" s="108">
        <f t="shared" si="11"/>
        <v>3884.76</v>
      </c>
      <c r="H71" s="48" t="s">
        <v>380</v>
      </c>
      <c r="I71" s="48"/>
      <c r="J71" s="48"/>
      <c r="K71" s="48"/>
      <c r="L71" s="48"/>
      <c r="M71" s="48"/>
      <c r="N71" s="48"/>
      <c r="O71" s="48"/>
      <c r="P71" s="48"/>
      <c r="Q71" s="48"/>
      <c r="R71" s="66">
        <f>+R72+R73</f>
        <v>521.78750000000002</v>
      </c>
      <c r="T71" s="89" t="str">
        <f t="shared" si="12"/>
        <v>House Hardware</v>
      </c>
      <c r="U71" s="57">
        <f t="shared" si="3"/>
        <v>0</v>
      </c>
      <c r="V71" s="72">
        <f t="shared" si="3"/>
        <v>0</v>
      </c>
    </row>
    <row r="72" spans="2:22" x14ac:dyDescent="0.25">
      <c r="B72" s="49" t="s">
        <v>388</v>
      </c>
      <c r="C72" s="57">
        <f>+'HOUSE EST MODEL 1'!C72+'HOUSE EST MODEL 2'!C72+'HOUSE EST MODEL 3'!C72</f>
        <v>3</v>
      </c>
      <c r="D72" s="87" t="s">
        <v>324</v>
      </c>
      <c r="E72" s="11">
        <f>+SPECS!I19</f>
        <v>538.92000000000007</v>
      </c>
      <c r="F72" s="108">
        <f t="shared" si="11"/>
        <v>1616.7600000000002</v>
      </c>
      <c r="H72" s="74" t="s">
        <v>421</v>
      </c>
      <c r="I72">
        <f>+SUM('HOUSE EST TOTAL'!$C$64:$C$69)</f>
        <v>104</v>
      </c>
      <c r="J72" t="s">
        <v>324</v>
      </c>
      <c r="L72" s="87">
        <f>15/60</f>
        <v>0.25</v>
      </c>
      <c r="M72" s="57">
        <f>+L72*I72</f>
        <v>26</v>
      </c>
      <c r="N72" s="80">
        <v>16</v>
      </c>
      <c r="O72" s="93">
        <v>0.77187500000000009</v>
      </c>
      <c r="P72" s="79">
        <f>+M72/O72</f>
        <v>33.684210526315788</v>
      </c>
      <c r="Q72" s="78">
        <f>+P72/160</f>
        <v>0.21052631578947367</v>
      </c>
      <c r="R72" s="75">
        <f>+N72*M72*O72</f>
        <v>321.10000000000002</v>
      </c>
      <c r="T72" t="str">
        <f t="shared" si="12"/>
        <v>Laborer</v>
      </c>
      <c r="U72" s="57">
        <f t="shared" ref="U72:V83" si="13">+P72*$U$1</f>
        <v>1920</v>
      </c>
      <c r="V72" s="72">
        <f t="shared" si="13"/>
        <v>12</v>
      </c>
    </row>
    <row r="73" spans="2:22" x14ac:dyDescent="0.25">
      <c r="B73" s="49" t="s">
        <v>389</v>
      </c>
      <c r="C73" s="57">
        <f>+'HOUSE EST MODEL 1'!C73+'HOUSE EST MODEL 2'!C73+'HOUSE EST MODEL 3'!C73</f>
        <v>3</v>
      </c>
      <c r="D73" s="87" t="s">
        <v>324</v>
      </c>
      <c r="E73" s="11">
        <f>+SPECS!I20</f>
        <v>592.92000000000007</v>
      </c>
      <c r="F73" s="108">
        <f t="shared" si="11"/>
        <v>1778.7600000000002</v>
      </c>
      <c r="H73" s="74" t="s">
        <v>427</v>
      </c>
      <c r="I73">
        <f>+I72</f>
        <v>104</v>
      </c>
      <c r="J73" t="s">
        <v>324</v>
      </c>
      <c r="L73" s="87">
        <f>+L72</f>
        <v>0.25</v>
      </c>
      <c r="M73" s="57">
        <f>+L73*I73</f>
        <v>26</v>
      </c>
      <c r="N73" s="80">
        <v>10</v>
      </c>
      <c r="O73" s="93">
        <v>0.77187500000000009</v>
      </c>
      <c r="P73" s="79">
        <f>+M73/O73</f>
        <v>33.684210526315788</v>
      </c>
      <c r="Q73" s="78">
        <f>+P73/160</f>
        <v>0.21052631578947367</v>
      </c>
      <c r="R73" s="75">
        <f>+N73*M73*O73</f>
        <v>200.68750000000003</v>
      </c>
      <c r="T73" t="str">
        <f t="shared" si="12"/>
        <v>Helper</v>
      </c>
      <c r="U73" s="57">
        <f t="shared" si="13"/>
        <v>1920</v>
      </c>
      <c r="V73" s="72">
        <f t="shared" si="13"/>
        <v>12</v>
      </c>
    </row>
    <row r="74" spans="2:22" x14ac:dyDescent="0.25">
      <c r="B74" s="49" t="s">
        <v>390</v>
      </c>
      <c r="C74" s="57">
        <f>+'HOUSE EST MODEL 1'!C74+'HOUSE EST MODEL 2'!C74+'HOUSE EST MODEL 3'!C74</f>
        <v>3</v>
      </c>
      <c r="D74" s="87" t="s">
        <v>324</v>
      </c>
      <c r="E74" s="11">
        <f>+SPECS!I21</f>
        <v>431.98920000000004</v>
      </c>
      <c r="F74" s="108">
        <f t="shared" si="11"/>
        <v>1295.9676000000002</v>
      </c>
      <c r="H74" s="48" t="s">
        <v>304</v>
      </c>
      <c r="I74" s="48"/>
      <c r="J74" s="48"/>
      <c r="K74" s="48"/>
      <c r="L74" s="48"/>
      <c r="M74" s="48"/>
      <c r="N74" s="48"/>
      <c r="O74" s="48"/>
      <c r="P74" s="48"/>
      <c r="Q74" s="48"/>
      <c r="R74" s="66">
        <f>+R75+R76</f>
        <v>111.14999999999998</v>
      </c>
      <c r="T74" s="89" t="str">
        <f t="shared" si="12"/>
        <v>Appliances</v>
      </c>
      <c r="U74" s="57">
        <f t="shared" si="13"/>
        <v>0</v>
      </c>
      <c r="V74" s="72">
        <f t="shared" si="13"/>
        <v>0</v>
      </c>
    </row>
    <row r="75" spans="2:22" x14ac:dyDescent="0.25">
      <c r="B75" s="48" t="s">
        <v>391</v>
      </c>
      <c r="C75" s="48"/>
      <c r="D75" s="48"/>
      <c r="E75" s="48"/>
      <c r="F75" s="66"/>
      <c r="H75" s="74" t="s">
        <v>421</v>
      </c>
      <c r="I75">
        <f>+SUM('HOUSE EST TOTAL'!$C$71:$C$74)</f>
        <v>12</v>
      </c>
      <c r="J75" t="s">
        <v>324</v>
      </c>
      <c r="L75" s="87">
        <v>1</v>
      </c>
      <c r="M75" s="57">
        <f>+L75*I75</f>
        <v>12</v>
      </c>
      <c r="N75" s="80">
        <v>16</v>
      </c>
      <c r="O75" s="93">
        <v>0.35624999999999996</v>
      </c>
      <c r="P75" s="79">
        <f>+M75/O75</f>
        <v>33.684210526315795</v>
      </c>
      <c r="Q75" s="78">
        <f>+P75/160</f>
        <v>0.21052631578947373</v>
      </c>
      <c r="R75" s="75">
        <f>+N75*M75*O75</f>
        <v>68.399999999999991</v>
      </c>
      <c r="T75" t="str">
        <f t="shared" si="12"/>
        <v>Laborer</v>
      </c>
      <c r="U75" s="57">
        <f t="shared" si="13"/>
        <v>1920.0000000000002</v>
      </c>
      <c r="V75" s="72">
        <f t="shared" si="13"/>
        <v>12.000000000000002</v>
      </c>
    </row>
    <row r="76" spans="2:22" x14ac:dyDescent="0.25">
      <c r="B76" s="49" t="s">
        <v>392</v>
      </c>
      <c r="C76" s="57">
        <f>+'HOUSE EST MODEL 1'!C76+'HOUSE EST MODEL 2'!C76+'HOUSE EST MODEL 3'!C76</f>
        <v>3</v>
      </c>
      <c r="D76" s="87" t="s">
        <v>324</v>
      </c>
      <c r="E76" s="11">
        <f>+SPECS!I41</f>
        <v>432.30239999999998</v>
      </c>
      <c r="F76" s="108">
        <f t="shared" si="11"/>
        <v>1296.9071999999999</v>
      </c>
      <c r="H76" s="74" t="s">
        <v>427</v>
      </c>
      <c r="I76">
        <f>+I75</f>
        <v>12</v>
      </c>
      <c r="J76" t="s">
        <v>324</v>
      </c>
      <c r="L76" s="87">
        <f>+L75</f>
        <v>1</v>
      </c>
      <c r="M76" s="57">
        <f>+L76*I76</f>
        <v>12</v>
      </c>
      <c r="N76" s="80">
        <v>10</v>
      </c>
      <c r="O76" s="93">
        <v>0.35624999999999996</v>
      </c>
      <c r="P76" s="79">
        <f>+M76/O76</f>
        <v>33.684210526315795</v>
      </c>
      <c r="Q76" s="78">
        <f>+P76/160</f>
        <v>0.21052631578947373</v>
      </c>
      <c r="R76" s="75">
        <f>+N76*M76*O76</f>
        <v>42.749999999999993</v>
      </c>
      <c r="T76" t="str">
        <f t="shared" si="12"/>
        <v>Helper</v>
      </c>
      <c r="U76" s="57">
        <f t="shared" si="13"/>
        <v>1920.0000000000002</v>
      </c>
      <c r="V76" s="72">
        <f t="shared" si="13"/>
        <v>12.000000000000002</v>
      </c>
    </row>
    <row r="77" spans="2:22" x14ac:dyDescent="0.25">
      <c r="B77" s="49" t="s">
        <v>393</v>
      </c>
      <c r="C77" s="57">
        <f>+'HOUSE EST MODEL 1'!C77+'HOUSE EST MODEL 2'!C77+'HOUSE EST MODEL 3'!C77</f>
        <v>3</v>
      </c>
      <c r="D77" s="87" t="s">
        <v>324</v>
      </c>
      <c r="E77" s="11">
        <f>+SPECS!I42</f>
        <v>139.61160000000001</v>
      </c>
      <c r="F77" s="108">
        <f t="shared" si="11"/>
        <v>418.83480000000003</v>
      </c>
      <c r="H77" s="48" t="s">
        <v>391</v>
      </c>
      <c r="I77" s="48"/>
      <c r="J77" s="48"/>
      <c r="K77" s="48"/>
      <c r="L77" s="48"/>
      <c r="M77" s="48"/>
      <c r="N77" s="48"/>
      <c r="O77" s="48"/>
      <c r="P77" s="48"/>
      <c r="Q77" s="48"/>
      <c r="R77" s="66">
        <f>+R78+R79</f>
        <v>264.17421875000002</v>
      </c>
      <c r="T77" s="89" t="str">
        <f t="shared" si="12"/>
        <v>Plumbing Fixtures</v>
      </c>
      <c r="U77" s="57">
        <f t="shared" si="13"/>
        <v>0</v>
      </c>
      <c r="V77" s="72">
        <f t="shared" si="13"/>
        <v>0</v>
      </c>
    </row>
    <row r="78" spans="2:22" x14ac:dyDescent="0.25">
      <c r="B78" s="49" t="s">
        <v>394</v>
      </c>
      <c r="C78" s="57">
        <f>+'HOUSE EST MODEL 1'!C78+'HOUSE EST MODEL 2'!C78+'HOUSE EST MODEL 3'!C78</f>
        <v>3</v>
      </c>
      <c r="D78" s="87" t="s">
        <v>324</v>
      </c>
      <c r="E78" s="11">
        <f>+SPECS!I40</f>
        <v>187.0128</v>
      </c>
      <c r="F78" s="108">
        <f t="shared" si="11"/>
        <v>561.03840000000002</v>
      </c>
      <c r="H78" s="74" t="s">
        <v>421</v>
      </c>
      <c r="I78">
        <f>+SUM('HOUSE EST TOTAL'!$C$76:$C$85)</f>
        <v>37</v>
      </c>
      <c r="J78" t="s">
        <v>324</v>
      </c>
      <c r="L78" s="87">
        <v>0.5</v>
      </c>
      <c r="M78" s="57">
        <f>+L78*I78</f>
        <v>18.5</v>
      </c>
      <c r="N78" s="80">
        <v>16</v>
      </c>
      <c r="O78" s="93">
        <v>0.54921874999999998</v>
      </c>
      <c r="P78" s="79">
        <f>+M78/O78</f>
        <v>33.684210526315788</v>
      </c>
      <c r="Q78" s="78">
        <f>+P78/160</f>
        <v>0.21052631578947367</v>
      </c>
      <c r="R78" s="75">
        <f>+N78*M78*O78</f>
        <v>162.56874999999999</v>
      </c>
      <c r="T78" t="str">
        <f t="shared" si="12"/>
        <v>Laborer</v>
      </c>
      <c r="U78" s="57">
        <f t="shared" si="13"/>
        <v>1920</v>
      </c>
      <c r="V78" s="72">
        <f t="shared" si="13"/>
        <v>12</v>
      </c>
    </row>
    <row r="79" spans="2:22" x14ac:dyDescent="0.25">
      <c r="B79" s="49" t="s">
        <v>395</v>
      </c>
      <c r="C79" s="57">
        <f>+'HOUSE EST MODEL 1'!C79+'HOUSE EST MODEL 2'!C79+'HOUSE EST MODEL 3'!C79</f>
        <v>4</v>
      </c>
      <c r="D79" s="87" t="s">
        <v>324</v>
      </c>
      <c r="E79" s="11">
        <f>+SPECS!I43</f>
        <v>108.6156</v>
      </c>
      <c r="F79" s="108">
        <f t="shared" si="11"/>
        <v>434.4624</v>
      </c>
      <c r="H79" s="74" t="s">
        <v>427</v>
      </c>
      <c r="I79">
        <f>+I78</f>
        <v>37</v>
      </c>
      <c r="J79" t="s">
        <v>324</v>
      </c>
      <c r="L79" s="87">
        <f>+L78</f>
        <v>0.5</v>
      </c>
      <c r="M79" s="57">
        <f>+L79*I79</f>
        <v>18.5</v>
      </c>
      <c r="N79" s="80">
        <v>10</v>
      </c>
      <c r="O79" s="93">
        <v>0.54921874999999998</v>
      </c>
      <c r="P79" s="79">
        <f>+M79/O79</f>
        <v>33.684210526315788</v>
      </c>
      <c r="Q79" s="78">
        <f>+P79/160</f>
        <v>0.21052631578947367</v>
      </c>
      <c r="R79" s="75">
        <f>+N79*M79*O79</f>
        <v>101.60546875</v>
      </c>
      <c r="T79" t="str">
        <f t="shared" si="12"/>
        <v>Helper</v>
      </c>
      <c r="U79" s="57">
        <f t="shared" si="13"/>
        <v>1920</v>
      </c>
      <c r="V79" s="72">
        <f t="shared" si="13"/>
        <v>12</v>
      </c>
    </row>
    <row r="80" spans="2:22" x14ac:dyDescent="0.25">
      <c r="B80" s="49" t="s">
        <v>396</v>
      </c>
      <c r="C80" s="57">
        <f>+'HOUSE EST MODEL 1'!C80+'HOUSE EST MODEL 2'!C80+'HOUSE EST MODEL 3'!C80</f>
        <v>4</v>
      </c>
      <c r="D80" s="87" t="s">
        <v>324</v>
      </c>
      <c r="E80" s="11">
        <f>+SPECS!I46</f>
        <v>87.469200000000001</v>
      </c>
      <c r="F80" s="108">
        <f t="shared" si="11"/>
        <v>349.8768</v>
      </c>
      <c r="H80" s="48" t="s">
        <v>402</v>
      </c>
      <c r="I80" s="48"/>
      <c r="J80" s="48"/>
      <c r="K80" s="48"/>
      <c r="L80" s="48"/>
      <c r="M80" s="48"/>
      <c r="N80" s="48"/>
      <c r="O80" s="48"/>
      <c r="P80" s="48"/>
      <c r="Q80" s="48"/>
      <c r="R80" s="66">
        <f>+R81+R82</f>
        <v>3211.1929687500005</v>
      </c>
      <c r="T80" s="89" t="str">
        <f t="shared" si="12"/>
        <v>Electrical Fixtures</v>
      </c>
      <c r="U80" s="57">
        <f t="shared" si="13"/>
        <v>0</v>
      </c>
      <c r="V80" s="72">
        <f t="shared" si="13"/>
        <v>0</v>
      </c>
    </row>
    <row r="81" spans="2:22" x14ac:dyDescent="0.25">
      <c r="B81" s="49" t="s">
        <v>397</v>
      </c>
      <c r="C81" s="57">
        <f>+'HOUSE EST MODEL 1'!C81+'HOUSE EST MODEL 2'!C81+'HOUSE EST MODEL 3'!C81</f>
        <v>4</v>
      </c>
      <c r="D81" s="87" t="s">
        <v>324</v>
      </c>
      <c r="E81" s="11">
        <f>+SPECS!I44</f>
        <v>64.800000000000011</v>
      </c>
      <c r="F81" s="108">
        <f t="shared" si="11"/>
        <v>259.20000000000005</v>
      </c>
      <c r="H81" s="74" t="s">
        <v>421</v>
      </c>
      <c r="I81">
        <f>+SUM('HOUSE EST TOTAL'!$C$87:$C$94)</f>
        <v>129</v>
      </c>
      <c r="J81" t="s">
        <v>324</v>
      </c>
      <c r="L81" s="87">
        <v>0.5</v>
      </c>
      <c r="M81" s="57">
        <f>+L81*I81</f>
        <v>64.5</v>
      </c>
      <c r="N81" s="80">
        <v>16</v>
      </c>
      <c r="O81" s="93">
        <v>1.9148437500000002</v>
      </c>
      <c r="P81" s="79">
        <f>+M81/O81</f>
        <v>33.684210526315788</v>
      </c>
      <c r="Q81" s="78">
        <f>+P81/160</f>
        <v>0.21052631578947367</v>
      </c>
      <c r="R81" s="75">
        <f>+N81*M81*O81</f>
        <v>1976.1187500000001</v>
      </c>
      <c r="T81" t="str">
        <f t="shared" si="12"/>
        <v>Laborer</v>
      </c>
      <c r="U81" s="57">
        <f t="shared" si="13"/>
        <v>1920</v>
      </c>
      <c r="V81" s="72">
        <f t="shared" si="13"/>
        <v>12</v>
      </c>
    </row>
    <row r="82" spans="2:22" x14ac:dyDescent="0.25">
      <c r="B82" s="49" t="s">
        <v>398</v>
      </c>
      <c r="C82" s="57">
        <f>+'HOUSE EST MODEL 1'!C82+'HOUSE EST MODEL 2'!C82+'HOUSE EST MODEL 3'!C82</f>
        <v>4</v>
      </c>
      <c r="D82" s="87" t="s">
        <v>324</v>
      </c>
      <c r="E82" s="11">
        <f>+SPECS!I45</f>
        <v>38.577600000000004</v>
      </c>
      <c r="F82" s="108">
        <f t="shared" si="11"/>
        <v>154.31040000000002</v>
      </c>
      <c r="H82" s="74" t="s">
        <v>427</v>
      </c>
      <c r="I82">
        <f>+I81</f>
        <v>129</v>
      </c>
      <c r="J82" t="s">
        <v>324</v>
      </c>
      <c r="L82" s="87">
        <f>+L81</f>
        <v>0.5</v>
      </c>
      <c r="M82" s="57">
        <f>+L82*I82</f>
        <v>64.5</v>
      </c>
      <c r="N82" s="80">
        <v>10</v>
      </c>
      <c r="O82" s="93">
        <v>1.9148437500000002</v>
      </c>
      <c r="P82" s="79">
        <f>+M82/O82</f>
        <v>33.684210526315788</v>
      </c>
      <c r="Q82" s="78">
        <f>+P82/160</f>
        <v>0.21052631578947367</v>
      </c>
      <c r="R82" s="75">
        <f>+N82*M82*O82</f>
        <v>1235.0742187500002</v>
      </c>
      <c r="T82" t="str">
        <f t="shared" si="12"/>
        <v>Helper</v>
      </c>
      <c r="U82" s="57">
        <f t="shared" si="13"/>
        <v>1920</v>
      </c>
      <c r="V82" s="72">
        <f t="shared" si="13"/>
        <v>12</v>
      </c>
    </row>
    <row r="83" spans="2:22" x14ac:dyDescent="0.25">
      <c r="B83" s="49" t="s">
        <v>399</v>
      </c>
      <c r="C83" s="57">
        <f>+'HOUSE EST MODEL 1'!C83+'HOUSE EST MODEL 2'!C83+'HOUSE EST MODEL 3'!C83</f>
        <v>4</v>
      </c>
      <c r="D83" s="87" t="s">
        <v>324</v>
      </c>
      <c r="E83" s="11">
        <f>+SPECS!I47</f>
        <v>28.069199999999999</v>
      </c>
      <c r="F83" s="108">
        <f t="shared" si="11"/>
        <v>112.27679999999999</v>
      </c>
      <c r="H83" s="58" t="s">
        <v>436</v>
      </c>
      <c r="I83" s="58"/>
      <c r="J83" s="58"/>
      <c r="K83" s="58"/>
      <c r="L83" s="58"/>
      <c r="M83" s="58"/>
      <c r="N83" s="58"/>
      <c r="O83" s="58"/>
      <c r="P83" s="58"/>
      <c r="Q83" s="58"/>
      <c r="R83" s="67">
        <f>+R4+R12+R15+R18+R21+R24+R27+R31+R34+R37+R41+R44+R47+R50+R53+R59+R56+R62+R65+R68+R71+R74+R77+R80</f>
        <v>259280.07396800391</v>
      </c>
      <c r="T83" t="str">
        <f t="shared" si="12"/>
        <v>SUB TOTAL LABOR</v>
      </c>
      <c r="U83" s="57">
        <f t="shared" si="13"/>
        <v>0</v>
      </c>
      <c r="V83" s="72">
        <f t="shared" si="13"/>
        <v>0</v>
      </c>
    </row>
    <row r="84" spans="2:22" x14ac:dyDescent="0.25">
      <c r="B84" s="49" t="s">
        <v>400</v>
      </c>
      <c r="C84" s="57">
        <f>+'HOUSE EST MODEL 1'!C84+'HOUSE EST MODEL 2'!C84+'HOUSE EST MODEL 3'!C84</f>
        <v>4</v>
      </c>
      <c r="D84" s="87" t="s">
        <v>324</v>
      </c>
      <c r="E84" s="11">
        <f>+SPECS!I48</f>
        <v>51.224400000000003</v>
      </c>
      <c r="F84" s="108">
        <f t="shared" si="11"/>
        <v>204.89760000000001</v>
      </c>
    </row>
    <row r="85" spans="2:22" x14ac:dyDescent="0.25">
      <c r="B85" s="49" t="s">
        <v>401</v>
      </c>
      <c r="C85" s="57">
        <f>+'HOUSE EST MODEL 1'!C85+'HOUSE EST MODEL 2'!C85+'HOUSE EST MODEL 3'!C85</f>
        <v>4</v>
      </c>
      <c r="D85" s="87" t="s">
        <v>324</v>
      </c>
      <c r="E85" s="11">
        <f>+SPECS!I49</f>
        <v>204.17400000000004</v>
      </c>
      <c r="F85" s="108">
        <f t="shared" si="11"/>
        <v>816.69600000000014</v>
      </c>
    </row>
    <row r="86" spans="2:22" x14ac:dyDescent="0.25">
      <c r="B86" s="48" t="s">
        <v>402</v>
      </c>
      <c r="C86" s="48"/>
      <c r="D86" s="48"/>
      <c r="E86" s="48"/>
      <c r="F86" s="66"/>
    </row>
    <row r="87" spans="2:22" x14ac:dyDescent="0.25">
      <c r="B87" s="49" t="s">
        <v>403</v>
      </c>
      <c r="C87" s="57">
        <f>+'HOUSE EST MODEL 1'!C87+'HOUSE EST MODEL 2'!C87+'HOUSE EST MODEL 3'!C87</f>
        <v>6</v>
      </c>
      <c r="D87" t="s">
        <v>324</v>
      </c>
      <c r="E87" s="11">
        <f>+SPECS!I31</f>
        <v>41.040000000000006</v>
      </c>
      <c r="F87" s="108">
        <f t="shared" ref="F87:F94" si="14">+C87*E87</f>
        <v>246.24000000000004</v>
      </c>
    </row>
    <row r="88" spans="2:22" x14ac:dyDescent="0.25">
      <c r="B88" s="49" t="s">
        <v>404</v>
      </c>
      <c r="C88" s="57">
        <f>+'HOUSE EST MODEL 1'!C88+'HOUSE EST MODEL 2'!C88+'HOUSE EST MODEL 3'!C88</f>
        <v>40</v>
      </c>
      <c r="D88" t="s">
        <v>324</v>
      </c>
      <c r="E88" s="11">
        <f>+SPECS!I33</f>
        <v>17.917200000000001</v>
      </c>
      <c r="F88" s="108">
        <f t="shared" si="14"/>
        <v>716.6880000000001</v>
      </c>
    </row>
    <row r="89" spans="2:22" x14ac:dyDescent="0.25">
      <c r="B89" s="49" t="s">
        <v>405</v>
      </c>
      <c r="C89" s="57">
        <f>+'HOUSE EST MODEL 1'!C89+'HOUSE EST MODEL 2'!C89+'HOUSE EST MODEL 3'!C89</f>
        <v>6</v>
      </c>
      <c r="D89" t="s">
        <v>324</v>
      </c>
      <c r="E89" s="11">
        <f>+SPECS!I34</f>
        <v>81.183600000000013</v>
      </c>
      <c r="F89" s="108">
        <f t="shared" si="14"/>
        <v>487.10160000000008</v>
      </c>
      <c r="H89" s="58" t="s">
        <v>439</v>
      </c>
      <c r="I89" s="67">
        <f>+F95+R83</f>
        <v>418459.59956800391</v>
      </c>
      <c r="K89" s="11">
        <f>+I89/3</f>
        <v>139486.53318933464</v>
      </c>
    </row>
    <row r="90" spans="2:22" x14ac:dyDescent="0.25">
      <c r="B90" s="49" t="s">
        <v>406</v>
      </c>
      <c r="C90" s="57">
        <f>+'HOUSE EST MODEL 1'!C90+'HOUSE EST MODEL 2'!C90+'HOUSE EST MODEL 3'!C90</f>
        <v>3</v>
      </c>
      <c r="D90" t="s">
        <v>324</v>
      </c>
      <c r="E90" s="11">
        <f>+SPECS!I32</f>
        <v>21.578400000000002</v>
      </c>
      <c r="F90" s="108">
        <f t="shared" si="14"/>
        <v>64.735200000000006</v>
      </c>
    </row>
    <row r="91" spans="2:22" x14ac:dyDescent="0.25">
      <c r="B91" s="49" t="s">
        <v>407</v>
      </c>
      <c r="C91" s="57">
        <f>+'HOUSE EST MODEL 1'!C91+'HOUSE EST MODEL 2'!C91+'HOUSE EST MODEL 3'!C91</f>
        <v>4</v>
      </c>
      <c r="D91" t="s">
        <v>324</v>
      </c>
      <c r="E91" s="11">
        <f>+SPECS!I56</f>
        <v>25.92</v>
      </c>
      <c r="F91" s="108">
        <f t="shared" si="14"/>
        <v>103.68</v>
      </c>
    </row>
    <row r="92" spans="2:22" x14ac:dyDescent="0.25">
      <c r="B92" s="49" t="s">
        <v>408</v>
      </c>
      <c r="C92" s="57">
        <f>+'HOUSE EST MODEL 1'!C92+'HOUSE EST MODEL 2'!C92+'HOUSE EST MODEL 3'!C92</f>
        <v>32</v>
      </c>
      <c r="D92" t="s">
        <v>324</v>
      </c>
      <c r="E92" s="11">
        <f>+SPECS!I51</f>
        <v>2.4084000000000003</v>
      </c>
      <c r="F92" s="108">
        <f t="shared" si="14"/>
        <v>77.06880000000001</v>
      </c>
    </row>
    <row r="93" spans="2:22" x14ac:dyDescent="0.25">
      <c r="B93" s="49" t="s">
        <v>409</v>
      </c>
      <c r="C93" s="57">
        <f>+'HOUSE EST MODEL 1'!C93+'HOUSE EST MODEL 2'!C93+'HOUSE EST MODEL 3'!C93</f>
        <v>32</v>
      </c>
      <c r="D93" t="s">
        <v>324</v>
      </c>
      <c r="E93" s="11">
        <f>+SPECS!I52</f>
        <v>2.5099999999999998</v>
      </c>
      <c r="F93" s="108">
        <f t="shared" si="14"/>
        <v>80.319999999999993</v>
      </c>
    </row>
    <row r="94" spans="2:22" x14ac:dyDescent="0.25">
      <c r="B94" s="49" t="s">
        <v>410</v>
      </c>
      <c r="C94" s="57">
        <f>+'HOUSE EST MODEL 1'!C94+'HOUSE EST MODEL 2'!C94+'HOUSE EST MODEL 3'!C94</f>
        <v>6</v>
      </c>
      <c r="D94" t="s">
        <v>324</v>
      </c>
      <c r="E94" s="11">
        <f>+SPECS!I57</f>
        <v>16.491600000000002</v>
      </c>
      <c r="F94" s="108">
        <f t="shared" si="14"/>
        <v>98.949600000000004</v>
      </c>
    </row>
    <row r="95" spans="2:22" x14ac:dyDescent="0.25">
      <c r="B95" s="58" t="s">
        <v>438</v>
      </c>
      <c r="C95" s="58"/>
      <c r="D95" s="58"/>
      <c r="E95" s="58"/>
      <c r="F95" s="67">
        <f>SUM(F3:F94)</f>
        <v>159179.52559999999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3847A-6217-485A-8B75-22902977D46E}">
  <dimension ref="B1:X95"/>
  <sheetViews>
    <sheetView showGridLines="0" workbookViewId="0">
      <pane ySplit="2" topLeftCell="A3" activePane="bottomLeft" state="frozen"/>
      <selection pane="bottomLeft" activeCell="C11" sqref="C11"/>
    </sheetView>
    <sheetView tabSelected="1" topLeftCell="E1" zoomScale="90" zoomScaleNormal="90" workbookViewId="1">
      <pane ySplit="2" topLeftCell="A3" activePane="bottomLeft" state="frozen"/>
      <selection activeCell="F1" sqref="F1"/>
      <selection pane="bottomLeft" activeCell="N1" sqref="N1"/>
    </sheetView>
  </sheetViews>
  <sheetFormatPr baseColWidth="10" defaultColWidth="11.42578125" defaultRowHeight="15" x14ac:dyDescent="0.25"/>
  <cols>
    <col min="2" max="2" width="46.5703125" bestFit="1" customWidth="1"/>
    <col min="3" max="3" width="11.42578125" style="96"/>
    <col min="5" max="5" width="12" style="11" bestFit="1" customWidth="1"/>
    <col min="6" max="6" width="11.85546875" style="63" bestFit="1" customWidth="1"/>
    <col min="8" max="8" width="40.42578125" bestFit="1" customWidth="1"/>
    <col min="9" max="9" width="13.28515625" customWidth="1"/>
    <col min="11" max="11" width="12.5703125" hidden="1" customWidth="1"/>
    <col min="12" max="12" width="5.85546875" bestFit="1" customWidth="1"/>
    <col min="13" max="13" width="9" customWidth="1"/>
    <col min="15" max="15" width="7.140625" customWidth="1"/>
    <col min="16" max="16" width="5.5703125" customWidth="1"/>
    <col min="17" max="17" width="6.5703125" customWidth="1"/>
    <col min="18" max="18" width="18.42578125" customWidth="1"/>
    <col min="20" max="20" width="21.7109375" bestFit="1" customWidth="1"/>
    <col min="21" max="22" width="11.5703125" customWidth="1"/>
  </cols>
  <sheetData>
    <row r="1" spans="2:24" x14ac:dyDescent="0.25">
      <c r="E1" s="106" t="s">
        <v>321</v>
      </c>
      <c r="F1" s="96">
        <f>+('HOUSE EST MODEL 1'!F1*9)+('HOUSE EST MODEL 2'!F1*19)+('HOUSE EST MODEL 3'!F1*29)</f>
        <v>30525</v>
      </c>
      <c r="M1" s="96"/>
      <c r="N1" s="106"/>
      <c r="O1" s="107"/>
      <c r="P1" s="107"/>
      <c r="Q1" s="107"/>
      <c r="R1" s="96"/>
      <c r="T1" s="87"/>
      <c r="U1" s="57"/>
    </row>
    <row r="2" spans="2:24" ht="36.75" x14ac:dyDescent="0.25">
      <c r="B2" s="58" t="s">
        <v>322</v>
      </c>
      <c r="C2" s="97" t="s">
        <v>323</v>
      </c>
      <c r="D2" s="58" t="s">
        <v>324</v>
      </c>
      <c r="E2" s="59" t="s">
        <v>325</v>
      </c>
      <c r="F2" s="64" t="s">
        <v>326</v>
      </c>
      <c r="H2" s="119" t="s">
        <v>440</v>
      </c>
      <c r="I2" s="119" t="s">
        <v>323</v>
      </c>
      <c r="J2" s="119" t="s">
        <v>324</v>
      </c>
      <c r="K2" s="119" t="s">
        <v>411</v>
      </c>
      <c r="L2" s="119" t="s">
        <v>412</v>
      </c>
      <c r="M2" s="119" t="s">
        <v>413</v>
      </c>
      <c r="N2" s="120" t="s">
        <v>414</v>
      </c>
      <c r="O2" s="121" t="s">
        <v>415</v>
      </c>
      <c r="P2" s="121" t="s">
        <v>416</v>
      </c>
      <c r="Q2" s="121" t="s">
        <v>417</v>
      </c>
      <c r="R2" s="122" t="s">
        <v>326</v>
      </c>
      <c r="U2" s="57"/>
    </row>
    <row r="3" spans="2:24" x14ac:dyDescent="0.25">
      <c r="B3" s="47" t="s">
        <v>217</v>
      </c>
      <c r="C3" s="98"/>
      <c r="D3" s="47"/>
      <c r="E3" s="47"/>
      <c r="F3" s="65"/>
      <c r="H3" s="123" t="s">
        <v>217</v>
      </c>
      <c r="I3" s="123"/>
      <c r="J3" s="123"/>
      <c r="K3" s="123"/>
      <c r="L3" s="123"/>
      <c r="M3" s="123"/>
      <c r="N3" s="123"/>
      <c r="O3" s="123"/>
      <c r="P3" s="123"/>
      <c r="Q3" s="123"/>
      <c r="R3" s="124"/>
      <c r="U3" s="57"/>
    </row>
    <row r="4" spans="2:24" x14ac:dyDescent="0.25">
      <c r="B4" s="48" t="s">
        <v>221</v>
      </c>
      <c r="C4" s="99"/>
      <c r="D4" s="48"/>
      <c r="E4" s="48"/>
      <c r="F4" s="66"/>
      <c r="H4" s="125" t="s">
        <v>221</v>
      </c>
      <c r="I4" s="125"/>
      <c r="J4" s="125"/>
      <c r="K4" s="125"/>
      <c r="L4" s="125"/>
      <c r="M4" s="125"/>
      <c r="N4" s="125"/>
      <c r="O4" s="125"/>
      <c r="P4" s="125"/>
      <c r="Q4" s="125"/>
      <c r="R4" s="126">
        <f>+SUM(R6:R10)</f>
        <v>1230547.3050000002</v>
      </c>
      <c r="U4" s="91" t="s">
        <v>434</v>
      </c>
      <c r="V4" s="92" t="s">
        <v>435</v>
      </c>
    </row>
    <row r="5" spans="2:24" x14ac:dyDescent="0.25">
      <c r="B5" s="49" t="s">
        <v>327</v>
      </c>
      <c r="C5" s="96">
        <f>+('HOUSE EST MODEL 1'!C5*9)+('HOUSE EST MODEL 2'!C5*19)+('HOUSE EST MODEL 3'!C5*29)</f>
        <v>92110</v>
      </c>
      <c r="D5" t="s">
        <v>40</v>
      </c>
      <c r="E5" s="11">
        <v>3</v>
      </c>
      <c r="F5" s="108">
        <f>+C5*E5</f>
        <v>276330</v>
      </c>
      <c r="H5" s="127" t="s">
        <v>328</v>
      </c>
      <c r="I5" s="128">
        <f>+'HOUSE YEAR TOTAL 57'!$C$5</f>
        <v>92110</v>
      </c>
      <c r="J5" s="128" t="s">
        <v>40</v>
      </c>
      <c r="K5" s="128"/>
      <c r="L5" s="128"/>
      <c r="M5" s="129"/>
      <c r="N5" s="130"/>
      <c r="O5" s="118"/>
      <c r="P5" s="118"/>
      <c r="Q5" s="118"/>
      <c r="R5" s="153"/>
      <c r="T5" s="88" t="str">
        <f t="shared" ref="T5:T36" si="0">+H5</f>
        <v>Framing Labor</v>
      </c>
      <c r="U5" s="57"/>
    </row>
    <row r="6" spans="2:24" x14ac:dyDescent="0.25">
      <c r="B6" s="49" t="s">
        <v>329</v>
      </c>
      <c r="C6" s="96">
        <f>+('HOUSE EST MODEL 1'!C6*9)+('HOUSE EST MODEL 2'!C6*19)+('HOUSE EST MODEL 3'!C6*29)</f>
        <v>30525</v>
      </c>
      <c r="D6" t="s">
        <v>40</v>
      </c>
      <c r="E6" s="11">
        <v>3</v>
      </c>
      <c r="F6" s="108">
        <f t="shared" ref="F6" si="1">+C6*E6</f>
        <v>91575</v>
      </c>
      <c r="H6" s="132" t="s">
        <v>441</v>
      </c>
      <c r="I6" s="133">
        <f>+I5</f>
        <v>92110</v>
      </c>
      <c r="J6" s="116" t="s">
        <v>40</v>
      </c>
      <c r="K6" s="134">
        <v>69.25</v>
      </c>
      <c r="L6" s="135">
        <f>+K6/1000</f>
        <v>6.9250000000000006E-2</v>
      </c>
      <c r="M6" s="136">
        <f>+L6*I6</f>
        <v>6378.6175000000003</v>
      </c>
      <c r="N6" s="137">
        <v>16</v>
      </c>
      <c r="O6" s="157">
        <v>3</v>
      </c>
      <c r="P6" s="139">
        <f>+M6/O6</f>
        <v>2126.2058333333334</v>
      </c>
      <c r="Q6" s="140">
        <f>+P6/160</f>
        <v>13.288786458333334</v>
      </c>
      <c r="R6" s="154">
        <f>+N6*M6*O6</f>
        <v>306173.64</v>
      </c>
      <c r="S6" s="68"/>
      <c r="T6" s="158" t="str">
        <f t="shared" si="0"/>
        <v>Carpintero y armador</v>
      </c>
      <c r="U6" s="57">
        <f>+P6</f>
        <v>2126.2058333333334</v>
      </c>
      <c r="V6" s="72">
        <f>+Q6</f>
        <v>13.288786458333334</v>
      </c>
      <c r="X6">
        <f>+V6/12</f>
        <v>1.1073988715277778</v>
      </c>
    </row>
    <row r="7" spans="2:24" x14ac:dyDescent="0.25">
      <c r="B7" s="47" t="s">
        <v>331</v>
      </c>
      <c r="C7" s="98"/>
      <c r="D7" s="47"/>
      <c r="E7" s="47"/>
      <c r="F7" s="65"/>
      <c r="H7" s="132" t="s">
        <v>442</v>
      </c>
      <c r="I7" s="133">
        <f>+I5</f>
        <v>92110</v>
      </c>
      <c r="J7" s="116" t="s">
        <v>40</v>
      </c>
      <c r="K7" s="116">
        <f>+K6</f>
        <v>69.25</v>
      </c>
      <c r="L7" s="135">
        <f>+K7/1000</f>
        <v>6.9250000000000006E-2</v>
      </c>
      <c r="M7" s="136">
        <f>+L7*I7</f>
        <v>6378.6175000000003</v>
      </c>
      <c r="N7" s="137">
        <v>10</v>
      </c>
      <c r="O7" s="157">
        <v>3</v>
      </c>
      <c r="P7" s="139">
        <f>+M7/O7</f>
        <v>2126.2058333333334</v>
      </c>
      <c r="Q7" s="140">
        <f>+P7/160</f>
        <v>13.288786458333334</v>
      </c>
      <c r="R7" s="154">
        <f>+N7*M7*O7</f>
        <v>191358.52500000002</v>
      </c>
      <c r="T7" s="158" t="str">
        <f t="shared" si="0"/>
        <v>Auxiliar carpintería</v>
      </c>
      <c r="U7" s="57">
        <f t="shared" ref="U7:U70" si="2">+P7</f>
        <v>2126.2058333333334</v>
      </c>
      <c r="V7" s="72">
        <f t="shared" ref="V7:V70" si="3">+Q7</f>
        <v>13.288786458333334</v>
      </c>
      <c r="X7">
        <f t="shared" ref="X7:X70" si="4">+V7/12</f>
        <v>1.1073988715277778</v>
      </c>
    </row>
    <row r="8" spans="2:24" x14ac:dyDescent="0.25">
      <c r="B8" s="48" t="s">
        <v>332</v>
      </c>
      <c r="C8" s="99"/>
      <c r="D8" s="48"/>
      <c r="E8" s="48"/>
      <c r="F8" s="66"/>
      <c r="H8" s="127" t="s">
        <v>330</v>
      </c>
      <c r="I8" s="128">
        <f>+'HOUSE YEAR TOTAL 57'!$C$6</f>
        <v>30525</v>
      </c>
      <c r="J8" s="128" t="s">
        <v>40</v>
      </c>
      <c r="K8" s="116"/>
      <c r="L8" s="142"/>
      <c r="M8" s="116"/>
      <c r="N8" s="143"/>
      <c r="O8" s="140"/>
      <c r="P8" s="144"/>
      <c r="Q8" s="144"/>
      <c r="R8" s="153"/>
      <c r="T8" s="88" t="str">
        <f t="shared" si="0"/>
        <v>Roofing labor</v>
      </c>
      <c r="U8" s="57">
        <f t="shared" si="2"/>
        <v>0</v>
      </c>
      <c r="V8" s="72">
        <f t="shared" si="3"/>
        <v>0</v>
      </c>
      <c r="X8">
        <f t="shared" si="4"/>
        <v>0</v>
      </c>
    </row>
    <row r="9" spans="2:24" x14ac:dyDescent="0.25">
      <c r="B9" s="49" t="s">
        <v>333</v>
      </c>
      <c r="C9" s="96">
        <f>+('HOUSE EST MODEL 1'!C9*9)+('HOUSE EST MODEL 2'!C9*19)+('HOUSE EST MODEL 3'!C9*29)</f>
        <v>30525</v>
      </c>
      <c r="D9" t="s">
        <v>40</v>
      </c>
      <c r="E9" s="11">
        <f>+SPECS!I12</f>
        <v>2</v>
      </c>
      <c r="F9" s="108">
        <f>+C9*E9</f>
        <v>61050</v>
      </c>
      <c r="H9" s="132" t="s">
        <v>441</v>
      </c>
      <c r="I9" s="133">
        <f>+I8</f>
        <v>30525</v>
      </c>
      <c r="J9" s="116" t="s">
        <v>40</v>
      </c>
      <c r="K9" s="134">
        <f>12.6+48+28.8+33+45+45.5+9+9</f>
        <v>230.9</v>
      </c>
      <c r="L9" s="135">
        <f>+K9/1000</f>
        <v>0.23089999999999999</v>
      </c>
      <c r="M9" s="136">
        <f>+L9*I9</f>
        <v>7048.2224999999999</v>
      </c>
      <c r="N9" s="137">
        <v>16</v>
      </c>
      <c r="O9" s="157">
        <v>4</v>
      </c>
      <c r="P9" s="139">
        <f t="shared" ref="P9:P10" si="5">+M9/O9</f>
        <v>1762.055625</v>
      </c>
      <c r="Q9" s="140">
        <f t="shared" ref="Q9:Q10" si="6">+P9/160</f>
        <v>11.012847656249999</v>
      </c>
      <c r="R9" s="154">
        <f>+N9*M9*O9</f>
        <v>451086.24</v>
      </c>
      <c r="T9" s="158" t="str">
        <f t="shared" si="0"/>
        <v>Carpintero y armador</v>
      </c>
      <c r="U9" s="57">
        <f t="shared" si="2"/>
        <v>1762.055625</v>
      </c>
      <c r="V9" s="72">
        <f t="shared" si="3"/>
        <v>11.012847656249999</v>
      </c>
      <c r="X9">
        <f t="shared" si="4"/>
        <v>0.91773730468749992</v>
      </c>
    </row>
    <row r="10" spans="2:24" x14ac:dyDescent="0.25">
      <c r="B10" s="48" t="s">
        <v>231</v>
      </c>
      <c r="C10" s="99"/>
      <c r="D10" s="48"/>
      <c r="E10" s="48"/>
      <c r="F10" s="66"/>
      <c r="H10" s="132" t="s">
        <v>442</v>
      </c>
      <c r="I10" s="133">
        <f>+I8</f>
        <v>30525</v>
      </c>
      <c r="J10" s="116" t="s">
        <v>40</v>
      </c>
      <c r="K10" s="116">
        <f>+K9</f>
        <v>230.9</v>
      </c>
      <c r="L10" s="135">
        <f>+K10/1000</f>
        <v>0.23089999999999999</v>
      </c>
      <c r="M10" s="136">
        <f>+L10*I10</f>
        <v>7048.2224999999999</v>
      </c>
      <c r="N10" s="137">
        <v>10</v>
      </c>
      <c r="O10" s="157">
        <v>4</v>
      </c>
      <c r="P10" s="139">
        <f t="shared" si="5"/>
        <v>1762.055625</v>
      </c>
      <c r="Q10" s="140">
        <f t="shared" si="6"/>
        <v>11.012847656249999</v>
      </c>
      <c r="R10" s="154">
        <f t="shared" ref="R10" si="7">+N10*M10*O10</f>
        <v>281928.90000000002</v>
      </c>
      <c r="T10" s="158" t="str">
        <f t="shared" si="0"/>
        <v>Auxiliar carpintería</v>
      </c>
      <c r="U10" s="57">
        <f t="shared" si="2"/>
        <v>1762.055625</v>
      </c>
      <c r="V10" s="72">
        <f t="shared" si="3"/>
        <v>11.012847656249999</v>
      </c>
      <c r="X10">
        <f t="shared" si="4"/>
        <v>0.91773730468749992</v>
      </c>
    </row>
    <row r="11" spans="2:24" x14ac:dyDescent="0.25">
      <c r="B11" s="49" t="s">
        <v>335</v>
      </c>
      <c r="C11" s="96">
        <f>+('HOUSE EST MODEL 1'!C11*9)+('HOUSE EST MODEL 2'!C11*19)+('HOUSE EST MODEL 3'!C11*29)</f>
        <v>248</v>
      </c>
      <c r="D11" s="87" t="s">
        <v>324</v>
      </c>
      <c r="E11" s="11">
        <f>+SPECS!I9</f>
        <v>289</v>
      </c>
      <c r="F11" s="108">
        <f>+C11*E11</f>
        <v>71672</v>
      </c>
      <c r="H11" s="123" t="s">
        <v>331</v>
      </c>
      <c r="I11" s="123"/>
      <c r="J11" s="123"/>
      <c r="K11" s="123"/>
      <c r="L11" s="155"/>
      <c r="M11" s="123"/>
      <c r="N11" s="123"/>
      <c r="O11" s="123"/>
      <c r="P11" s="123"/>
      <c r="Q11" s="123"/>
      <c r="R11" s="124"/>
      <c r="T11" s="90" t="str">
        <f t="shared" si="0"/>
        <v>Exteriors</v>
      </c>
      <c r="U11" s="57">
        <f t="shared" si="2"/>
        <v>0</v>
      </c>
      <c r="V11" s="72">
        <f t="shared" si="3"/>
        <v>0</v>
      </c>
      <c r="X11">
        <f t="shared" si="4"/>
        <v>0</v>
      </c>
    </row>
    <row r="12" spans="2:24" x14ac:dyDescent="0.25">
      <c r="B12" s="49" t="s">
        <v>336</v>
      </c>
      <c r="C12" s="96">
        <f>+('HOUSE EST MODEL 1'!C12*9)+('HOUSE EST MODEL 2'!C12*19)+('HOUSE EST MODEL 3'!C12*29)</f>
        <v>86</v>
      </c>
      <c r="D12" s="87" t="s">
        <v>324</v>
      </c>
      <c r="E12" s="11">
        <f>+SPECS!I10</f>
        <v>238</v>
      </c>
      <c r="F12" s="108">
        <f>+C12*E12</f>
        <v>20468</v>
      </c>
      <c r="H12" s="125" t="s">
        <v>332</v>
      </c>
      <c r="I12" s="125"/>
      <c r="J12" s="125"/>
      <c r="K12" s="125"/>
      <c r="L12" s="156"/>
      <c r="M12" s="125"/>
      <c r="N12" s="125"/>
      <c r="O12" s="125"/>
      <c r="P12" s="125"/>
      <c r="Q12" s="125"/>
      <c r="R12" s="126">
        <f>+R13+R14</f>
        <v>13736.25</v>
      </c>
      <c r="T12" s="89" t="str">
        <f t="shared" si="0"/>
        <v>Roofing Shingles</v>
      </c>
      <c r="U12" s="57">
        <f t="shared" si="2"/>
        <v>0</v>
      </c>
      <c r="V12" s="72">
        <f t="shared" si="3"/>
        <v>0</v>
      </c>
      <c r="X12">
        <f t="shared" si="4"/>
        <v>0</v>
      </c>
    </row>
    <row r="13" spans="2:24" x14ac:dyDescent="0.25">
      <c r="B13" s="48" t="s">
        <v>234</v>
      </c>
      <c r="C13" s="99"/>
      <c r="D13" s="48"/>
      <c r="E13" s="48"/>
      <c r="F13" s="66"/>
      <c r="H13" s="132" t="s">
        <v>443</v>
      </c>
      <c r="I13" s="136">
        <f>+'HOUSE YEAR TOTAL 57'!$C$9</f>
        <v>30525</v>
      </c>
      <c r="J13" s="116" t="s">
        <v>40</v>
      </c>
      <c r="K13" s="134">
        <v>2.5</v>
      </c>
      <c r="L13" s="135">
        <f>+K13/100</f>
        <v>2.5000000000000001E-2</v>
      </c>
      <c r="M13" s="136">
        <f>+L13*I13</f>
        <v>763.125</v>
      </c>
      <c r="N13" s="137">
        <v>16</v>
      </c>
      <c r="O13" s="157">
        <v>0.5</v>
      </c>
      <c r="P13" s="139">
        <f>+M13/O13</f>
        <v>1526.25</v>
      </c>
      <c r="Q13" s="140">
        <f>+P13/160</f>
        <v>9.5390625</v>
      </c>
      <c r="R13" s="154">
        <f>+N13*M13*O13</f>
        <v>6105</v>
      </c>
      <c r="T13" s="158" t="str">
        <f t="shared" si="0"/>
        <v>Roofer and gutters</v>
      </c>
      <c r="U13" s="57">
        <f t="shared" si="2"/>
        <v>1526.25</v>
      </c>
      <c r="V13" s="72">
        <f t="shared" si="3"/>
        <v>9.5390625</v>
      </c>
      <c r="X13">
        <f t="shared" si="4"/>
        <v>0.794921875</v>
      </c>
    </row>
    <row r="14" spans="2:24" x14ac:dyDescent="0.25">
      <c r="B14" s="49" t="s">
        <v>337</v>
      </c>
      <c r="C14" s="96">
        <f>+('HOUSE EST MODEL 1'!C14*9)+('HOUSE EST MODEL 2'!C14*19)+('HOUSE EST MODEL 3'!C14*29)</f>
        <v>67250</v>
      </c>
      <c r="D14" t="s">
        <v>40</v>
      </c>
      <c r="E14" s="109">
        <v>0.27</v>
      </c>
      <c r="F14" s="108">
        <f>+C14*E14</f>
        <v>18157.5</v>
      </c>
      <c r="H14" s="132" t="s">
        <v>444</v>
      </c>
      <c r="I14" s="136">
        <f>+I13</f>
        <v>30525</v>
      </c>
      <c r="J14" s="116" t="s">
        <v>40</v>
      </c>
      <c r="K14" s="145">
        <f>+K13</f>
        <v>2.5</v>
      </c>
      <c r="L14" s="135">
        <f>+K14/100</f>
        <v>2.5000000000000001E-2</v>
      </c>
      <c r="M14" s="136">
        <f>+L14*I14</f>
        <v>763.125</v>
      </c>
      <c r="N14" s="137">
        <v>10</v>
      </c>
      <c r="O14" s="157">
        <v>1</v>
      </c>
      <c r="P14" s="139">
        <f>+M14/O14</f>
        <v>763.125</v>
      </c>
      <c r="Q14" s="140">
        <f>+P14/160</f>
        <v>4.76953125</v>
      </c>
      <c r="R14" s="154">
        <f>+N14*M14*O14</f>
        <v>7631.25</v>
      </c>
      <c r="T14" s="158" t="str">
        <f t="shared" si="0"/>
        <v>Helper roffer and gutters</v>
      </c>
      <c r="U14" s="57">
        <f t="shared" si="2"/>
        <v>763.125</v>
      </c>
      <c r="V14" s="72">
        <f t="shared" si="3"/>
        <v>4.76953125</v>
      </c>
      <c r="X14">
        <f t="shared" si="4"/>
        <v>0.3974609375</v>
      </c>
    </row>
    <row r="15" spans="2:24" x14ac:dyDescent="0.25">
      <c r="B15" s="49" t="s">
        <v>338</v>
      </c>
      <c r="C15" s="96">
        <f>+('HOUSE EST MODEL 1'!C15*9)+('HOUSE EST MODEL 2'!C15*19)+('HOUSE EST MODEL 3'!C15*29)</f>
        <v>67250</v>
      </c>
      <c r="D15" t="s">
        <v>40</v>
      </c>
      <c r="E15" s="109">
        <v>2.5</v>
      </c>
      <c r="F15" s="108">
        <f>+C15*E15</f>
        <v>168125</v>
      </c>
      <c r="G15" s="87" t="s">
        <v>339</v>
      </c>
      <c r="H15" s="125" t="s">
        <v>231</v>
      </c>
      <c r="I15" s="125"/>
      <c r="J15" s="125"/>
      <c r="K15" s="125"/>
      <c r="L15" s="125"/>
      <c r="M15" s="125"/>
      <c r="N15" s="125"/>
      <c r="O15" s="125"/>
      <c r="P15" s="125"/>
      <c r="Q15" s="125"/>
      <c r="R15" s="126">
        <f>+R16+R17</f>
        <v>4342</v>
      </c>
      <c r="T15" s="89" t="str">
        <f t="shared" si="0"/>
        <v>Windows</v>
      </c>
      <c r="U15" s="57">
        <f t="shared" si="2"/>
        <v>0</v>
      </c>
      <c r="V15" s="72">
        <f t="shared" si="3"/>
        <v>0</v>
      </c>
      <c r="X15">
        <f t="shared" si="4"/>
        <v>0</v>
      </c>
    </row>
    <row r="16" spans="2:24" x14ac:dyDescent="0.25">
      <c r="B16" s="48" t="s">
        <v>340</v>
      </c>
      <c r="C16" s="99"/>
      <c r="D16" s="48"/>
      <c r="E16" s="48"/>
      <c r="F16" s="66"/>
      <c r="H16" s="132" t="s">
        <v>445</v>
      </c>
      <c r="I16" s="116">
        <f>+'HOUSE YEAR TOTAL 57'!$C$11+'HOUSE YEAR TOTAL 57'!$C$12</f>
        <v>334</v>
      </c>
      <c r="J16" s="133" t="s">
        <v>324</v>
      </c>
      <c r="K16" s="133"/>
      <c r="L16" s="133">
        <v>1</v>
      </c>
      <c r="M16" s="136">
        <f>+L16*I16</f>
        <v>334</v>
      </c>
      <c r="N16" s="137">
        <v>16</v>
      </c>
      <c r="O16" s="157">
        <v>0.5</v>
      </c>
      <c r="P16" s="139">
        <f>+M16/O16</f>
        <v>668</v>
      </c>
      <c r="Q16" s="140">
        <f>+P16/160</f>
        <v>4.1749999999999998</v>
      </c>
      <c r="R16" s="154">
        <f>+N16*M16*O16</f>
        <v>2672</v>
      </c>
      <c r="T16" s="158" t="str">
        <f t="shared" si="0"/>
        <v>Laborer windows and siding</v>
      </c>
      <c r="U16" s="57">
        <f t="shared" si="2"/>
        <v>668</v>
      </c>
      <c r="V16" s="72">
        <f t="shared" si="3"/>
        <v>4.1749999999999998</v>
      </c>
      <c r="X16">
        <f t="shared" si="4"/>
        <v>0.34791666666666665</v>
      </c>
    </row>
    <row r="17" spans="2:24" x14ac:dyDescent="0.25">
      <c r="B17" s="49" t="s">
        <v>341</v>
      </c>
      <c r="C17" s="96">
        <f>+('HOUSE EST MODEL 1'!C17*9)+('HOUSE EST MODEL 2'!C17*19)+('HOUSE EST MODEL 3'!C17*29)</f>
        <v>5797</v>
      </c>
      <c r="D17" s="87" t="s">
        <v>163</v>
      </c>
      <c r="E17" s="11">
        <f>+SPECS!I50</f>
        <v>2</v>
      </c>
      <c r="F17" s="108">
        <f>+C17*E17</f>
        <v>11594</v>
      </c>
      <c r="H17" s="132" t="s">
        <v>446</v>
      </c>
      <c r="I17" s="116">
        <f>+I16</f>
        <v>334</v>
      </c>
      <c r="J17" s="133" t="s">
        <v>324</v>
      </c>
      <c r="K17" s="133"/>
      <c r="L17" s="133">
        <v>1</v>
      </c>
      <c r="M17" s="136">
        <f>+L17*I17</f>
        <v>334</v>
      </c>
      <c r="N17" s="137">
        <v>10</v>
      </c>
      <c r="O17" s="157">
        <v>0.5</v>
      </c>
      <c r="P17" s="139">
        <f>+M17/O17</f>
        <v>668</v>
      </c>
      <c r="Q17" s="140">
        <f>+P17/160</f>
        <v>4.1749999999999998</v>
      </c>
      <c r="R17" s="154">
        <f>+N17*M17*O17</f>
        <v>1670</v>
      </c>
      <c r="T17" s="158" t="str">
        <f t="shared" si="0"/>
        <v>Helper windows and siding</v>
      </c>
      <c r="U17" s="57">
        <f t="shared" si="2"/>
        <v>668</v>
      </c>
      <c r="V17" s="72">
        <f t="shared" si="3"/>
        <v>4.1749999999999998</v>
      </c>
      <c r="X17">
        <f t="shared" si="4"/>
        <v>0.34791666666666665</v>
      </c>
    </row>
    <row r="18" spans="2:24" x14ac:dyDescent="0.25">
      <c r="B18" s="49" t="s">
        <v>342</v>
      </c>
      <c r="C18" s="96">
        <f>+('HOUSE EST MODEL 1'!C18*9)+('HOUSE EST MODEL 2'!C18*19)+('HOUSE EST MODEL 3'!C18*29)</f>
        <v>6725</v>
      </c>
      <c r="D18" s="87" t="s">
        <v>163</v>
      </c>
      <c r="E18" s="11">
        <v>4</v>
      </c>
      <c r="F18" s="108">
        <f>+C18*E18</f>
        <v>26900</v>
      </c>
      <c r="H18" s="125" t="s">
        <v>234</v>
      </c>
      <c r="I18" s="125"/>
      <c r="J18" s="125"/>
      <c r="K18" s="125"/>
      <c r="L18" s="125"/>
      <c r="M18" s="125"/>
      <c r="N18" s="125"/>
      <c r="O18" s="125"/>
      <c r="P18" s="125"/>
      <c r="Q18" s="125"/>
      <c r="R18" s="126">
        <f>+R19+R20</f>
        <v>110155.5</v>
      </c>
      <c r="T18" s="89" t="str">
        <f t="shared" si="0"/>
        <v>Siding</v>
      </c>
      <c r="U18" s="57">
        <f t="shared" si="2"/>
        <v>0</v>
      </c>
      <c r="V18" s="72">
        <f t="shared" si="3"/>
        <v>0</v>
      </c>
      <c r="X18">
        <f t="shared" si="4"/>
        <v>0</v>
      </c>
    </row>
    <row r="19" spans="2:24" x14ac:dyDescent="0.25">
      <c r="B19" s="48" t="s">
        <v>343</v>
      </c>
      <c r="C19" s="99"/>
      <c r="D19" s="48"/>
      <c r="E19" s="48"/>
      <c r="F19" s="66"/>
      <c r="H19" s="132" t="s">
        <v>445</v>
      </c>
      <c r="I19" s="136">
        <f>+'HOUSE YEAR TOTAL 57'!$C$14</f>
        <v>67250</v>
      </c>
      <c r="J19" s="116" t="s">
        <v>40</v>
      </c>
      <c r="K19" s="134">
        <v>4.2</v>
      </c>
      <c r="L19" s="135">
        <f>+K19/100</f>
        <v>4.2000000000000003E-2</v>
      </c>
      <c r="M19" s="136">
        <f>+L19*I19</f>
        <v>2824.5</v>
      </c>
      <c r="N19" s="137">
        <v>16</v>
      </c>
      <c r="O19" s="157">
        <v>1.5</v>
      </c>
      <c r="P19" s="139">
        <f>+M19/O19</f>
        <v>1883</v>
      </c>
      <c r="Q19" s="140">
        <f>+P19/160</f>
        <v>11.768750000000001</v>
      </c>
      <c r="R19" s="154">
        <f>+N19*M19*O19</f>
        <v>67788</v>
      </c>
      <c r="T19" s="158" t="str">
        <f t="shared" si="0"/>
        <v>Laborer windows and siding</v>
      </c>
      <c r="U19" s="57">
        <f t="shared" si="2"/>
        <v>1883</v>
      </c>
      <c r="V19" s="72">
        <f t="shared" si="3"/>
        <v>11.768750000000001</v>
      </c>
      <c r="X19">
        <f t="shared" si="4"/>
        <v>0.98072916666666676</v>
      </c>
    </row>
    <row r="20" spans="2:24" x14ac:dyDescent="0.25">
      <c r="B20" s="49" t="s">
        <v>344</v>
      </c>
      <c r="C20" s="96">
        <f>+('HOUSE EST MODEL 1'!C20*9)+('HOUSE EST MODEL 2'!C20*19)+('HOUSE EST MODEL 3'!C20*29)</f>
        <v>57</v>
      </c>
      <c r="D20" s="87" t="s">
        <v>324</v>
      </c>
      <c r="E20" s="11">
        <f>+SPECS!I7</f>
        <v>421.20000000000005</v>
      </c>
      <c r="F20" s="108">
        <f>+C20*E20</f>
        <v>24008.400000000001</v>
      </c>
      <c r="H20" s="132" t="s">
        <v>446</v>
      </c>
      <c r="I20" s="136">
        <f>+I19</f>
        <v>67250</v>
      </c>
      <c r="J20" s="116" t="s">
        <v>40</v>
      </c>
      <c r="K20" s="145">
        <f>+K19</f>
        <v>4.2</v>
      </c>
      <c r="L20" s="135">
        <f>+K20/100</f>
        <v>4.2000000000000003E-2</v>
      </c>
      <c r="M20" s="136">
        <f>+L20*I20</f>
        <v>2824.5</v>
      </c>
      <c r="N20" s="137">
        <v>10</v>
      </c>
      <c r="O20" s="157">
        <v>1.5</v>
      </c>
      <c r="P20" s="139">
        <f>+M20/O20</f>
        <v>1883</v>
      </c>
      <c r="Q20" s="140">
        <f>+P20/160</f>
        <v>11.768750000000001</v>
      </c>
      <c r="R20" s="154">
        <f>+N20*M20*O20</f>
        <v>42367.5</v>
      </c>
      <c r="T20" s="158" t="str">
        <f t="shared" si="0"/>
        <v>Helper windows and siding</v>
      </c>
      <c r="U20" s="57">
        <f t="shared" si="2"/>
        <v>1883</v>
      </c>
      <c r="V20" s="72">
        <f t="shared" si="3"/>
        <v>11.768750000000001</v>
      </c>
      <c r="X20">
        <f t="shared" si="4"/>
        <v>0.98072916666666676</v>
      </c>
    </row>
    <row r="21" spans="2:24" x14ac:dyDescent="0.25">
      <c r="B21" s="48" t="s">
        <v>242</v>
      </c>
      <c r="C21" s="99"/>
      <c r="D21" s="48"/>
      <c r="E21" s="48"/>
      <c r="F21" s="66"/>
      <c r="H21" s="125" t="s">
        <v>340</v>
      </c>
      <c r="I21" s="125"/>
      <c r="J21" s="125"/>
      <c r="K21" s="125"/>
      <c r="L21" s="125"/>
      <c r="M21" s="125"/>
      <c r="N21" s="125"/>
      <c r="O21" s="125"/>
      <c r="P21" s="125"/>
      <c r="Q21" s="125"/>
      <c r="R21" s="126">
        <f>+R22+R23</f>
        <v>11069.448</v>
      </c>
      <c r="T21" s="89" t="str">
        <f t="shared" si="0"/>
        <v>Exterior Trim</v>
      </c>
      <c r="U21" s="57">
        <f t="shared" si="2"/>
        <v>0</v>
      </c>
      <c r="V21" s="72">
        <f t="shared" si="3"/>
        <v>0</v>
      </c>
      <c r="X21">
        <f t="shared" si="4"/>
        <v>0</v>
      </c>
    </row>
    <row r="22" spans="2:24" x14ac:dyDescent="0.25">
      <c r="B22" s="49" t="s">
        <v>345</v>
      </c>
      <c r="C22" s="96">
        <f>+('HOUSE EST MODEL 1'!C22*9)+('HOUSE EST MODEL 2'!C22*19)+('HOUSE EST MODEL 3'!C22*29)</f>
        <v>6725</v>
      </c>
      <c r="D22" s="87" t="s">
        <v>163</v>
      </c>
      <c r="E22" s="11">
        <v>5</v>
      </c>
      <c r="F22" s="108">
        <f>+C22*E22</f>
        <v>33625</v>
      </c>
      <c r="H22" s="132" t="s">
        <v>447</v>
      </c>
      <c r="I22" s="116">
        <f>+'HOUSE YEAR TOTAL 57'!$C$17+'HOUSE YEAR TOTAL 57'!$C$18</f>
        <v>12522</v>
      </c>
      <c r="J22" s="133" t="s">
        <v>163</v>
      </c>
      <c r="K22" s="134">
        <v>6.8</v>
      </c>
      <c r="L22" s="135">
        <f>+K22/100</f>
        <v>6.8000000000000005E-2</v>
      </c>
      <c r="M22" s="136">
        <f>+L22*I22</f>
        <v>851.49600000000009</v>
      </c>
      <c r="N22" s="137">
        <v>16</v>
      </c>
      <c r="O22" s="157">
        <v>0.5</v>
      </c>
      <c r="P22" s="139">
        <f>+M22/O22</f>
        <v>1702.9920000000002</v>
      </c>
      <c r="Q22" s="140">
        <f>+P22/160</f>
        <v>10.643700000000001</v>
      </c>
      <c r="R22" s="154">
        <f>+N22*M22*O22</f>
        <v>6811.9680000000008</v>
      </c>
      <c r="T22" s="158" t="str">
        <f t="shared" si="0"/>
        <v>Laborer Doors and trim</v>
      </c>
      <c r="U22" s="57">
        <f t="shared" si="2"/>
        <v>1702.9920000000002</v>
      </c>
      <c r="V22" s="72">
        <f t="shared" si="3"/>
        <v>10.643700000000001</v>
      </c>
      <c r="X22">
        <f t="shared" si="4"/>
        <v>0.88697500000000007</v>
      </c>
    </row>
    <row r="23" spans="2:24" x14ac:dyDescent="0.25">
      <c r="B23" s="49" t="s">
        <v>346</v>
      </c>
      <c r="C23" s="96">
        <f>+('HOUSE EST MODEL 1'!C23*9)+('HOUSE EST MODEL 2'!C23*19)+('HOUSE EST MODEL 3'!C23*29)</f>
        <v>2660</v>
      </c>
      <c r="D23" s="87" t="s">
        <v>163</v>
      </c>
      <c r="E23" s="11">
        <v>5</v>
      </c>
      <c r="F23" s="108">
        <f t="shared" ref="F23" si="8">+C23*E23</f>
        <v>13300</v>
      </c>
      <c r="H23" s="132" t="s">
        <v>448</v>
      </c>
      <c r="I23" s="116">
        <f>+I22</f>
        <v>12522</v>
      </c>
      <c r="J23" s="133" t="s">
        <v>163</v>
      </c>
      <c r="K23" s="145">
        <f>+K22</f>
        <v>6.8</v>
      </c>
      <c r="L23" s="135">
        <f>+K23/100</f>
        <v>6.8000000000000005E-2</v>
      </c>
      <c r="M23" s="136">
        <f>+L23*I23</f>
        <v>851.49600000000009</v>
      </c>
      <c r="N23" s="137">
        <v>10</v>
      </c>
      <c r="O23" s="157">
        <v>0.5</v>
      </c>
      <c r="P23" s="139">
        <f>+M23/O23</f>
        <v>1702.9920000000002</v>
      </c>
      <c r="Q23" s="140">
        <f>+P23/160</f>
        <v>10.643700000000001</v>
      </c>
      <c r="R23" s="154">
        <f>+N23*M23*O23</f>
        <v>4257.4800000000005</v>
      </c>
      <c r="T23" s="158" t="str">
        <f t="shared" si="0"/>
        <v>Helper doors and trim</v>
      </c>
      <c r="U23" s="57">
        <f t="shared" si="2"/>
        <v>1702.9920000000002</v>
      </c>
      <c r="V23" s="72">
        <f t="shared" si="3"/>
        <v>10.643700000000001</v>
      </c>
      <c r="X23">
        <f t="shared" si="4"/>
        <v>0.88697500000000007</v>
      </c>
    </row>
    <row r="24" spans="2:24" x14ac:dyDescent="0.25">
      <c r="B24" s="47" t="s">
        <v>347</v>
      </c>
      <c r="C24" s="98"/>
      <c r="D24" s="47"/>
      <c r="E24" s="47"/>
      <c r="F24" s="65"/>
      <c r="H24" s="125" t="s">
        <v>343</v>
      </c>
      <c r="I24" s="125"/>
      <c r="J24" s="125"/>
      <c r="K24" s="125"/>
      <c r="L24" s="125"/>
      <c r="M24" s="125"/>
      <c r="N24" s="125"/>
      <c r="O24" s="125"/>
      <c r="P24" s="125"/>
      <c r="Q24" s="125"/>
      <c r="R24" s="126">
        <f>+R25+R26</f>
        <v>2074.8000000000002</v>
      </c>
      <c r="T24" s="89" t="str">
        <f t="shared" si="0"/>
        <v>Exterior Doors</v>
      </c>
      <c r="U24" s="57">
        <f t="shared" si="2"/>
        <v>0</v>
      </c>
      <c r="V24" s="72">
        <f t="shared" si="3"/>
        <v>0</v>
      </c>
      <c r="X24">
        <f t="shared" si="4"/>
        <v>0</v>
      </c>
    </row>
    <row r="25" spans="2:24" x14ac:dyDescent="0.25">
      <c r="B25" s="48" t="s">
        <v>348</v>
      </c>
      <c r="C25" s="99"/>
      <c r="D25" s="48"/>
      <c r="E25" s="48"/>
      <c r="F25" s="66"/>
      <c r="H25" s="132" t="s">
        <v>447</v>
      </c>
      <c r="I25" s="116">
        <f>+'HOUSE YEAR TOTAL 57'!$C$20</f>
        <v>57</v>
      </c>
      <c r="J25" s="133" t="s">
        <v>324</v>
      </c>
      <c r="K25" s="133"/>
      <c r="L25" s="133">
        <v>2.8</v>
      </c>
      <c r="M25" s="136">
        <f>+L25*I25</f>
        <v>159.6</v>
      </c>
      <c r="N25" s="137">
        <v>16</v>
      </c>
      <c r="O25" s="157">
        <v>0.5</v>
      </c>
      <c r="P25" s="139">
        <f>+M25/O25</f>
        <v>319.2</v>
      </c>
      <c r="Q25" s="140">
        <f>+P25/160</f>
        <v>1.9949999999999999</v>
      </c>
      <c r="R25" s="154">
        <f>+N25*M25*O25</f>
        <v>1276.8</v>
      </c>
      <c r="T25" s="158" t="str">
        <f t="shared" si="0"/>
        <v>Laborer Doors and trim</v>
      </c>
      <c r="U25" s="57">
        <f t="shared" si="2"/>
        <v>319.2</v>
      </c>
      <c r="V25" s="72">
        <f t="shared" si="3"/>
        <v>1.9949999999999999</v>
      </c>
      <c r="X25">
        <f t="shared" si="4"/>
        <v>0.16624999999999998</v>
      </c>
    </row>
    <row r="26" spans="2:24" x14ac:dyDescent="0.25">
      <c r="B26" s="49" t="s">
        <v>349</v>
      </c>
      <c r="C26" s="96">
        <f>+('HOUSE EST MODEL 1'!C26*9)+('HOUSE EST MODEL 2'!C26*19)+('HOUSE EST MODEL 3'!C26*29)</f>
        <v>3430</v>
      </c>
      <c r="D26" s="87" t="s">
        <v>163</v>
      </c>
      <c r="E26" s="11">
        <v>23</v>
      </c>
      <c r="F26" s="108">
        <f t="shared" ref="F26:F32" si="9">+C26*E26</f>
        <v>78890</v>
      </c>
      <c r="G26" s="13"/>
      <c r="H26" s="132" t="s">
        <v>448</v>
      </c>
      <c r="I26" s="116">
        <f>+I25</f>
        <v>57</v>
      </c>
      <c r="J26" s="133" t="s">
        <v>324</v>
      </c>
      <c r="K26" s="133"/>
      <c r="L26" s="133">
        <f>+L25</f>
        <v>2.8</v>
      </c>
      <c r="M26" s="136">
        <f>+L26*I26</f>
        <v>159.6</v>
      </c>
      <c r="N26" s="137">
        <v>10</v>
      </c>
      <c r="O26" s="157">
        <v>0.5</v>
      </c>
      <c r="P26" s="139">
        <f>+M26/O26</f>
        <v>319.2</v>
      </c>
      <c r="Q26" s="140">
        <f>+P26/160</f>
        <v>1.9949999999999999</v>
      </c>
      <c r="R26" s="154">
        <f>+N26*M26*O26</f>
        <v>798</v>
      </c>
      <c r="T26" s="158" t="str">
        <f t="shared" si="0"/>
        <v>Helper doors and trim</v>
      </c>
      <c r="U26" s="57">
        <f t="shared" si="2"/>
        <v>319.2</v>
      </c>
      <c r="V26" s="72">
        <f t="shared" si="3"/>
        <v>1.9949999999999999</v>
      </c>
      <c r="X26">
        <f t="shared" si="4"/>
        <v>0.16624999999999998</v>
      </c>
    </row>
    <row r="27" spans="2:24" x14ac:dyDescent="0.25">
      <c r="B27" s="49" t="s">
        <v>350</v>
      </c>
      <c r="C27" s="96">
        <f>+('HOUSE EST MODEL 1'!C27*9)+('HOUSE EST MODEL 2'!C27*19)+('HOUSE EST MODEL 3'!C27*29)</f>
        <v>3430</v>
      </c>
      <c r="D27" s="87" t="s">
        <v>163</v>
      </c>
      <c r="E27" s="11">
        <v>38</v>
      </c>
      <c r="F27" s="108">
        <f t="shared" si="9"/>
        <v>130340</v>
      </c>
      <c r="G27" s="13"/>
      <c r="H27" s="125" t="s">
        <v>242</v>
      </c>
      <c r="I27" s="125"/>
      <c r="J27" s="125"/>
      <c r="K27" s="125"/>
      <c r="L27" s="125"/>
      <c r="M27" s="125"/>
      <c r="N27" s="125"/>
      <c r="O27" s="125"/>
      <c r="P27" s="125"/>
      <c r="Q27" s="125"/>
      <c r="R27" s="126">
        <f>+R28+R29</f>
        <v>4223.25</v>
      </c>
      <c r="T27" s="89" t="str">
        <f t="shared" si="0"/>
        <v>Gutters</v>
      </c>
      <c r="U27" s="57">
        <f t="shared" si="2"/>
        <v>0</v>
      </c>
      <c r="V27" s="72">
        <f t="shared" si="3"/>
        <v>0</v>
      </c>
      <c r="X27">
        <f t="shared" si="4"/>
        <v>0</v>
      </c>
    </row>
    <row r="28" spans="2:24" x14ac:dyDescent="0.25">
      <c r="B28" s="49" t="s">
        <v>351</v>
      </c>
      <c r="C28" s="96">
        <f>+('HOUSE EST MODEL 1'!C28*9)+('HOUSE EST MODEL 2'!C28*19)+('HOUSE EST MODEL 3'!C28*29)</f>
        <v>57</v>
      </c>
      <c r="D28" s="87" t="s">
        <v>324</v>
      </c>
      <c r="E28" s="11">
        <v>625</v>
      </c>
      <c r="F28" s="108">
        <f t="shared" si="9"/>
        <v>35625</v>
      </c>
      <c r="H28" s="132" t="s">
        <v>443</v>
      </c>
      <c r="I28" s="116">
        <f>+'HOUSE YEAR TOTAL 57'!$C$22+'HOUSE YEAR TOTAL 57'!$C$23</f>
        <v>9385</v>
      </c>
      <c r="J28" s="133" t="s">
        <v>163</v>
      </c>
      <c r="K28" s="133"/>
      <c r="L28" s="146">
        <f>1/40</f>
        <v>2.5000000000000001E-2</v>
      </c>
      <c r="M28" s="136">
        <f>+L28*I28</f>
        <v>234.625</v>
      </c>
      <c r="N28" s="137">
        <v>16</v>
      </c>
      <c r="O28" s="157">
        <v>0.5</v>
      </c>
      <c r="P28" s="139">
        <f>+M28/O28</f>
        <v>469.25</v>
      </c>
      <c r="Q28" s="140">
        <f>+P28/160</f>
        <v>2.9328124999999998</v>
      </c>
      <c r="R28" s="154">
        <f>+N28*M28*O28</f>
        <v>1877</v>
      </c>
      <c r="T28" s="158" t="str">
        <f t="shared" si="0"/>
        <v>Roofer and gutters</v>
      </c>
      <c r="U28" s="57">
        <f t="shared" si="2"/>
        <v>469.25</v>
      </c>
      <c r="V28" s="72">
        <f t="shared" si="3"/>
        <v>2.9328124999999998</v>
      </c>
      <c r="X28">
        <f t="shared" si="4"/>
        <v>0.24440104166666665</v>
      </c>
    </row>
    <row r="29" spans="2:24" x14ac:dyDescent="0.25">
      <c r="B29" s="48" t="s">
        <v>352</v>
      </c>
      <c r="C29" s="99"/>
      <c r="D29" s="48"/>
      <c r="E29" s="48"/>
      <c r="F29" s="66"/>
      <c r="H29" s="132" t="s">
        <v>444</v>
      </c>
      <c r="I29" s="116">
        <f>+I28</f>
        <v>9385</v>
      </c>
      <c r="J29" s="133" t="s">
        <v>163</v>
      </c>
      <c r="K29" s="133"/>
      <c r="L29" s="146">
        <f>+L28</f>
        <v>2.5000000000000001E-2</v>
      </c>
      <c r="M29" s="136">
        <f>+L29*I29</f>
        <v>234.625</v>
      </c>
      <c r="N29" s="137">
        <v>10</v>
      </c>
      <c r="O29" s="157">
        <v>1</v>
      </c>
      <c r="P29" s="139">
        <f>+M29/O29</f>
        <v>234.625</v>
      </c>
      <c r="Q29" s="140">
        <f>+P29/160</f>
        <v>1.4664062499999999</v>
      </c>
      <c r="R29" s="154">
        <f>+N29*M29*O29</f>
        <v>2346.25</v>
      </c>
      <c r="T29" s="158" t="str">
        <f t="shared" si="0"/>
        <v>Helper roffer and gutters</v>
      </c>
      <c r="U29" s="57">
        <f t="shared" si="2"/>
        <v>234.625</v>
      </c>
      <c r="V29" s="72">
        <f t="shared" si="3"/>
        <v>1.4664062499999999</v>
      </c>
      <c r="X29">
        <f t="shared" si="4"/>
        <v>0.12220052083333333</v>
      </c>
    </row>
    <row r="30" spans="2:24" x14ac:dyDescent="0.25">
      <c r="B30" s="49" t="s">
        <v>353</v>
      </c>
      <c r="C30" s="96">
        <f>+('HOUSE EST MODEL 1'!C30*9)+('HOUSE EST MODEL 2'!C30*19)+('HOUSE EST MODEL 3'!C30*29)</f>
        <v>6725</v>
      </c>
      <c r="D30" s="87" t="s">
        <v>163</v>
      </c>
      <c r="E30" s="11">
        <v>23.4375</v>
      </c>
      <c r="F30" s="108">
        <f t="shared" si="9"/>
        <v>157617.1875</v>
      </c>
      <c r="H30" s="123" t="s">
        <v>347</v>
      </c>
      <c r="I30" s="123"/>
      <c r="J30" s="123"/>
      <c r="K30" s="123"/>
      <c r="L30" s="123"/>
      <c r="M30" s="123"/>
      <c r="N30" s="123"/>
      <c r="O30" s="123"/>
      <c r="P30" s="123"/>
      <c r="Q30" s="123"/>
      <c r="R30" s="124"/>
      <c r="T30" s="90" t="str">
        <f t="shared" si="0"/>
        <v xml:space="preserve">MEP's </v>
      </c>
      <c r="U30" s="57">
        <f t="shared" si="2"/>
        <v>0</v>
      </c>
      <c r="V30" s="72">
        <f t="shared" si="3"/>
        <v>0</v>
      </c>
      <c r="X30">
        <f t="shared" si="4"/>
        <v>0</v>
      </c>
    </row>
    <row r="31" spans="2:24" x14ac:dyDescent="0.25">
      <c r="B31" s="48" t="s">
        <v>258</v>
      </c>
      <c r="C31" s="99"/>
      <c r="D31" s="48"/>
      <c r="E31" s="48"/>
      <c r="F31" s="66"/>
      <c r="H31" s="125" t="s">
        <v>348</v>
      </c>
      <c r="I31" s="125"/>
      <c r="J31" s="125"/>
      <c r="K31" s="125"/>
      <c r="L31" s="125"/>
      <c r="M31" s="125"/>
      <c r="N31" s="125"/>
      <c r="O31" s="125"/>
      <c r="P31" s="125"/>
      <c r="Q31" s="125"/>
      <c r="R31" s="126">
        <f>+R32+R33</f>
        <v>15366.400000000001</v>
      </c>
      <c r="T31" s="89" t="str">
        <f t="shared" si="0"/>
        <v>Plumbing Roughs</v>
      </c>
      <c r="U31" s="57">
        <f t="shared" si="2"/>
        <v>0</v>
      </c>
      <c r="V31" s="72">
        <f t="shared" si="3"/>
        <v>0</v>
      </c>
      <c r="X31">
        <f t="shared" si="4"/>
        <v>0</v>
      </c>
    </row>
    <row r="32" spans="2:24" x14ac:dyDescent="0.25">
      <c r="B32" s="49" t="s">
        <v>354</v>
      </c>
      <c r="C32" s="96">
        <f>+('HOUSE EST MODEL 1'!C32*9)+('HOUSE EST MODEL 2'!C32*19)+('HOUSE EST MODEL 3'!C32*29)</f>
        <v>57</v>
      </c>
      <c r="D32" s="87" t="s">
        <v>324</v>
      </c>
      <c r="E32" s="11">
        <v>6000</v>
      </c>
      <c r="F32" s="108">
        <f t="shared" si="9"/>
        <v>342000</v>
      </c>
      <c r="H32" s="132" t="s">
        <v>428</v>
      </c>
      <c r="I32" s="136">
        <f>+'HOUSE YEAR TOTAL 57'!$C$26+'HOUSE YEAR TOTAL 57'!$C$27</f>
        <v>6860</v>
      </c>
      <c r="J32" s="133" t="s">
        <v>163</v>
      </c>
      <c r="K32" s="133"/>
      <c r="L32" s="133">
        <v>0.14000000000000001</v>
      </c>
      <c r="M32" s="136">
        <f>+L32*I32</f>
        <v>960.40000000000009</v>
      </c>
      <c r="N32" s="137">
        <v>16</v>
      </c>
      <c r="O32" s="157">
        <v>0.5</v>
      </c>
      <c r="P32" s="139">
        <f>+M32/O32</f>
        <v>1920.8000000000002</v>
      </c>
      <c r="Q32" s="140">
        <f>+P32/160</f>
        <v>12.005000000000001</v>
      </c>
      <c r="R32" s="154">
        <f>+N32*M32*O32</f>
        <v>7683.2000000000007</v>
      </c>
      <c r="T32" s="158" t="str">
        <f t="shared" si="0"/>
        <v>Plumber</v>
      </c>
      <c r="U32" s="57">
        <f t="shared" si="2"/>
        <v>1920.8000000000002</v>
      </c>
      <c r="V32" s="72">
        <f t="shared" si="3"/>
        <v>12.005000000000001</v>
      </c>
      <c r="X32">
        <f t="shared" si="4"/>
        <v>1.0004166666666667</v>
      </c>
    </row>
    <row r="33" spans="2:24" x14ac:dyDescent="0.25">
      <c r="B33" s="47" t="s">
        <v>263</v>
      </c>
      <c r="C33" s="98"/>
      <c r="D33" s="47"/>
      <c r="E33" s="47"/>
      <c r="F33" s="65"/>
      <c r="H33" s="132" t="s">
        <v>428</v>
      </c>
      <c r="I33" s="136">
        <f>+I32</f>
        <v>6860</v>
      </c>
      <c r="J33" s="133" t="s">
        <v>163</v>
      </c>
      <c r="K33" s="133"/>
      <c r="L33" s="133">
        <f>+L32</f>
        <v>0.14000000000000001</v>
      </c>
      <c r="M33" s="136">
        <f>+L33*I33</f>
        <v>960.40000000000009</v>
      </c>
      <c r="N33" s="137">
        <v>16</v>
      </c>
      <c r="O33" s="157">
        <v>0.5</v>
      </c>
      <c r="P33" s="139">
        <f>+M33/O33</f>
        <v>1920.8000000000002</v>
      </c>
      <c r="Q33" s="140">
        <f>+P33/160</f>
        <v>12.005000000000001</v>
      </c>
      <c r="R33" s="154">
        <f>+N33*M33*O33</f>
        <v>7683.2000000000007</v>
      </c>
      <c r="T33" s="158" t="str">
        <f t="shared" si="0"/>
        <v>Plumber</v>
      </c>
      <c r="U33" s="57">
        <f t="shared" si="2"/>
        <v>1920.8000000000002</v>
      </c>
      <c r="V33" s="72">
        <f t="shared" si="3"/>
        <v>12.005000000000001</v>
      </c>
      <c r="X33">
        <f t="shared" si="4"/>
        <v>1.0004166666666667</v>
      </c>
    </row>
    <row r="34" spans="2:24" x14ac:dyDescent="0.25">
      <c r="B34" s="48" t="s">
        <v>264</v>
      </c>
      <c r="C34" s="99"/>
      <c r="D34" s="48"/>
      <c r="E34" s="48"/>
      <c r="F34" s="66"/>
      <c r="H34" s="125" t="s">
        <v>352</v>
      </c>
      <c r="I34" s="125"/>
      <c r="J34" s="125"/>
      <c r="K34" s="125"/>
      <c r="L34" s="125"/>
      <c r="M34" s="125"/>
      <c r="N34" s="125"/>
      <c r="O34" s="125"/>
      <c r="P34" s="125"/>
      <c r="Q34" s="125"/>
      <c r="R34" s="126">
        <f>+R35+R36</f>
        <v>147950</v>
      </c>
      <c r="T34" s="89" t="str">
        <f t="shared" si="0"/>
        <v>Electrical Roughs</v>
      </c>
      <c r="U34" s="57">
        <f t="shared" si="2"/>
        <v>0</v>
      </c>
      <c r="V34" s="72">
        <f t="shared" si="3"/>
        <v>0</v>
      </c>
      <c r="X34">
        <f t="shared" si="4"/>
        <v>0</v>
      </c>
    </row>
    <row r="35" spans="2:24" x14ac:dyDescent="0.25">
      <c r="B35" s="49" t="s">
        <v>355</v>
      </c>
      <c r="C35" s="96">
        <f>+('HOUSE EST MODEL 1'!C35*9)+('HOUSE EST MODEL 2'!C35*19)+('HOUSE EST MODEL 3'!C35*29)</f>
        <v>60525</v>
      </c>
      <c r="D35" s="87" t="s">
        <v>40</v>
      </c>
      <c r="E35" s="11">
        <v>2.5</v>
      </c>
      <c r="F35" s="108">
        <f t="shared" ref="F35:F60" si="10">+C35*E35</f>
        <v>151312.5</v>
      </c>
      <c r="H35" s="147" t="s">
        <v>429</v>
      </c>
      <c r="I35" s="116">
        <f>+'HOUSE YEAR TOTAL 57'!$C$30</f>
        <v>6725</v>
      </c>
      <c r="J35" s="133" t="s">
        <v>163</v>
      </c>
      <c r="K35" s="133"/>
      <c r="L35" s="133">
        <v>0.5</v>
      </c>
      <c r="M35" s="136">
        <f>+L35*I35</f>
        <v>3362.5</v>
      </c>
      <c r="N35" s="137">
        <v>16</v>
      </c>
      <c r="O35" s="157">
        <v>1.5</v>
      </c>
      <c r="P35" s="139">
        <f>+M35/O35</f>
        <v>2241.6666666666665</v>
      </c>
      <c r="Q35" s="140">
        <f>+P35/160</f>
        <v>14.010416666666666</v>
      </c>
      <c r="R35" s="154">
        <f>+N35*M35*O35</f>
        <v>80700</v>
      </c>
      <c r="T35" s="158" t="str">
        <f t="shared" si="0"/>
        <v>Electrician</v>
      </c>
      <c r="U35" s="57">
        <f t="shared" si="2"/>
        <v>2241.6666666666665</v>
      </c>
      <c r="V35" s="72">
        <f t="shared" si="3"/>
        <v>14.010416666666666</v>
      </c>
      <c r="X35">
        <f t="shared" si="4"/>
        <v>1.1675347222222221</v>
      </c>
    </row>
    <row r="36" spans="2:24" x14ac:dyDescent="0.25">
      <c r="B36" s="49" t="s">
        <v>356</v>
      </c>
      <c r="C36" s="96">
        <f>+('HOUSE EST MODEL 1'!C36*9)+('HOUSE EST MODEL 2'!C36*19)+('HOUSE EST MODEL 3'!C36*29)</f>
        <v>30525</v>
      </c>
      <c r="D36" s="87" t="s">
        <v>40</v>
      </c>
      <c r="E36" s="11">
        <v>2.5</v>
      </c>
      <c r="F36" s="108">
        <f t="shared" si="10"/>
        <v>76312.5</v>
      </c>
      <c r="H36" s="147" t="s">
        <v>449</v>
      </c>
      <c r="I36" s="116">
        <f>+I35</f>
        <v>6725</v>
      </c>
      <c r="J36" s="133" t="s">
        <v>163</v>
      </c>
      <c r="K36" s="133"/>
      <c r="L36" s="133">
        <f>+L35</f>
        <v>0.5</v>
      </c>
      <c r="M36" s="136">
        <f>+L36*I36</f>
        <v>3362.5</v>
      </c>
      <c r="N36" s="137">
        <v>10</v>
      </c>
      <c r="O36" s="157">
        <v>2</v>
      </c>
      <c r="P36" s="139">
        <f>+M36/O36</f>
        <v>1681.25</v>
      </c>
      <c r="Q36" s="140">
        <f>+P36/160</f>
        <v>10.5078125</v>
      </c>
      <c r="R36" s="154">
        <f>+N36*M36*O36</f>
        <v>67250</v>
      </c>
      <c r="T36" s="158" t="str">
        <f t="shared" si="0"/>
        <v>Helper electrician</v>
      </c>
      <c r="U36" s="57">
        <f t="shared" si="2"/>
        <v>1681.25</v>
      </c>
      <c r="V36" s="72">
        <f t="shared" si="3"/>
        <v>10.5078125</v>
      </c>
      <c r="X36">
        <f t="shared" si="4"/>
        <v>0.87565104166666663</v>
      </c>
    </row>
    <row r="37" spans="2:24" x14ac:dyDescent="0.25">
      <c r="B37" s="48" t="s">
        <v>266</v>
      </c>
      <c r="C37" s="99"/>
      <c r="D37" s="48"/>
      <c r="E37" s="48"/>
      <c r="F37" s="66"/>
      <c r="H37" s="125" t="s">
        <v>258</v>
      </c>
      <c r="I37" s="125"/>
      <c r="J37" s="125"/>
      <c r="K37" s="125"/>
      <c r="L37" s="125"/>
      <c r="M37" s="125"/>
      <c r="N37" s="125"/>
      <c r="O37" s="125"/>
      <c r="P37" s="125"/>
      <c r="Q37" s="125"/>
      <c r="R37" s="126">
        <f>+R38+R39</f>
        <v>82080</v>
      </c>
      <c r="T37" s="89" t="str">
        <f t="shared" ref="T37:T68" si="11">+H37</f>
        <v>HVAC</v>
      </c>
      <c r="U37" s="57">
        <f t="shared" si="2"/>
        <v>0</v>
      </c>
      <c r="V37" s="72">
        <f t="shared" si="3"/>
        <v>0</v>
      </c>
      <c r="X37">
        <f t="shared" si="4"/>
        <v>0</v>
      </c>
    </row>
    <row r="38" spans="2:24" x14ac:dyDescent="0.25">
      <c r="B38" s="49" t="s">
        <v>357</v>
      </c>
      <c r="C38" s="96">
        <f>+('HOUSE EST MODEL 1'!C38*9)+('HOUSE EST MODEL 2'!C38*19)+('HOUSE EST MODEL 3'!C38*29)</f>
        <v>81045</v>
      </c>
      <c r="D38" s="87" t="s">
        <v>40</v>
      </c>
      <c r="E38" s="11">
        <v>2.21</v>
      </c>
      <c r="F38" s="108">
        <f t="shared" si="10"/>
        <v>179109.45</v>
      </c>
      <c r="H38" s="132" t="s">
        <v>450</v>
      </c>
      <c r="I38" s="116">
        <f>+'HOUSE YEAR TOTAL 57'!$C$32</f>
        <v>57</v>
      </c>
      <c r="J38" s="133" t="s">
        <v>324</v>
      </c>
      <c r="K38" s="133"/>
      <c r="L38" s="133">
        <v>24</v>
      </c>
      <c r="M38" s="136">
        <f>+L38*I38</f>
        <v>1368</v>
      </c>
      <c r="N38" s="137">
        <v>30</v>
      </c>
      <c r="O38" s="157">
        <v>1</v>
      </c>
      <c r="P38" s="139">
        <f>+M38/O38</f>
        <v>1368</v>
      </c>
      <c r="Q38" s="140">
        <f>+P38/160</f>
        <v>8.5500000000000007</v>
      </c>
      <c r="R38" s="154">
        <f>+N38*M38*O38</f>
        <v>41040</v>
      </c>
      <c r="T38" s="158" t="str">
        <f t="shared" si="11"/>
        <v>HVAC professional</v>
      </c>
      <c r="U38" s="57">
        <f t="shared" si="2"/>
        <v>1368</v>
      </c>
      <c r="V38" s="72">
        <f t="shared" si="3"/>
        <v>8.5500000000000007</v>
      </c>
      <c r="X38">
        <f t="shared" si="4"/>
        <v>0.71250000000000002</v>
      </c>
    </row>
    <row r="39" spans="2:24" x14ac:dyDescent="0.25">
      <c r="B39" s="48" t="s">
        <v>359</v>
      </c>
      <c r="C39" s="99"/>
      <c r="D39" s="48"/>
      <c r="E39" s="48"/>
      <c r="F39" s="66"/>
      <c r="H39" s="132" t="s">
        <v>450</v>
      </c>
      <c r="I39" s="116">
        <f>+I38</f>
        <v>57</v>
      </c>
      <c r="J39" s="133" t="s">
        <v>324</v>
      </c>
      <c r="K39" s="133"/>
      <c r="L39" s="133">
        <f>+L38</f>
        <v>24</v>
      </c>
      <c r="M39" s="136">
        <f>+L39*I39</f>
        <v>1368</v>
      </c>
      <c r="N39" s="137">
        <v>30</v>
      </c>
      <c r="O39" s="157">
        <v>1</v>
      </c>
      <c r="P39" s="139">
        <f>+M39/O39</f>
        <v>1368</v>
      </c>
      <c r="Q39" s="140">
        <f>+P39/160</f>
        <v>8.5500000000000007</v>
      </c>
      <c r="R39" s="154">
        <f>+N39*M39*O39</f>
        <v>41040</v>
      </c>
      <c r="T39" s="158" t="str">
        <f t="shared" si="11"/>
        <v>HVAC professional</v>
      </c>
      <c r="U39" s="57">
        <f t="shared" si="2"/>
        <v>1368</v>
      </c>
      <c r="V39" s="72">
        <f t="shared" si="3"/>
        <v>8.5500000000000007</v>
      </c>
      <c r="X39">
        <f t="shared" si="4"/>
        <v>0.71250000000000002</v>
      </c>
    </row>
    <row r="40" spans="2:24" x14ac:dyDescent="0.25">
      <c r="B40" s="49" t="s">
        <v>360</v>
      </c>
      <c r="C40" s="96">
        <f>+('HOUSE EST MODEL 1'!C40*9)+('HOUSE EST MODEL 2'!C40*19)+('HOUSE EST MODEL 3'!C40*29)</f>
        <v>305</v>
      </c>
      <c r="D40" s="87" t="s">
        <v>324</v>
      </c>
      <c r="E40" s="11">
        <f>+SPECS!I37</f>
        <v>141.48000000000002</v>
      </c>
      <c r="F40" s="108">
        <f t="shared" si="10"/>
        <v>43151.400000000009</v>
      </c>
      <c r="H40" s="123" t="s">
        <v>263</v>
      </c>
      <c r="I40" s="123"/>
      <c r="J40" s="123"/>
      <c r="K40" s="123"/>
      <c r="L40" s="123"/>
      <c r="M40" s="123"/>
      <c r="N40" s="123"/>
      <c r="O40" s="123"/>
      <c r="P40" s="123"/>
      <c r="Q40" s="123"/>
      <c r="R40" s="124"/>
      <c r="T40" s="90" t="str">
        <f t="shared" si="11"/>
        <v>Finishes</v>
      </c>
      <c r="U40" s="57">
        <f t="shared" si="2"/>
        <v>0</v>
      </c>
      <c r="V40" s="72">
        <f t="shared" si="3"/>
        <v>0</v>
      </c>
      <c r="X40">
        <f t="shared" si="4"/>
        <v>0</v>
      </c>
    </row>
    <row r="41" spans="2:24" x14ac:dyDescent="0.25">
      <c r="B41" s="49" t="s">
        <v>361</v>
      </c>
      <c r="C41" s="96">
        <f>+('HOUSE EST MODEL 1'!C41*9)+('HOUSE EST MODEL 2'!C41*19)+('HOUSE EST MODEL 3'!C41*29)</f>
        <v>57</v>
      </c>
      <c r="D41" s="87" t="s">
        <v>324</v>
      </c>
      <c r="E41" s="11">
        <f>+SPECS!I38</f>
        <v>109.47960000000002</v>
      </c>
      <c r="F41" s="108">
        <f t="shared" si="10"/>
        <v>6240.3372000000008</v>
      </c>
      <c r="H41" s="125" t="s">
        <v>264</v>
      </c>
      <c r="I41" s="125"/>
      <c r="J41" s="125"/>
      <c r="K41" s="125"/>
      <c r="L41" s="125"/>
      <c r="M41" s="125"/>
      <c r="N41" s="125"/>
      <c r="O41" s="125"/>
      <c r="P41" s="125"/>
      <c r="Q41" s="125"/>
      <c r="R41" s="126">
        <f>+R42+R43</f>
        <v>35509.5</v>
      </c>
      <c r="T41" s="89" t="str">
        <f t="shared" si="11"/>
        <v>Insulation</v>
      </c>
      <c r="U41" s="57">
        <f t="shared" si="2"/>
        <v>0</v>
      </c>
      <c r="V41" s="72">
        <f t="shared" si="3"/>
        <v>0</v>
      </c>
      <c r="X41">
        <f t="shared" si="4"/>
        <v>0</v>
      </c>
    </row>
    <row r="42" spans="2:24" x14ac:dyDescent="0.25">
      <c r="B42" s="49" t="s">
        <v>362</v>
      </c>
      <c r="C42" s="96">
        <f>+('HOUSE EST MODEL 1'!C42*9)+('HOUSE EST MODEL 2'!C42*19)+('HOUSE EST MODEL 3'!C42*29)</f>
        <v>9005</v>
      </c>
      <c r="D42" s="87" t="s">
        <v>163</v>
      </c>
      <c r="E42" s="11">
        <f>+SPECS!I50</f>
        <v>2</v>
      </c>
      <c r="F42" s="108">
        <f t="shared" si="10"/>
        <v>18010</v>
      </c>
      <c r="H42" s="132" t="s">
        <v>451</v>
      </c>
      <c r="I42" s="136">
        <f>+'HOUSE YEAR TOTAL 57'!$C$35+'HOUSE YEAR TOTAL 57'!$C$36</f>
        <v>91050</v>
      </c>
      <c r="J42" s="133" t="s">
        <v>40</v>
      </c>
      <c r="K42" s="133">
        <v>1.5</v>
      </c>
      <c r="L42" s="133">
        <f>+K42/100</f>
        <v>1.4999999999999999E-2</v>
      </c>
      <c r="M42" s="136">
        <f>+L42*I42</f>
        <v>1365.75</v>
      </c>
      <c r="N42" s="137">
        <v>16</v>
      </c>
      <c r="O42" s="157">
        <v>1</v>
      </c>
      <c r="P42" s="139">
        <f>+M42/O42</f>
        <v>1365.75</v>
      </c>
      <c r="Q42" s="140">
        <f>+P42/160</f>
        <v>8.5359374999999993</v>
      </c>
      <c r="R42" s="154">
        <f>+N42*M42*O42</f>
        <v>21852</v>
      </c>
      <c r="T42" s="158" t="str">
        <f t="shared" si="11"/>
        <v>Laborer Insulation</v>
      </c>
      <c r="U42" s="57">
        <f t="shared" si="2"/>
        <v>1365.75</v>
      </c>
      <c r="V42" s="72">
        <f t="shared" si="3"/>
        <v>8.5359374999999993</v>
      </c>
      <c r="X42">
        <f t="shared" si="4"/>
        <v>0.71132812499999998</v>
      </c>
    </row>
    <row r="43" spans="2:24" x14ac:dyDescent="0.25">
      <c r="B43" s="49" t="s">
        <v>363</v>
      </c>
      <c r="C43" s="96">
        <f>+('HOUSE EST MODEL 1'!C43*9)+('HOUSE EST MODEL 2'!C43*19)+('HOUSE EST MODEL 3'!C43*29)</f>
        <v>8842</v>
      </c>
      <c r="D43" s="87" t="s">
        <v>163</v>
      </c>
      <c r="E43" s="11">
        <f>+E42</f>
        <v>2</v>
      </c>
      <c r="F43" s="108">
        <f t="shared" si="10"/>
        <v>17684</v>
      </c>
      <c r="H43" s="132" t="s">
        <v>452</v>
      </c>
      <c r="I43" s="136">
        <f>+I42</f>
        <v>91050</v>
      </c>
      <c r="J43" s="133" t="s">
        <v>40</v>
      </c>
      <c r="K43" s="133">
        <f>+K42</f>
        <v>1.5</v>
      </c>
      <c r="L43" s="133">
        <f>+L42</f>
        <v>1.4999999999999999E-2</v>
      </c>
      <c r="M43" s="136">
        <f>+L43*I43</f>
        <v>1365.75</v>
      </c>
      <c r="N43" s="137">
        <v>10</v>
      </c>
      <c r="O43" s="157">
        <v>1</v>
      </c>
      <c r="P43" s="139">
        <f>+M43/O43</f>
        <v>1365.75</v>
      </c>
      <c r="Q43" s="140">
        <f>+P43/160</f>
        <v>8.5359374999999993</v>
      </c>
      <c r="R43" s="154">
        <f>+N43*M43*O43</f>
        <v>13657.5</v>
      </c>
      <c r="T43" s="158" t="str">
        <f t="shared" si="11"/>
        <v>Helper Insulation</v>
      </c>
      <c r="U43" s="57">
        <f t="shared" si="2"/>
        <v>1365.75</v>
      </c>
      <c r="V43" s="72">
        <f t="shared" si="3"/>
        <v>8.5359374999999993</v>
      </c>
      <c r="X43">
        <f t="shared" si="4"/>
        <v>0.71132812499999998</v>
      </c>
    </row>
    <row r="44" spans="2:24" x14ac:dyDescent="0.25">
      <c r="B44" s="48" t="s">
        <v>364</v>
      </c>
      <c r="C44" s="99"/>
      <c r="D44" s="48"/>
      <c r="E44" s="48"/>
      <c r="F44" s="66"/>
      <c r="H44" s="125" t="s">
        <v>266</v>
      </c>
      <c r="I44" s="125"/>
      <c r="J44" s="125"/>
      <c r="K44" s="125"/>
      <c r="L44" s="125"/>
      <c r="M44" s="125"/>
      <c r="N44" s="125"/>
      <c r="O44" s="125"/>
      <c r="P44" s="125"/>
      <c r="Q44" s="125"/>
      <c r="R44" s="126">
        <f>+R45+R46</f>
        <v>155930.58000000002</v>
      </c>
      <c r="T44" s="89" t="str">
        <f t="shared" si="11"/>
        <v>Drywall</v>
      </c>
      <c r="U44" s="57">
        <f t="shared" si="2"/>
        <v>0</v>
      </c>
      <c r="V44" s="72">
        <f t="shared" si="3"/>
        <v>0</v>
      </c>
      <c r="X44">
        <f t="shared" si="4"/>
        <v>0</v>
      </c>
    </row>
    <row r="45" spans="2:24" x14ac:dyDescent="0.25">
      <c r="B45" s="49" t="s">
        <v>365</v>
      </c>
      <c r="C45" s="96">
        <f>+('HOUSE EST MODEL 1'!C45*9)+('HOUSE EST MODEL 2'!C45*19)+('HOUSE EST MODEL 3'!C45*29)</f>
        <v>81045</v>
      </c>
      <c r="D45" s="87" t="s">
        <v>40</v>
      </c>
      <c r="E45" s="11">
        <v>2</v>
      </c>
      <c r="F45" s="108">
        <f t="shared" si="10"/>
        <v>162090</v>
      </c>
      <c r="H45" s="132" t="s">
        <v>453</v>
      </c>
      <c r="I45" s="116">
        <f>+'HOUSE YEAR TOTAL 57'!$C$38</f>
        <v>81045</v>
      </c>
      <c r="J45" s="133" t="s">
        <v>40</v>
      </c>
      <c r="K45" s="133">
        <v>3.7</v>
      </c>
      <c r="L45" s="133">
        <f>+K45/100</f>
        <v>3.7000000000000005E-2</v>
      </c>
      <c r="M45" s="136">
        <f>+L45*I45</f>
        <v>2998.6650000000004</v>
      </c>
      <c r="N45" s="137">
        <v>16</v>
      </c>
      <c r="O45" s="157">
        <v>2</v>
      </c>
      <c r="P45" s="139">
        <f>+M45/O45</f>
        <v>1499.3325000000002</v>
      </c>
      <c r="Q45" s="140">
        <f>+P45/160</f>
        <v>9.370828125000001</v>
      </c>
      <c r="R45" s="154">
        <f>+N45*M45*O45</f>
        <v>95957.280000000013</v>
      </c>
      <c r="T45" s="158" t="str">
        <f t="shared" si="11"/>
        <v>Laborer Drywall</v>
      </c>
      <c r="U45" s="57">
        <f t="shared" si="2"/>
        <v>1499.3325000000002</v>
      </c>
      <c r="V45" s="72">
        <f t="shared" si="3"/>
        <v>9.370828125000001</v>
      </c>
      <c r="X45">
        <f t="shared" si="4"/>
        <v>0.78090234375000012</v>
      </c>
    </row>
    <row r="46" spans="2:24" x14ac:dyDescent="0.25">
      <c r="B46" s="49" t="s">
        <v>276</v>
      </c>
      <c r="C46" s="96">
        <f>+('HOUSE EST MODEL 1'!C46*9)+('HOUSE EST MODEL 2'!C46*19)+('HOUSE EST MODEL 3'!C46*29)</f>
        <v>67250</v>
      </c>
      <c r="D46" s="87" t="s">
        <v>40</v>
      </c>
      <c r="E46" s="11">
        <v>3</v>
      </c>
      <c r="F46" s="108">
        <f t="shared" si="10"/>
        <v>201750</v>
      </c>
      <c r="H46" s="132" t="s">
        <v>454</v>
      </c>
      <c r="I46" s="133">
        <f>+I45</f>
        <v>81045</v>
      </c>
      <c r="J46" s="133" t="s">
        <v>40</v>
      </c>
      <c r="K46" s="133">
        <f>+K45</f>
        <v>3.7</v>
      </c>
      <c r="L46" s="133">
        <f>+L45</f>
        <v>3.7000000000000005E-2</v>
      </c>
      <c r="M46" s="136">
        <f>+L46*I46</f>
        <v>2998.6650000000004</v>
      </c>
      <c r="N46" s="137">
        <v>10</v>
      </c>
      <c r="O46" s="157">
        <v>2</v>
      </c>
      <c r="P46" s="139">
        <f>+M46/O46</f>
        <v>1499.3325000000002</v>
      </c>
      <c r="Q46" s="140">
        <f>+P46/160</f>
        <v>9.370828125000001</v>
      </c>
      <c r="R46" s="154">
        <f>+N46*M46*O46</f>
        <v>59973.30000000001</v>
      </c>
      <c r="T46" s="158" t="str">
        <f t="shared" si="11"/>
        <v>Helper Drywall</v>
      </c>
      <c r="U46" s="57">
        <f t="shared" si="2"/>
        <v>1499.3325000000002</v>
      </c>
      <c r="V46" s="72">
        <f t="shared" si="3"/>
        <v>9.370828125000001</v>
      </c>
      <c r="X46">
        <f t="shared" si="4"/>
        <v>0.78090234375000012</v>
      </c>
    </row>
    <row r="47" spans="2:24" x14ac:dyDescent="0.25">
      <c r="B47" s="48" t="s">
        <v>279</v>
      </c>
      <c r="C47" s="99"/>
      <c r="D47" s="48"/>
      <c r="E47" s="48"/>
      <c r="F47" s="66"/>
      <c r="H47" s="125" t="s">
        <v>359</v>
      </c>
      <c r="I47" s="125"/>
      <c r="J47" s="125"/>
      <c r="K47" s="125"/>
      <c r="L47" s="125"/>
      <c r="M47" s="125"/>
      <c r="N47" s="125"/>
      <c r="O47" s="125"/>
      <c r="P47" s="125"/>
      <c r="Q47" s="125"/>
      <c r="R47" s="126">
        <f>+R48+R49</f>
        <v>13176.8</v>
      </c>
      <c r="T47" s="89" t="str">
        <f t="shared" si="11"/>
        <v>Interior Doors and Trim</v>
      </c>
      <c r="U47" s="57">
        <f t="shared" si="2"/>
        <v>0</v>
      </c>
      <c r="V47" s="72">
        <f t="shared" si="3"/>
        <v>0</v>
      </c>
      <c r="X47">
        <f t="shared" si="4"/>
        <v>0</v>
      </c>
    </row>
    <row r="48" spans="2:24" x14ac:dyDescent="0.25">
      <c r="B48" s="49" t="s">
        <v>366</v>
      </c>
      <c r="C48" s="96">
        <f>+('HOUSE EST MODEL 1'!C48*9)+('HOUSE EST MODEL 2'!C48*19)+('HOUSE EST MODEL 3'!C48*29)</f>
        <v>12495</v>
      </c>
      <c r="D48" s="87" t="s">
        <v>40</v>
      </c>
      <c r="E48" s="11">
        <f>+SPECS!I16</f>
        <v>3.0132000000000003</v>
      </c>
      <c r="F48" s="108">
        <f t="shared" si="10"/>
        <v>37649.934000000001</v>
      </c>
      <c r="H48" s="132" t="s">
        <v>455</v>
      </c>
      <c r="I48" s="116">
        <f>+'HOUSE YEAR TOTAL 57'!$C$40+'HOUSE YEAR TOTAL 57'!$C$41</f>
        <v>362</v>
      </c>
      <c r="J48" s="133" t="s">
        <v>324</v>
      </c>
      <c r="K48" s="133">
        <v>3.7</v>
      </c>
      <c r="L48" s="133">
        <v>2.8</v>
      </c>
      <c r="M48" s="136">
        <f>+L48*I48</f>
        <v>1013.5999999999999</v>
      </c>
      <c r="N48" s="137">
        <v>16</v>
      </c>
      <c r="O48" s="157">
        <v>0.5</v>
      </c>
      <c r="P48" s="139">
        <f>+M48/O48</f>
        <v>2027.1999999999998</v>
      </c>
      <c r="Q48" s="140">
        <f>+P48/160</f>
        <v>12.669999999999998</v>
      </c>
      <c r="R48" s="154">
        <f>+N48*M48*O48</f>
        <v>8108.7999999999993</v>
      </c>
      <c r="T48" s="158" t="str">
        <f t="shared" si="11"/>
        <v>Laborer Door and trim</v>
      </c>
      <c r="U48" s="57">
        <f t="shared" si="2"/>
        <v>2027.1999999999998</v>
      </c>
      <c r="V48" s="72">
        <f t="shared" si="3"/>
        <v>12.669999999999998</v>
      </c>
      <c r="X48">
        <f t="shared" si="4"/>
        <v>1.0558333333333332</v>
      </c>
    </row>
    <row r="49" spans="2:24" x14ac:dyDescent="0.25">
      <c r="B49" s="49" t="s">
        <v>367</v>
      </c>
      <c r="C49" s="96">
        <f>+('HOUSE EST MODEL 1'!C49*9)+('HOUSE EST MODEL 2'!C49*19)+('HOUSE EST MODEL 3'!C49*29)</f>
        <v>16195</v>
      </c>
      <c r="D49" s="87" t="s">
        <v>40</v>
      </c>
      <c r="E49" s="11">
        <f>+SPECS!I17</f>
        <v>4.4820000000000011</v>
      </c>
      <c r="F49" s="108">
        <f t="shared" si="10"/>
        <v>72585.99000000002</v>
      </c>
      <c r="H49" s="132" t="s">
        <v>455</v>
      </c>
      <c r="I49" s="133">
        <f>+I48</f>
        <v>362</v>
      </c>
      <c r="J49" s="133" t="s">
        <v>324</v>
      </c>
      <c r="K49" s="133">
        <f>+K48</f>
        <v>3.7</v>
      </c>
      <c r="L49" s="133">
        <f>+L48</f>
        <v>2.8</v>
      </c>
      <c r="M49" s="136">
        <f>+L49*I49</f>
        <v>1013.5999999999999</v>
      </c>
      <c r="N49" s="137">
        <v>10</v>
      </c>
      <c r="O49" s="157">
        <v>0.5</v>
      </c>
      <c r="P49" s="139">
        <f>+M49/O49</f>
        <v>2027.1999999999998</v>
      </c>
      <c r="Q49" s="140">
        <f>+P49/160</f>
        <v>12.669999999999998</v>
      </c>
      <c r="R49" s="154">
        <f>+N49*M49*O49</f>
        <v>5068</v>
      </c>
      <c r="T49" s="158" t="str">
        <f t="shared" si="11"/>
        <v>Laborer Door and trim</v>
      </c>
      <c r="U49" s="57">
        <f t="shared" si="2"/>
        <v>2027.1999999999998</v>
      </c>
      <c r="V49" s="72">
        <f t="shared" si="3"/>
        <v>12.669999999999998</v>
      </c>
      <c r="X49">
        <f t="shared" si="4"/>
        <v>1.0558333333333332</v>
      </c>
    </row>
    <row r="50" spans="2:24" x14ac:dyDescent="0.25">
      <c r="B50" s="48" t="s">
        <v>282</v>
      </c>
      <c r="C50" s="99"/>
      <c r="D50" s="48"/>
      <c r="E50" s="48"/>
      <c r="F50" s="66"/>
      <c r="H50" s="125" t="s">
        <v>364</v>
      </c>
      <c r="I50" s="125"/>
      <c r="J50" s="125"/>
      <c r="K50" s="125"/>
      <c r="L50" s="125"/>
      <c r="M50" s="125"/>
      <c r="N50" s="125"/>
      <c r="O50" s="125"/>
      <c r="P50" s="125"/>
      <c r="Q50" s="125"/>
      <c r="R50" s="126">
        <f>+R51+R52</f>
        <v>90756.540000000008</v>
      </c>
      <c r="T50" s="89" t="str">
        <f t="shared" si="11"/>
        <v>Painting</v>
      </c>
      <c r="U50" s="57">
        <f t="shared" si="2"/>
        <v>0</v>
      </c>
      <c r="V50" s="72">
        <f t="shared" si="3"/>
        <v>0</v>
      </c>
      <c r="X50">
        <f t="shared" si="4"/>
        <v>0</v>
      </c>
    </row>
    <row r="51" spans="2:24" x14ac:dyDescent="0.25">
      <c r="B51" s="49" t="s">
        <v>368</v>
      </c>
      <c r="C51" s="96">
        <f>+('HOUSE EST MODEL 1'!C51*9)+('HOUSE EST MODEL 2'!C51*19)+('HOUSE EST MODEL 3'!C51*29)</f>
        <v>1835</v>
      </c>
      <c r="D51" s="87" t="s">
        <v>40</v>
      </c>
      <c r="E51" s="11">
        <f>+SPECS!I59</f>
        <v>4.6100000000000003</v>
      </c>
      <c r="F51" s="108">
        <f t="shared" si="10"/>
        <v>8459.35</v>
      </c>
      <c r="H51" s="132" t="s">
        <v>456</v>
      </c>
      <c r="I51" s="116">
        <f>+'HOUSE YEAR TOTAL 57'!$C$45+'HOUSE YEAR TOTAL 57'!$C$46</f>
        <v>148295</v>
      </c>
      <c r="J51" s="133" t="s">
        <v>40</v>
      </c>
      <c r="K51" s="133">
        <v>1.7</v>
      </c>
      <c r="L51" s="133">
        <f>+K51/100</f>
        <v>1.7000000000000001E-2</v>
      </c>
      <c r="M51" s="136">
        <f>+L51*I51</f>
        <v>2521.0150000000003</v>
      </c>
      <c r="N51" s="137">
        <v>16</v>
      </c>
      <c r="O51" s="157">
        <v>1</v>
      </c>
      <c r="P51" s="139">
        <f>+M51/O51</f>
        <v>2521.0150000000003</v>
      </c>
      <c r="Q51" s="140">
        <f>+P51/160</f>
        <v>15.756343750000003</v>
      </c>
      <c r="R51" s="154">
        <f>+N51*M51*O51</f>
        <v>40336.240000000005</v>
      </c>
      <c r="T51" s="158" t="str">
        <f t="shared" si="11"/>
        <v>Laborer Painting</v>
      </c>
      <c r="U51" s="57">
        <f t="shared" si="2"/>
        <v>2521.0150000000003</v>
      </c>
      <c r="V51" s="72">
        <f t="shared" si="3"/>
        <v>15.756343750000003</v>
      </c>
      <c r="X51">
        <f t="shared" si="4"/>
        <v>1.3130286458333336</v>
      </c>
    </row>
    <row r="52" spans="2:24" x14ac:dyDescent="0.25">
      <c r="B52" s="49" t="s">
        <v>369</v>
      </c>
      <c r="C52" s="96">
        <f>+('HOUSE EST MODEL 1'!C52*9)+('HOUSE EST MODEL 2'!C52*19)+('HOUSE EST MODEL 3'!C52*29)</f>
        <v>6579</v>
      </c>
      <c r="D52" s="87" t="s">
        <v>40</v>
      </c>
      <c r="E52" s="11">
        <f>+SPECS!I61</f>
        <v>4.7300000000000004</v>
      </c>
      <c r="F52" s="108">
        <f t="shared" si="10"/>
        <v>31118.670000000002</v>
      </c>
      <c r="H52" s="132" t="s">
        <v>457</v>
      </c>
      <c r="I52" s="133">
        <f>+I51</f>
        <v>148295</v>
      </c>
      <c r="J52" s="133" t="s">
        <v>40</v>
      </c>
      <c r="K52" s="133">
        <f>+K51</f>
        <v>1.7</v>
      </c>
      <c r="L52" s="133">
        <f>+L51</f>
        <v>1.7000000000000001E-2</v>
      </c>
      <c r="M52" s="136">
        <f>+L52*I52</f>
        <v>2521.0150000000003</v>
      </c>
      <c r="N52" s="137">
        <v>10</v>
      </c>
      <c r="O52" s="157">
        <v>2</v>
      </c>
      <c r="P52" s="139">
        <f>+M52/O52</f>
        <v>1260.5075000000002</v>
      </c>
      <c r="Q52" s="140">
        <f>+P52/160</f>
        <v>7.8781718750000014</v>
      </c>
      <c r="R52" s="154">
        <f>+N52*M52*O52</f>
        <v>50420.3</v>
      </c>
      <c r="T52" s="158" t="str">
        <f t="shared" si="11"/>
        <v>Helper  Painting</v>
      </c>
      <c r="U52" s="57">
        <f t="shared" si="2"/>
        <v>1260.5075000000002</v>
      </c>
      <c r="V52" s="72">
        <f t="shared" si="3"/>
        <v>7.8781718750000014</v>
      </c>
      <c r="X52">
        <f t="shared" si="4"/>
        <v>0.65651432291666678</v>
      </c>
    </row>
    <row r="53" spans="2:24" x14ac:dyDescent="0.25">
      <c r="B53" s="49" t="s">
        <v>370</v>
      </c>
      <c r="C53" s="96">
        <f>+('HOUSE EST MODEL 1'!C53*9)+('HOUSE EST MODEL 2'!C53*19)+('HOUSE EST MODEL 3'!C53*29)</f>
        <v>631</v>
      </c>
      <c r="D53" s="87" t="s">
        <v>40</v>
      </c>
      <c r="E53" s="11">
        <f>+SPECS!I60</f>
        <v>4.5599999999999996</v>
      </c>
      <c r="F53" s="108">
        <f t="shared" si="10"/>
        <v>2877.3599999999997</v>
      </c>
      <c r="H53" s="125" t="s">
        <v>279</v>
      </c>
      <c r="I53" s="125"/>
      <c r="J53" s="125"/>
      <c r="K53" s="125"/>
      <c r="L53" s="125"/>
      <c r="M53" s="125"/>
      <c r="N53" s="125"/>
      <c r="O53" s="125"/>
      <c r="P53" s="125"/>
      <c r="Q53" s="125"/>
      <c r="R53" s="126">
        <f>+R54+R55</f>
        <v>50723.92</v>
      </c>
      <c r="T53" s="89" t="str">
        <f t="shared" si="11"/>
        <v>Flooring</v>
      </c>
      <c r="U53" s="57">
        <f t="shared" si="2"/>
        <v>0</v>
      </c>
      <c r="V53" s="72">
        <f t="shared" si="3"/>
        <v>0</v>
      </c>
      <c r="X53">
        <f t="shared" si="4"/>
        <v>0</v>
      </c>
    </row>
    <row r="54" spans="2:24" x14ac:dyDescent="0.25">
      <c r="B54" s="48" t="s">
        <v>371</v>
      </c>
      <c r="C54" s="99"/>
      <c r="D54" s="48"/>
      <c r="E54" s="48"/>
      <c r="F54" s="66"/>
      <c r="H54" s="132" t="s">
        <v>458</v>
      </c>
      <c r="I54" s="136">
        <f>+'HOUSE YEAR TOTAL 57'!$C$48+'HOUSE YEAR TOTAL 57'!$C$49</f>
        <v>28690</v>
      </c>
      <c r="J54" s="133" t="s">
        <v>40</v>
      </c>
      <c r="K54" s="133">
        <v>6.8</v>
      </c>
      <c r="L54" s="133">
        <f>+K54/100</f>
        <v>6.8000000000000005E-2</v>
      </c>
      <c r="M54" s="136">
        <f>+L54*I54</f>
        <v>1950.92</v>
      </c>
      <c r="N54" s="137">
        <v>16</v>
      </c>
      <c r="O54" s="157">
        <v>1</v>
      </c>
      <c r="P54" s="139">
        <f>+M54/O54</f>
        <v>1950.92</v>
      </c>
      <c r="Q54" s="140">
        <f>+P54/160</f>
        <v>12.193250000000001</v>
      </c>
      <c r="R54" s="154">
        <f>+N54*M54*O54</f>
        <v>31214.720000000001</v>
      </c>
      <c r="T54" s="158" t="str">
        <f t="shared" si="11"/>
        <v>Laborer flooring</v>
      </c>
      <c r="U54" s="57">
        <f t="shared" si="2"/>
        <v>1950.92</v>
      </c>
      <c r="V54" s="72">
        <f t="shared" si="3"/>
        <v>12.193250000000001</v>
      </c>
      <c r="X54">
        <f t="shared" si="4"/>
        <v>1.0161041666666668</v>
      </c>
    </row>
    <row r="55" spans="2:24" x14ac:dyDescent="0.25">
      <c r="B55" s="49" t="s">
        <v>372</v>
      </c>
      <c r="C55" s="96">
        <f>+('HOUSE EST MODEL 1'!C55*9)+('HOUSE EST MODEL 2'!C55*19)+('HOUSE EST MODEL 3'!C55*29)</f>
        <v>1710</v>
      </c>
      <c r="D55" s="87" t="s">
        <v>40</v>
      </c>
      <c r="E55" s="11">
        <f>+SPECS!I58</f>
        <v>4.3</v>
      </c>
      <c r="F55" s="108">
        <f t="shared" si="10"/>
        <v>7353</v>
      </c>
      <c r="H55" s="132" t="s">
        <v>459</v>
      </c>
      <c r="I55" s="133">
        <f>+I54</f>
        <v>28690</v>
      </c>
      <c r="J55" s="133" t="s">
        <v>40</v>
      </c>
      <c r="K55" s="133">
        <f>+K54</f>
        <v>6.8</v>
      </c>
      <c r="L55" s="133">
        <f>+L54</f>
        <v>6.8000000000000005E-2</v>
      </c>
      <c r="M55" s="136">
        <f>+L55*I55</f>
        <v>1950.92</v>
      </c>
      <c r="N55" s="137">
        <v>10</v>
      </c>
      <c r="O55" s="157">
        <v>1</v>
      </c>
      <c r="P55" s="139">
        <f>+M55/O55</f>
        <v>1950.92</v>
      </c>
      <c r="Q55" s="140">
        <f>+P55/160</f>
        <v>12.193250000000001</v>
      </c>
      <c r="R55" s="154">
        <f>+N55*M55*O55</f>
        <v>19509.2</v>
      </c>
      <c r="T55" s="158" t="str">
        <f t="shared" si="11"/>
        <v>Helper flooring</v>
      </c>
      <c r="U55" s="57">
        <f t="shared" si="2"/>
        <v>1950.92</v>
      </c>
      <c r="V55" s="72">
        <f t="shared" si="3"/>
        <v>12.193250000000001</v>
      </c>
      <c r="X55">
        <f t="shared" si="4"/>
        <v>1.0161041666666668</v>
      </c>
    </row>
    <row r="56" spans="2:24" x14ac:dyDescent="0.25">
      <c r="B56" s="48" t="s">
        <v>373</v>
      </c>
      <c r="C56" s="99"/>
      <c r="D56" s="48"/>
      <c r="E56" s="48"/>
      <c r="F56" s="66"/>
      <c r="H56" s="125" t="s">
        <v>282</v>
      </c>
      <c r="I56" s="125"/>
      <c r="J56" s="125"/>
      <c r="K56" s="125"/>
      <c r="L56" s="125"/>
      <c r="M56" s="125"/>
      <c r="N56" s="125"/>
      <c r="O56" s="125"/>
      <c r="P56" s="125"/>
      <c r="Q56" s="125"/>
      <c r="R56" s="126">
        <f>+R57+R58</f>
        <v>9289.2150000000001</v>
      </c>
      <c r="T56" s="89" t="str">
        <f t="shared" si="11"/>
        <v>Bathroom Tiling</v>
      </c>
      <c r="U56" s="57">
        <f t="shared" si="2"/>
        <v>0</v>
      </c>
      <c r="V56" s="72">
        <f t="shared" si="3"/>
        <v>0</v>
      </c>
      <c r="X56">
        <f t="shared" si="4"/>
        <v>0</v>
      </c>
    </row>
    <row r="57" spans="2:24" x14ac:dyDescent="0.25">
      <c r="B57" s="49" t="s">
        <v>374</v>
      </c>
      <c r="C57" s="96">
        <f>+('HOUSE EST MODEL 1'!C57*9)+('HOUSE EST MODEL 2'!C57*19)+('HOUSE EST MODEL 3'!C57*29)</f>
        <v>114</v>
      </c>
      <c r="D57" t="s">
        <v>324</v>
      </c>
      <c r="E57" s="11">
        <v>550</v>
      </c>
      <c r="F57" s="108">
        <f t="shared" si="10"/>
        <v>62700</v>
      </c>
      <c r="H57" s="132" t="s">
        <v>460</v>
      </c>
      <c r="I57" s="136">
        <f>+'HOUSE YEAR TOTAL 57'!$C$51+'HOUSE YEAR TOTAL 57'!$C$52+'HOUSE YEAR TOTAL 57'!$C$53</f>
        <v>9045</v>
      </c>
      <c r="J57" s="133" t="s">
        <v>40</v>
      </c>
      <c r="K57" s="133">
        <v>7.9</v>
      </c>
      <c r="L57" s="133">
        <f>+K57/100</f>
        <v>7.9000000000000001E-2</v>
      </c>
      <c r="M57" s="136">
        <f>+L57*I57</f>
        <v>714.55500000000006</v>
      </c>
      <c r="N57" s="137">
        <v>16</v>
      </c>
      <c r="O57" s="157">
        <v>0.5</v>
      </c>
      <c r="P57" s="139">
        <f>+M57/O57</f>
        <v>1429.1100000000001</v>
      </c>
      <c r="Q57" s="140">
        <f>+P57/160</f>
        <v>8.9319375000000001</v>
      </c>
      <c r="R57" s="154">
        <f>+N57*M57*O57</f>
        <v>5716.4400000000005</v>
      </c>
      <c r="T57" s="158" t="str">
        <f t="shared" si="11"/>
        <v>Laborer Tiling and backsplash</v>
      </c>
      <c r="U57" s="57">
        <f t="shared" si="2"/>
        <v>1429.1100000000001</v>
      </c>
      <c r="V57" s="72">
        <f t="shared" si="3"/>
        <v>8.9319375000000001</v>
      </c>
      <c r="X57">
        <f t="shared" si="4"/>
        <v>0.74432812500000001</v>
      </c>
    </row>
    <row r="58" spans="2:24" x14ac:dyDescent="0.25">
      <c r="B58" s="49" t="s">
        <v>375</v>
      </c>
      <c r="C58" s="96">
        <f>+('HOUSE EST MODEL 1'!C58*9)+('HOUSE EST MODEL 2'!C58*19)+('HOUSE EST MODEL 3'!C58*29)</f>
        <v>114</v>
      </c>
      <c r="D58" t="s">
        <v>324</v>
      </c>
      <c r="E58" s="11">
        <v>450</v>
      </c>
      <c r="F58" s="108">
        <f t="shared" si="10"/>
        <v>51300</v>
      </c>
      <c r="H58" s="132" t="s">
        <v>461</v>
      </c>
      <c r="I58" s="148">
        <f>+I57</f>
        <v>9045</v>
      </c>
      <c r="J58" s="133" t="s">
        <v>40</v>
      </c>
      <c r="K58" s="133">
        <f>+K57</f>
        <v>7.9</v>
      </c>
      <c r="L58" s="133">
        <f>+L57</f>
        <v>7.9000000000000001E-2</v>
      </c>
      <c r="M58" s="136">
        <f>+L58*I58</f>
        <v>714.55500000000006</v>
      </c>
      <c r="N58" s="137">
        <v>10</v>
      </c>
      <c r="O58" s="157">
        <v>0.5</v>
      </c>
      <c r="P58" s="139">
        <f>+M58/O58</f>
        <v>1429.1100000000001</v>
      </c>
      <c r="Q58" s="140">
        <f>+P58/160</f>
        <v>8.9319375000000001</v>
      </c>
      <c r="R58" s="154">
        <f>+N58*M58*O58</f>
        <v>3572.7750000000005</v>
      </c>
      <c r="T58" s="158" t="str">
        <f t="shared" si="11"/>
        <v>Helper Tiling and backsplash</v>
      </c>
      <c r="U58" s="57">
        <f t="shared" si="2"/>
        <v>1429.1100000000001</v>
      </c>
      <c r="V58" s="72">
        <f t="shared" si="3"/>
        <v>8.9319375000000001</v>
      </c>
      <c r="X58">
        <f t="shared" si="4"/>
        <v>0.74432812500000001</v>
      </c>
    </row>
    <row r="59" spans="2:24" x14ac:dyDescent="0.25">
      <c r="B59" s="48" t="s">
        <v>376</v>
      </c>
      <c r="C59" s="99"/>
      <c r="D59" s="48"/>
      <c r="E59" s="48"/>
      <c r="F59" s="66"/>
      <c r="H59" s="125" t="s">
        <v>371</v>
      </c>
      <c r="I59" s="125"/>
      <c r="J59" s="125"/>
      <c r="K59" s="125"/>
      <c r="L59" s="125"/>
      <c r="M59" s="125"/>
      <c r="N59" s="125"/>
      <c r="O59" s="125"/>
      <c r="P59" s="125"/>
      <c r="Q59" s="125"/>
      <c r="R59" s="126">
        <f>+R60+R61</f>
        <v>1756.17</v>
      </c>
      <c r="T59" s="89" t="str">
        <f t="shared" si="11"/>
        <v>Kitchen Backsplash</v>
      </c>
      <c r="U59" s="57">
        <f t="shared" si="2"/>
        <v>0</v>
      </c>
      <c r="V59" s="72">
        <f t="shared" si="3"/>
        <v>0</v>
      </c>
      <c r="X59">
        <f t="shared" si="4"/>
        <v>0</v>
      </c>
    </row>
    <row r="60" spans="2:24" x14ac:dyDescent="0.25">
      <c r="B60" s="49" t="s">
        <v>377</v>
      </c>
      <c r="C60" s="96">
        <f>+('HOUSE EST MODEL 1'!C60*9)+('HOUSE EST MODEL 2'!C60*19)+('HOUSE EST MODEL 3'!C60*29)</f>
        <v>86</v>
      </c>
      <c r="D60" t="s">
        <v>324</v>
      </c>
      <c r="E60" s="11">
        <v>800</v>
      </c>
      <c r="F60" s="108">
        <f t="shared" si="10"/>
        <v>68800</v>
      </c>
      <c r="H60" s="132" t="s">
        <v>460</v>
      </c>
      <c r="I60" s="136">
        <f>+'HOUSE YEAR TOTAL 57'!$C$55</f>
        <v>1710</v>
      </c>
      <c r="J60" s="133" t="s">
        <v>40</v>
      </c>
      <c r="K60" s="133">
        <v>7.9</v>
      </c>
      <c r="L60" s="133">
        <f>+K60/100</f>
        <v>7.9000000000000001E-2</v>
      </c>
      <c r="M60" s="136">
        <f>+L60*I60</f>
        <v>135.09</v>
      </c>
      <c r="N60" s="137">
        <v>16</v>
      </c>
      <c r="O60" s="157">
        <v>0.5</v>
      </c>
      <c r="P60" s="139">
        <f>+M60/O60</f>
        <v>270.18</v>
      </c>
      <c r="Q60" s="140">
        <f>+P60/160</f>
        <v>1.688625</v>
      </c>
      <c r="R60" s="154">
        <f>+N60*M60*O60</f>
        <v>1080.72</v>
      </c>
      <c r="T60" s="158" t="str">
        <f t="shared" si="11"/>
        <v>Laborer Tiling and backsplash</v>
      </c>
      <c r="U60" s="57">
        <f t="shared" si="2"/>
        <v>270.18</v>
      </c>
      <c r="V60" s="72">
        <f t="shared" si="3"/>
        <v>1.688625</v>
      </c>
      <c r="X60">
        <f t="shared" si="4"/>
        <v>0.14071875</v>
      </c>
    </row>
    <row r="61" spans="2:24" x14ac:dyDescent="0.25">
      <c r="B61" s="48" t="s">
        <v>378</v>
      </c>
      <c r="C61" s="99"/>
      <c r="D61" s="48"/>
      <c r="E61" s="48"/>
      <c r="F61" s="66"/>
      <c r="H61" s="132" t="s">
        <v>461</v>
      </c>
      <c r="I61" s="148">
        <f>+I60</f>
        <v>1710</v>
      </c>
      <c r="J61" s="133" t="s">
        <v>40</v>
      </c>
      <c r="K61" s="133">
        <f>+K60</f>
        <v>7.9</v>
      </c>
      <c r="L61" s="133">
        <f>+L60</f>
        <v>7.9000000000000001E-2</v>
      </c>
      <c r="M61" s="136">
        <f>+L61*I61</f>
        <v>135.09</v>
      </c>
      <c r="N61" s="137">
        <v>10</v>
      </c>
      <c r="O61" s="157">
        <v>0.5</v>
      </c>
      <c r="P61" s="139">
        <f>+M61/O61</f>
        <v>270.18</v>
      </c>
      <c r="Q61" s="140">
        <f>+P61/160</f>
        <v>1.688625</v>
      </c>
      <c r="R61" s="154">
        <f>+N61*M61*O61</f>
        <v>675.45</v>
      </c>
      <c r="T61" s="158" t="str">
        <f t="shared" si="11"/>
        <v>Helper Tiling and backsplash</v>
      </c>
      <c r="U61" s="57">
        <f t="shared" si="2"/>
        <v>270.18</v>
      </c>
      <c r="V61" s="72">
        <f t="shared" si="3"/>
        <v>1.688625</v>
      </c>
      <c r="X61">
        <f t="shared" si="4"/>
        <v>0.14071875</v>
      </c>
    </row>
    <row r="62" spans="2:24" x14ac:dyDescent="0.25">
      <c r="B62" s="49" t="s">
        <v>379</v>
      </c>
      <c r="C62" s="96">
        <f>+('HOUSE EST MODEL 1'!C62*9)+('HOUSE EST MODEL 2'!C62*19)+('HOUSE EST MODEL 3'!C62*29)</f>
        <v>2565</v>
      </c>
      <c r="D62" t="s">
        <v>40</v>
      </c>
      <c r="E62" s="11">
        <f>+SPECS!I22</f>
        <v>52.92</v>
      </c>
      <c r="F62" s="108">
        <f>+C62*E62</f>
        <v>135739.80000000002</v>
      </c>
      <c r="H62" s="125" t="s">
        <v>373</v>
      </c>
      <c r="I62" s="125"/>
      <c r="J62" s="125"/>
      <c r="K62" s="125"/>
      <c r="L62" s="125"/>
      <c r="M62" s="125"/>
      <c r="N62" s="125"/>
      <c r="O62" s="125"/>
      <c r="P62" s="125"/>
      <c r="Q62" s="125"/>
      <c r="R62" s="126">
        <f>+R63+R64</f>
        <v>2964</v>
      </c>
      <c r="T62" s="89" t="str">
        <f t="shared" si="11"/>
        <v>Kitchen Cabinets</v>
      </c>
      <c r="U62" s="57">
        <f t="shared" si="2"/>
        <v>0</v>
      </c>
      <c r="V62" s="72">
        <f t="shared" si="3"/>
        <v>0</v>
      </c>
      <c r="X62">
        <f t="shared" si="4"/>
        <v>0</v>
      </c>
    </row>
    <row r="63" spans="2:24" x14ac:dyDescent="0.25">
      <c r="B63" s="48" t="s">
        <v>380</v>
      </c>
      <c r="C63" s="99"/>
      <c r="D63" s="48"/>
      <c r="E63" s="48"/>
      <c r="F63" s="66"/>
      <c r="H63" s="132" t="s">
        <v>462</v>
      </c>
      <c r="I63" s="136">
        <f>+'HOUSE YEAR TOTAL 57'!$C$57</f>
        <v>114</v>
      </c>
      <c r="J63" s="116" t="s">
        <v>324</v>
      </c>
      <c r="K63" s="133"/>
      <c r="L63" s="133">
        <v>3</v>
      </c>
      <c r="M63" s="136">
        <f>+L63*I63</f>
        <v>342</v>
      </c>
      <c r="N63" s="137">
        <v>16</v>
      </c>
      <c r="O63" s="157">
        <v>0.33333333333333331</v>
      </c>
      <c r="P63" s="139">
        <f>+M63/O63</f>
        <v>1026</v>
      </c>
      <c r="Q63" s="140">
        <f>+P63/160</f>
        <v>6.4124999999999996</v>
      </c>
      <c r="R63" s="154">
        <f>+N63*M63*O63</f>
        <v>1824</v>
      </c>
      <c r="T63" s="158" t="str">
        <f t="shared" si="11"/>
        <v>Laborer Cabinets and countertops</v>
      </c>
      <c r="U63" s="57">
        <f t="shared" si="2"/>
        <v>1026</v>
      </c>
      <c r="V63" s="72">
        <f t="shared" si="3"/>
        <v>6.4124999999999996</v>
      </c>
      <c r="X63">
        <f t="shared" si="4"/>
        <v>0.53437499999999993</v>
      </c>
    </row>
    <row r="64" spans="2:24" x14ac:dyDescent="0.25">
      <c r="B64" s="49" t="s">
        <v>381</v>
      </c>
      <c r="C64" s="96">
        <f>+('HOUSE EST MODEL 1'!C64*9)+('HOUSE EST MODEL 2'!C64*19)+('HOUSE EST MODEL 3'!C64*29)</f>
        <v>277</v>
      </c>
      <c r="D64" s="87" t="s">
        <v>324</v>
      </c>
      <c r="E64" s="11">
        <f>+SPECS!I35</f>
        <v>10.8</v>
      </c>
      <c r="F64" s="108">
        <f t="shared" ref="F64:F85" si="12">+C64*E64</f>
        <v>2991.6000000000004</v>
      </c>
      <c r="H64" s="132" t="s">
        <v>463</v>
      </c>
      <c r="I64" s="148">
        <f>+I63</f>
        <v>114</v>
      </c>
      <c r="J64" s="116" t="s">
        <v>324</v>
      </c>
      <c r="K64" s="133"/>
      <c r="L64" s="133">
        <f>+L63</f>
        <v>3</v>
      </c>
      <c r="M64" s="136">
        <f>+L64*I64</f>
        <v>342</v>
      </c>
      <c r="N64" s="137">
        <v>10</v>
      </c>
      <c r="O64" s="157">
        <v>0.33333333333333331</v>
      </c>
      <c r="P64" s="139">
        <f>+M64/O64</f>
        <v>1026</v>
      </c>
      <c r="Q64" s="140">
        <f>+P64/160</f>
        <v>6.4124999999999996</v>
      </c>
      <c r="R64" s="154">
        <f>+N64*M64*O64</f>
        <v>1140</v>
      </c>
      <c r="T64" s="158" t="str">
        <f t="shared" si="11"/>
        <v>Helper Cabinets and countertops</v>
      </c>
      <c r="U64" s="57">
        <f t="shared" si="2"/>
        <v>1026</v>
      </c>
      <c r="V64" s="72">
        <f t="shared" si="3"/>
        <v>6.4124999999999996</v>
      </c>
      <c r="X64">
        <f t="shared" si="4"/>
        <v>0.53437499999999993</v>
      </c>
    </row>
    <row r="65" spans="2:24" x14ac:dyDescent="0.25">
      <c r="B65" s="49" t="s">
        <v>382</v>
      </c>
      <c r="C65" s="96">
        <f>+('HOUSE EST MODEL 1'!C65*9)+('HOUSE EST MODEL 2'!C65*19)+('HOUSE EST MODEL 3'!C65*29)</f>
        <v>57</v>
      </c>
      <c r="D65" s="87" t="s">
        <v>324</v>
      </c>
      <c r="E65" s="11">
        <f>+SPECS!I36</f>
        <v>38.869200000000006</v>
      </c>
      <c r="F65" s="108">
        <f t="shared" si="12"/>
        <v>2215.5444000000002</v>
      </c>
      <c r="H65" s="125" t="s">
        <v>376</v>
      </c>
      <c r="I65" s="125"/>
      <c r="J65" s="125"/>
      <c r="K65" s="125"/>
      <c r="L65" s="125"/>
      <c r="M65" s="125"/>
      <c r="N65" s="125"/>
      <c r="O65" s="125"/>
      <c r="P65" s="125"/>
      <c r="Q65" s="125"/>
      <c r="R65" s="126">
        <f>+R66+R67</f>
        <v>2236</v>
      </c>
      <c r="T65" s="89" t="str">
        <f t="shared" si="11"/>
        <v>Bathroom Cabinets</v>
      </c>
      <c r="U65" s="57">
        <f t="shared" si="2"/>
        <v>0</v>
      </c>
      <c r="V65" s="72">
        <f t="shared" si="3"/>
        <v>0</v>
      </c>
      <c r="X65">
        <f t="shared" si="4"/>
        <v>0</v>
      </c>
    </row>
    <row r="66" spans="2:24" x14ac:dyDescent="0.25">
      <c r="B66" s="49" t="s">
        <v>383</v>
      </c>
      <c r="C66" s="96">
        <f>+('HOUSE EST MODEL 1'!C66*9)+('HOUSE EST MODEL 2'!C66*19)+('HOUSE EST MODEL 3'!C66*29)</f>
        <v>1140</v>
      </c>
      <c r="D66" s="87" t="s">
        <v>324</v>
      </c>
      <c r="E66" s="11">
        <f>+SPECS!I39</f>
        <v>2.1384000000000003</v>
      </c>
      <c r="F66" s="108">
        <f t="shared" si="12"/>
        <v>2437.7760000000003</v>
      </c>
      <c r="H66" s="132" t="s">
        <v>462</v>
      </c>
      <c r="I66" s="136">
        <f>+'HOUSE YEAR TOTAL 57'!$C$60</f>
        <v>86</v>
      </c>
      <c r="J66" s="116" t="s">
        <v>324</v>
      </c>
      <c r="K66" s="133"/>
      <c r="L66" s="133">
        <v>3</v>
      </c>
      <c r="M66" s="136">
        <f>+L66*I66</f>
        <v>258</v>
      </c>
      <c r="N66" s="137">
        <v>16</v>
      </c>
      <c r="O66" s="157">
        <v>0.33333333333333331</v>
      </c>
      <c r="P66" s="139">
        <f>+M66/O66</f>
        <v>774</v>
      </c>
      <c r="Q66" s="140">
        <f>+P66/160</f>
        <v>4.8375000000000004</v>
      </c>
      <c r="R66" s="154">
        <f>+N66*M66*O66</f>
        <v>1376</v>
      </c>
      <c r="T66" s="158" t="str">
        <f t="shared" si="11"/>
        <v>Laborer Cabinets and countertops</v>
      </c>
      <c r="U66" s="57">
        <f t="shared" si="2"/>
        <v>774</v>
      </c>
      <c r="V66" s="72">
        <f t="shared" si="3"/>
        <v>4.8375000000000004</v>
      </c>
      <c r="X66">
        <f t="shared" si="4"/>
        <v>0.40312500000000001</v>
      </c>
    </row>
    <row r="67" spans="2:24" x14ac:dyDescent="0.25">
      <c r="B67" s="49" t="s">
        <v>384</v>
      </c>
      <c r="C67" s="96">
        <f>+('HOUSE EST MODEL 1'!C67*9)+('HOUSE EST MODEL 2'!C67*19)+('HOUSE EST MODEL 3'!C67*29)</f>
        <v>334</v>
      </c>
      <c r="D67" s="87" t="s">
        <v>324</v>
      </c>
      <c r="E67" s="11">
        <f>+SPECS!I55</f>
        <v>0.68310000000000004</v>
      </c>
      <c r="F67" s="108">
        <f t="shared" si="12"/>
        <v>228.15540000000001</v>
      </c>
      <c r="H67" s="132" t="s">
        <v>463</v>
      </c>
      <c r="I67" s="148">
        <f>+I66</f>
        <v>86</v>
      </c>
      <c r="J67" s="116" t="s">
        <v>324</v>
      </c>
      <c r="K67" s="133"/>
      <c r="L67" s="133">
        <f>+L66</f>
        <v>3</v>
      </c>
      <c r="M67" s="136">
        <f>+L67*I67</f>
        <v>258</v>
      </c>
      <c r="N67" s="137">
        <v>10</v>
      </c>
      <c r="O67" s="157">
        <v>0.33333333333333331</v>
      </c>
      <c r="P67" s="139">
        <f>+M67/O67</f>
        <v>774</v>
      </c>
      <c r="Q67" s="140">
        <f>+P67/160</f>
        <v>4.8375000000000004</v>
      </c>
      <c r="R67" s="154">
        <f>+N67*M67*O67</f>
        <v>860</v>
      </c>
      <c r="T67" s="158" t="str">
        <f t="shared" si="11"/>
        <v>Helper Cabinets and countertops</v>
      </c>
      <c r="U67" s="57">
        <f t="shared" si="2"/>
        <v>774</v>
      </c>
      <c r="V67" s="72">
        <f t="shared" si="3"/>
        <v>4.8375000000000004</v>
      </c>
      <c r="X67">
        <f t="shared" si="4"/>
        <v>0.40312500000000001</v>
      </c>
    </row>
    <row r="68" spans="2:24" x14ac:dyDescent="0.25">
      <c r="B68" s="49" t="s">
        <v>385</v>
      </c>
      <c r="C68" s="96">
        <f>+('HOUSE EST MODEL 1'!C68*9)+('HOUSE EST MODEL 2'!C68*19)+('HOUSE EST MODEL 3'!C68*29)</f>
        <v>57</v>
      </c>
      <c r="D68" s="87" t="s">
        <v>324</v>
      </c>
      <c r="E68" s="11">
        <f>+SPECS!I14</f>
        <v>32.378399999999999</v>
      </c>
      <c r="F68" s="108">
        <f t="shared" si="12"/>
        <v>1845.5688</v>
      </c>
      <c r="H68" s="125" t="s">
        <v>378</v>
      </c>
      <c r="I68" s="125"/>
      <c r="J68" s="125"/>
      <c r="K68" s="125"/>
      <c r="L68" s="125"/>
      <c r="M68" s="125"/>
      <c r="N68" s="125"/>
      <c r="O68" s="125"/>
      <c r="P68" s="125"/>
      <c r="Q68" s="125"/>
      <c r="R68" s="126">
        <f>+R69+R70</f>
        <v>1111.5</v>
      </c>
      <c r="T68" s="89" t="str">
        <f t="shared" si="11"/>
        <v>Countertops</v>
      </c>
      <c r="U68" s="57">
        <f t="shared" si="2"/>
        <v>0</v>
      </c>
      <c r="V68" s="72">
        <f t="shared" si="3"/>
        <v>0</v>
      </c>
      <c r="X68">
        <f t="shared" si="4"/>
        <v>0</v>
      </c>
    </row>
    <row r="69" spans="2:24" x14ac:dyDescent="0.25">
      <c r="B69" s="49" t="s">
        <v>386</v>
      </c>
      <c r="C69" s="96">
        <f>+('HOUSE EST MODEL 1'!C69*9)+('HOUSE EST MODEL 2'!C69*19)+('HOUSE EST MODEL 3'!C69*29)</f>
        <v>171</v>
      </c>
      <c r="D69" s="87" t="s">
        <v>324</v>
      </c>
      <c r="E69" s="11">
        <f>+SPECS!I8</f>
        <v>10.797300000000002</v>
      </c>
      <c r="F69" s="108">
        <f t="shared" si="12"/>
        <v>1846.3383000000003</v>
      </c>
      <c r="H69" s="132" t="s">
        <v>462</v>
      </c>
      <c r="I69" s="116">
        <f>+'HOUSE YEAR TOTAL 57'!$C$62</f>
        <v>2565</v>
      </c>
      <c r="J69" s="116" t="s">
        <v>40</v>
      </c>
      <c r="K69" s="116"/>
      <c r="L69" s="133">
        <v>0.05</v>
      </c>
      <c r="M69" s="136">
        <f>+L69*I69</f>
        <v>128.25</v>
      </c>
      <c r="N69" s="137">
        <v>16</v>
      </c>
      <c r="O69" s="157">
        <v>0.33333333333333331</v>
      </c>
      <c r="P69" s="139">
        <f>+M69/O69</f>
        <v>384.75</v>
      </c>
      <c r="Q69" s="140">
        <f>+P69/160</f>
        <v>2.4046875000000001</v>
      </c>
      <c r="R69" s="154">
        <f>+N69*M69*O69</f>
        <v>684</v>
      </c>
      <c r="T69" s="158" t="str">
        <f t="shared" ref="T69:T83" si="13">+H69</f>
        <v>Laborer Cabinets and countertops</v>
      </c>
      <c r="U69" s="57">
        <f t="shared" si="2"/>
        <v>384.75</v>
      </c>
      <c r="V69" s="72">
        <f t="shared" si="3"/>
        <v>2.4046875000000001</v>
      </c>
      <c r="X69">
        <f t="shared" si="4"/>
        <v>0.20039062500000002</v>
      </c>
    </row>
    <row r="70" spans="2:24" x14ac:dyDescent="0.25">
      <c r="B70" s="48" t="s">
        <v>304</v>
      </c>
      <c r="C70" s="99"/>
      <c r="D70" s="48"/>
      <c r="E70" s="48"/>
      <c r="F70" s="66"/>
      <c r="H70" s="132" t="s">
        <v>463</v>
      </c>
      <c r="I70" s="116">
        <f>+I69</f>
        <v>2565</v>
      </c>
      <c r="J70" s="116" t="s">
        <v>40</v>
      </c>
      <c r="K70" s="116"/>
      <c r="L70" s="133">
        <f>+L69</f>
        <v>0.05</v>
      </c>
      <c r="M70" s="136">
        <f>+L70*I70</f>
        <v>128.25</v>
      </c>
      <c r="N70" s="137">
        <v>10</v>
      </c>
      <c r="O70" s="157">
        <v>0.33333333333333331</v>
      </c>
      <c r="P70" s="139">
        <f>+M70/O70</f>
        <v>384.75</v>
      </c>
      <c r="Q70" s="140">
        <f>+P70/160</f>
        <v>2.4046875000000001</v>
      </c>
      <c r="R70" s="154">
        <f>+N70*M70*O70</f>
        <v>427.5</v>
      </c>
      <c r="T70" s="158" t="str">
        <f t="shared" si="13"/>
        <v>Helper Cabinets and countertops</v>
      </c>
      <c r="U70" s="57">
        <f t="shared" si="2"/>
        <v>384.75</v>
      </c>
      <c r="V70" s="72">
        <f t="shared" si="3"/>
        <v>2.4046875000000001</v>
      </c>
      <c r="X70">
        <f t="shared" si="4"/>
        <v>0.20039062500000002</v>
      </c>
    </row>
    <row r="71" spans="2:24" x14ac:dyDescent="0.25">
      <c r="B71" s="49" t="s">
        <v>387</v>
      </c>
      <c r="C71" s="96">
        <f>+('HOUSE EST MODEL 1'!C71*9)+('HOUSE EST MODEL 2'!C71*19)+('HOUSE EST MODEL 3'!C71*29)</f>
        <v>57</v>
      </c>
      <c r="D71" s="87" t="s">
        <v>324</v>
      </c>
      <c r="E71" s="11">
        <f>+SPECS!I18</f>
        <v>1294.92</v>
      </c>
      <c r="F71" s="108">
        <f t="shared" si="12"/>
        <v>73810.44</v>
      </c>
      <c r="H71" s="125" t="s">
        <v>380</v>
      </c>
      <c r="I71" s="125"/>
      <c r="J71" s="125"/>
      <c r="K71" s="125"/>
      <c r="L71" s="125"/>
      <c r="M71" s="125"/>
      <c r="N71" s="125"/>
      <c r="O71" s="125"/>
      <c r="P71" s="125"/>
      <c r="Q71" s="125"/>
      <c r="R71" s="126">
        <f>+R72+R73</f>
        <v>6617</v>
      </c>
      <c r="T71" s="89" t="str">
        <f t="shared" si="13"/>
        <v>House Hardware</v>
      </c>
      <c r="U71" s="57">
        <f t="shared" ref="U71:U83" si="14">+P71</f>
        <v>0</v>
      </c>
      <c r="V71" s="72">
        <f t="shared" ref="V71:V83" si="15">+Q71</f>
        <v>0</v>
      </c>
      <c r="X71">
        <f t="shared" ref="X71:X83" si="16">+V71/12</f>
        <v>0</v>
      </c>
    </row>
    <row r="72" spans="2:24" x14ac:dyDescent="0.25">
      <c r="B72" s="49" t="s">
        <v>388</v>
      </c>
      <c r="C72" s="96">
        <f>+('HOUSE EST MODEL 1'!C72*9)+('HOUSE EST MODEL 2'!C72*19)+('HOUSE EST MODEL 3'!C72*29)</f>
        <v>57</v>
      </c>
      <c r="D72" s="87" t="s">
        <v>324</v>
      </c>
      <c r="E72" s="11">
        <f>+SPECS!I19</f>
        <v>538.92000000000007</v>
      </c>
      <c r="F72" s="108">
        <f t="shared" si="12"/>
        <v>30718.440000000002</v>
      </c>
      <c r="H72" s="132" t="s">
        <v>464</v>
      </c>
      <c r="I72" s="116">
        <f>+SUM('HOUSE YEAR TOTAL 57'!$C$64:$C$69)</f>
        <v>2036</v>
      </c>
      <c r="J72" s="116" t="s">
        <v>324</v>
      </c>
      <c r="K72" s="116"/>
      <c r="L72" s="133">
        <f>15/60</f>
        <v>0.25</v>
      </c>
      <c r="M72" s="136">
        <f>+L72*I72</f>
        <v>509</v>
      </c>
      <c r="N72" s="137">
        <v>16</v>
      </c>
      <c r="O72" s="157">
        <v>0.5</v>
      </c>
      <c r="P72" s="139">
        <f>+M72/O72</f>
        <v>1018</v>
      </c>
      <c r="Q72" s="140">
        <f>+P72/160</f>
        <v>6.3624999999999998</v>
      </c>
      <c r="R72" s="154">
        <f>+N72*M72*O72</f>
        <v>4072</v>
      </c>
      <c r="T72" s="158" t="str">
        <f t="shared" si="13"/>
        <v>Laborer Hardware and appliances</v>
      </c>
      <c r="U72" s="57">
        <f t="shared" si="14"/>
        <v>1018</v>
      </c>
      <c r="V72" s="72">
        <f t="shared" si="15"/>
        <v>6.3624999999999998</v>
      </c>
      <c r="X72">
        <f t="shared" si="16"/>
        <v>0.53020833333333328</v>
      </c>
    </row>
    <row r="73" spans="2:24" x14ac:dyDescent="0.25">
      <c r="B73" s="49" t="s">
        <v>389</v>
      </c>
      <c r="C73" s="96">
        <f>+('HOUSE EST MODEL 1'!C73*9)+('HOUSE EST MODEL 2'!C73*19)+('HOUSE EST MODEL 3'!C73*29)</f>
        <v>57</v>
      </c>
      <c r="D73" s="87" t="s">
        <v>324</v>
      </c>
      <c r="E73" s="11">
        <f>+SPECS!I20</f>
        <v>592.92000000000007</v>
      </c>
      <c r="F73" s="108">
        <f t="shared" si="12"/>
        <v>33796.44</v>
      </c>
      <c r="H73" s="132" t="s">
        <v>465</v>
      </c>
      <c r="I73" s="116">
        <f>+I72</f>
        <v>2036</v>
      </c>
      <c r="J73" s="116" t="s">
        <v>324</v>
      </c>
      <c r="K73" s="116"/>
      <c r="L73" s="133">
        <f>+L72</f>
        <v>0.25</v>
      </c>
      <c r="M73" s="136">
        <f>+L73*I73</f>
        <v>509</v>
      </c>
      <c r="N73" s="137">
        <v>10</v>
      </c>
      <c r="O73" s="157">
        <v>0.5</v>
      </c>
      <c r="P73" s="139">
        <f>+M73/O73</f>
        <v>1018</v>
      </c>
      <c r="Q73" s="140">
        <f>+P73/160</f>
        <v>6.3624999999999998</v>
      </c>
      <c r="R73" s="154">
        <f>+N73*M73*O73</f>
        <v>2545</v>
      </c>
      <c r="T73" s="158" t="str">
        <f t="shared" si="13"/>
        <v>Helper Hardware and appliances</v>
      </c>
      <c r="U73" s="57">
        <f t="shared" si="14"/>
        <v>1018</v>
      </c>
      <c r="V73" s="72">
        <f t="shared" si="15"/>
        <v>6.3624999999999998</v>
      </c>
      <c r="X73">
        <f t="shared" si="16"/>
        <v>0.53020833333333328</v>
      </c>
    </row>
    <row r="74" spans="2:24" x14ac:dyDescent="0.25">
      <c r="B74" s="49" t="s">
        <v>390</v>
      </c>
      <c r="C74" s="96">
        <f>+('HOUSE EST MODEL 1'!C74*9)+('HOUSE EST MODEL 2'!C74*19)+('HOUSE EST MODEL 3'!C74*29)</f>
        <v>57</v>
      </c>
      <c r="D74" s="87" t="s">
        <v>324</v>
      </c>
      <c r="E74" s="11">
        <f>+SPECS!I21</f>
        <v>431.98920000000004</v>
      </c>
      <c r="F74" s="108">
        <f t="shared" si="12"/>
        <v>24623.384400000003</v>
      </c>
      <c r="H74" s="125" t="s">
        <v>304</v>
      </c>
      <c r="I74" s="125"/>
      <c r="J74" s="125"/>
      <c r="K74" s="125"/>
      <c r="L74" s="125"/>
      <c r="M74" s="125"/>
      <c r="N74" s="125"/>
      <c r="O74" s="125"/>
      <c r="P74" s="125"/>
      <c r="Q74" s="125"/>
      <c r="R74" s="126">
        <f>+R75+R76</f>
        <v>2964</v>
      </c>
      <c r="T74" s="89" t="str">
        <f t="shared" si="13"/>
        <v>Appliances</v>
      </c>
      <c r="U74" s="57">
        <f t="shared" si="14"/>
        <v>0</v>
      </c>
      <c r="V74" s="72">
        <f t="shared" si="15"/>
        <v>0</v>
      </c>
      <c r="X74">
        <f t="shared" si="16"/>
        <v>0</v>
      </c>
    </row>
    <row r="75" spans="2:24" x14ac:dyDescent="0.25">
      <c r="B75" s="48" t="s">
        <v>391</v>
      </c>
      <c r="C75" s="99"/>
      <c r="D75" s="48"/>
      <c r="E75" s="48"/>
      <c r="F75" s="66"/>
      <c r="H75" s="132" t="s">
        <v>464</v>
      </c>
      <c r="I75" s="116">
        <f>+SUM('HOUSE YEAR TOTAL 57'!$C$71:$C$74)</f>
        <v>228</v>
      </c>
      <c r="J75" s="116" t="s">
        <v>324</v>
      </c>
      <c r="K75" s="116"/>
      <c r="L75" s="133">
        <v>1</v>
      </c>
      <c r="M75" s="136">
        <f>+L75*I75</f>
        <v>228</v>
      </c>
      <c r="N75" s="137">
        <v>16</v>
      </c>
      <c r="O75" s="157">
        <v>0.5</v>
      </c>
      <c r="P75" s="139">
        <f>+M75/O75</f>
        <v>456</v>
      </c>
      <c r="Q75" s="140">
        <f>+P75/160</f>
        <v>2.85</v>
      </c>
      <c r="R75" s="154">
        <f>+N75*M75*O75</f>
        <v>1824</v>
      </c>
      <c r="T75" s="158" t="str">
        <f t="shared" si="13"/>
        <v>Laborer Hardware and appliances</v>
      </c>
      <c r="U75" s="57">
        <f t="shared" si="14"/>
        <v>456</v>
      </c>
      <c r="V75" s="72">
        <f t="shared" si="15"/>
        <v>2.85</v>
      </c>
      <c r="X75">
        <f t="shared" si="16"/>
        <v>0.23750000000000002</v>
      </c>
    </row>
    <row r="76" spans="2:24" x14ac:dyDescent="0.25">
      <c r="B76" s="49" t="s">
        <v>392</v>
      </c>
      <c r="C76" s="96">
        <f>+('HOUSE EST MODEL 1'!C76*9)+('HOUSE EST MODEL 2'!C76*19)+('HOUSE EST MODEL 3'!C76*29)</f>
        <v>57</v>
      </c>
      <c r="D76" s="87" t="s">
        <v>324</v>
      </c>
      <c r="E76" s="11">
        <f>+SPECS!I41</f>
        <v>432.30239999999998</v>
      </c>
      <c r="F76" s="108">
        <f t="shared" si="12"/>
        <v>24641.236799999999</v>
      </c>
      <c r="H76" s="132" t="s">
        <v>465</v>
      </c>
      <c r="I76" s="116">
        <f>+I75</f>
        <v>228</v>
      </c>
      <c r="J76" s="116" t="s">
        <v>324</v>
      </c>
      <c r="K76" s="116"/>
      <c r="L76" s="133">
        <f>+L75</f>
        <v>1</v>
      </c>
      <c r="M76" s="136">
        <f>+L76*I76</f>
        <v>228</v>
      </c>
      <c r="N76" s="137">
        <v>10</v>
      </c>
      <c r="O76" s="157">
        <v>0.5</v>
      </c>
      <c r="P76" s="139">
        <f>+M76/O76</f>
        <v>456</v>
      </c>
      <c r="Q76" s="140">
        <f>+P76/160</f>
        <v>2.85</v>
      </c>
      <c r="R76" s="154">
        <f>+N76*M76*O76</f>
        <v>1140</v>
      </c>
      <c r="T76" s="158" t="str">
        <f t="shared" si="13"/>
        <v>Helper Hardware and appliances</v>
      </c>
      <c r="U76" s="57">
        <f t="shared" si="14"/>
        <v>456</v>
      </c>
      <c r="V76" s="72">
        <f t="shared" si="15"/>
        <v>2.85</v>
      </c>
      <c r="X76">
        <f t="shared" si="16"/>
        <v>0.23750000000000002</v>
      </c>
    </row>
    <row r="77" spans="2:24" x14ac:dyDescent="0.25">
      <c r="B77" s="49" t="s">
        <v>393</v>
      </c>
      <c r="C77" s="96">
        <f>+('HOUSE EST MODEL 1'!C77*9)+('HOUSE EST MODEL 2'!C77*19)+('HOUSE EST MODEL 3'!C77*29)</f>
        <v>57</v>
      </c>
      <c r="D77" s="87" t="s">
        <v>324</v>
      </c>
      <c r="E77" s="11">
        <f>+SPECS!I42</f>
        <v>139.61160000000001</v>
      </c>
      <c r="F77" s="108">
        <f t="shared" si="12"/>
        <v>7957.8612000000003</v>
      </c>
      <c r="H77" s="125" t="s">
        <v>391</v>
      </c>
      <c r="I77" s="125"/>
      <c r="J77" s="125"/>
      <c r="K77" s="125"/>
      <c r="L77" s="125"/>
      <c r="M77" s="125"/>
      <c r="N77" s="125"/>
      <c r="O77" s="125"/>
      <c r="P77" s="125"/>
      <c r="Q77" s="125"/>
      <c r="R77" s="126">
        <f>+R78+R79</f>
        <v>5024.5</v>
      </c>
      <c r="T77" s="89" t="str">
        <f t="shared" si="13"/>
        <v>Plumbing Fixtures</v>
      </c>
      <c r="U77" s="57">
        <f t="shared" si="14"/>
        <v>0</v>
      </c>
      <c r="V77" s="72">
        <f t="shared" si="15"/>
        <v>0</v>
      </c>
      <c r="X77">
        <f t="shared" si="16"/>
        <v>0</v>
      </c>
    </row>
    <row r="78" spans="2:24" x14ac:dyDescent="0.25">
      <c r="B78" s="49" t="s">
        <v>394</v>
      </c>
      <c r="C78" s="96">
        <f>+('HOUSE EST MODEL 1'!C78*9)+('HOUSE EST MODEL 2'!C78*19)+('HOUSE EST MODEL 3'!C78*29)</f>
        <v>57</v>
      </c>
      <c r="D78" s="87" t="s">
        <v>324</v>
      </c>
      <c r="E78" s="11">
        <f>+SPECS!I40</f>
        <v>187.0128</v>
      </c>
      <c r="F78" s="108">
        <f t="shared" si="12"/>
        <v>10659.729600000001</v>
      </c>
      <c r="H78" s="132" t="s">
        <v>466</v>
      </c>
      <c r="I78" s="116">
        <f>+SUM('HOUSE YEAR TOTAL 57'!$C$76:$C$85)</f>
        <v>773</v>
      </c>
      <c r="J78" s="116" t="s">
        <v>324</v>
      </c>
      <c r="K78" s="116"/>
      <c r="L78" s="133">
        <v>0.5</v>
      </c>
      <c r="M78" s="136">
        <f>+L78*I78</f>
        <v>386.5</v>
      </c>
      <c r="N78" s="137">
        <v>16</v>
      </c>
      <c r="O78" s="157">
        <v>0.5</v>
      </c>
      <c r="P78" s="139">
        <f>+M78/O78</f>
        <v>773</v>
      </c>
      <c r="Q78" s="140">
        <f>+P78/160</f>
        <v>4.8312499999999998</v>
      </c>
      <c r="R78" s="154">
        <f>+N78*M78*O78</f>
        <v>3092</v>
      </c>
      <c r="T78" t="str">
        <f t="shared" si="13"/>
        <v>Laborer plumbing fixtures</v>
      </c>
      <c r="U78" s="57">
        <f t="shared" si="14"/>
        <v>773</v>
      </c>
      <c r="V78" s="72">
        <f t="shared" si="15"/>
        <v>4.8312499999999998</v>
      </c>
      <c r="X78">
        <f t="shared" si="16"/>
        <v>0.40260416666666665</v>
      </c>
    </row>
    <row r="79" spans="2:24" x14ac:dyDescent="0.25">
      <c r="B79" s="49" t="s">
        <v>395</v>
      </c>
      <c r="C79" s="96">
        <f>+('HOUSE EST MODEL 1'!C79*9)+('HOUSE EST MODEL 2'!C79*19)+('HOUSE EST MODEL 3'!C79*29)</f>
        <v>86</v>
      </c>
      <c r="D79" s="87" t="s">
        <v>324</v>
      </c>
      <c r="E79" s="11">
        <f>+SPECS!I43</f>
        <v>108.6156</v>
      </c>
      <c r="F79" s="108">
        <f t="shared" si="12"/>
        <v>9340.9416000000001</v>
      </c>
      <c r="H79" s="132" t="s">
        <v>466</v>
      </c>
      <c r="I79" s="116">
        <f>+I78</f>
        <v>773</v>
      </c>
      <c r="J79" s="116" t="s">
        <v>324</v>
      </c>
      <c r="K79" s="116"/>
      <c r="L79" s="133">
        <f>+L78</f>
        <v>0.5</v>
      </c>
      <c r="M79" s="136">
        <f>+L79*I79</f>
        <v>386.5</v>
      </c>
      <c r="N79" s="137">
        <v>10</v>
      </c>
      <c r="O79" s="157">
        <v>0.5</v>
      </c>
      <c r="P79" s="139">
        <f>+M79/O79</f>
        <v>773</v>
      </c>
      <c r="Q79" s="140">
        <f>+P79/160</f>
        <v>4.8312499999999998</v>
      </c>
      <c r="R79" s="154">
        <f>+N79*M79*O79</f>
        <v>1932.5</v>
      </c>
      <c r="T79" t="str">
        <f t="shared" si="13"/>
        <v>Laborer plumbing fixtures</v>
      </c>
      <c r="U79" s="57">
        <f t="shared" si="14"/>
        <v>773</v>
      </c>
      <c r="V79" s="72">
        <f t="shared" si="15"/>
        <v>4.8312499999999998</v>
      </c>
      <c r="X79">
        <f t="shared" si="16"/>
        <v>0.40260416666666665</v>
      </c>
    </row>
    <row r="80" spans="2:24" x14ac:dyDescent="0.25">
      <c r="B80" s="49" t="s">
        <v>396</v>
      </c>
      <c r="C80" s="96">
        <f>+('HOUSE EST MODEL 1'!C80*9)+('HOUSE EST MODEL 2'!C80*19)+('HOUSE EST MODEL 3'!C80*29)</f>
        <v>86</v>
      </c>
      <c r="D80" s="87" t="s">
        <v>324</v>
      </c>
      <c r="E80" s="11">
        <f>+SPECS!I46</f>
        <v>87.469200000000001</v>
      </c>
      <c r="F80" s="108">
        <f t="shared" si="12"/>
        <v>7522.3512000000001</v>
      </c>
      <c r="H80" s="125" t="s">
        <v>402</v>
      </c>
      <c r="I80" s="125"/>
      <c r="J80" s="125"/>
      <c r="K80" s="125"/>
      <c r="L80" s="125"/>
      <c r="M80" s="125"/>
      <c r="N80" s="125"/>
      <c r="O80" s="125"/>
      <c r="P80" s="125"/>
      <c r="Q80" s="125"/>
      <c r="R80" s="126">
        <f>+R81+R82</f>
        <v>23769</v>
      </c>
      <c r="T80" s="89" t="str">
        <f t="shared" si="13"/>
        <v>Electrical Fixtures</v>
      </c>
      <c r="U80" s="57">
        <f t="shared" si="14"/>
        <v>0</v>
      </c>
      <c r="V80" s="72">
        <f t="shared" si="15"/>
        <v>0</v>
      </c>
      <c r="X80">
        <f t="shared" si="16"/>
        <v>0</v>
      </c>
    </row>
    <row r="81" spans="2:24" x14ac:dyDescent="0.25">
      <c r="B81" s="49" t="s">
        <v>397</v>
      </c>
      <c r="C81" s="96">
        <f>+('HOUSE EST MODEL 1'!C81*9)+('HOUSE EST MODEL 2'!C81*19)+('HOUSE EST MODEL 3'!C81*29)</f>
        <v>86</v>
      </c>
      <c r="D81" s="87" t="s">
        <v>324</v>
      </c>
      <c r="E81" s="11">
        <f>+SPECS!I44</f>
        <v>64.800000000000011</v>
      </c>
      <c r="F81" s="108">
        <f t="shared" si="12"/>
        <v>5572.8000000000011</v>
      </c>
      <c r="H81" s="147" t="s">
        <v>429</v>
      </c>
      <c r="I81" s="116">
        <f>+SUM('HOUSE YEAR TOTAL 57'!$C$87:$C$94)</f>
        <v>2641</v>
      </c>
      <c r="J81" s="116" t="s">
        <v>324</v>
      </c>
      <c r="K81" s="116"/>
      <c r="L81" s="133">
        <v>0.5</v>
      </c>
      <c r="M81" s="136">
        <f>+L81*I81</f>
        <v>1320.5</v>
      </c>
      <c r="N81" s="137">
        <v>16</v>
      </c>
      <c r="O81" s="157">
        <v>0.5</v>
      </c>
      <c r="P81" s="139">
        <f>+M81/O81</f>
        <v>2641</v>
      </c>
      <c r="Q81" s="140">
        <f>+P81/160</f>
        <v>16.506250000000001</v>
      </c>
      <c r="R81" s="154">
        <f>+N81*M81*O81</f>
        <v>10564</v>
      </c>
      <c r="T81" s="158" t="str">
        <f t="shared" si="13"/>
        <v>Electrician</v>
      </c>
      <c r="U81" s="57">
        <f t="shared" si="14"/>
        <v>2641</v>
      </c>
      <c r="V81" s="72">
        <f t="shared" si="15"/>
        <v>16.506250000000001</v>
      </c>
      <c r="X81">
        <f t="shared" si="16"/>
        <v>1.3755208333333335</v>
      </c>
    </row>
    <row r="82" spans="2:24" x14ac:dyDescent="0.25">
      <c r="B82" s="49" t="s">
        <v>398</v>
      </c>
      <c r="C82" s="96">
        <f>+('HOUSE EST MODEL 1'!C82*9)+('HOUSE EST MODEL 2'!C82*19)+('HOUSE EST MODEL 3'!C82*29)</f>
        <v>86</v>
      </c>
      <c r="D82" s="87" t="s">
        <v>324</v>
      </c>
      <c r="E82" s="11">
        <f>+SPECS!I45</f>
        <v>38.577600000000004</v>
      </c>
      <c r="F82" s="108">
        <f t="shared" si="12"/>
        <v>3317.6736000000005</v>
      </c>
      <c r="H82" s="147" t="s">
        <v>449</v>
      </c>
      <c r="I82" s="116">
        <f>+I81</f>
        <v>2641</v>
      </c>
      <c r="J82" s="116" t="s">
        <v>324</v>
      </c>
      <c r="K82" s="116"/>
      <c r="L82" s="133">
        <f>+L81</f>
        <v>0.5</v>
      </c>
      <c r="M82" s="136">
        <f>+L82*I82</f>
        <v>1320.5</v>
      </c>
      <c r="N82" s="137">
        <v>10</v>
      </c>
      <c r="O82" s="157">
        <v>1</v>
      </c>
      <c r="P82" s="139">
        <f>+M82/O82</f>
        <v>1320.5</v>
      </c>
      <c r="Q82" s="140">
        <f>+P82/160</f>
        <v>8.2531250000000007</v>
      </c>
      <c r="R82" s="154">
        <f>+N82*M82*O82</f>
        <v>13205</v>
      </c>
      <c r="T82" s="158" t="str">
        <f t="shared" si="13"/>
        <v>Helper electrician</v>
      </c>
      <c r="U82" s="57">
        <f t="shared" si="14"/>
        <v>1320.5</v>
      </c>
      <c r="V82" s="72">
        <f t="shared" si="15"/>
        <v>8.2531250000000007</v>
      </c>
      <c r="X82">
        <f t="shared" si="16"/>
        <v>0.68776041666666676</v>
      </c>
    </row>
    <row r="83" spans="2:24" x14ac:dyDescent="0.25">
      <c r="B83" s="49" t="s">
        <v>399</v>
      </c>
      <c r="C83" s="96">
        <f>+('HOUSE EST MODEL 1'!C83*9)+('HOUSE EST MODEL 2'!C83*19)+('HOUSE EST MODEL 3'!C83*29)</f>
        <v>86</v>
      </c>
      <c r="D83" s="87" t="s">
        <v>324</v>
      </c>
      <c r="E83" s="11">
        <f>+SPECS!I47</f>
        <v>28.069199999999999</v>
      </c>
      <c r="F83" s="108">
        <f t="shared" si="12"/>
        <v>2413.9512</v>
      </c>
      <c r="H83" s="149" t="s">
        <v>436</v>
      </c>
      <c r="I83" s="149"/>
      <c r="J83" s="149"/>
      <c r="K83" s="149"/>
      <c r="L83" s="149"/>
      <c r="M83" s="149"/>
      <c r="N83" s="149"/>
      <c r="O83" s="149"/>
      <c r="P83" s="149"/>
      <c r="Q83" s="149"/>
      <c r="R83" s="152">
        <f>+R4+R12+R15+R18+R21+R24+R27+R31+R34+R37+R41+R44+R47+R50+R53+R59+R56+R62+R65+R68+R71+R74+R77+R80</f>
        <v>2023373.6780000003</v>
      </c>
      <c r="T83" t="str">
        <f t="shared" si="13"/>
        <v>SUB TOTAL LABOR</v>
      </c>
      <c r="U83" s="57">
        <f t="shared" si="14"/>
        <v>0</v>
      </c>
      <c r="V83" s="72">
        <f t="shared" si="15"/>
        <v>0</v>
      </c>
      <c r="X83">
        <f t="shared" si="16"/>
        <v>0</v>
      </c>
    </row>
    <row r="84" spans="2:24" x14ac:dyDescent="0.25">
      <c r="B84" s="49" t="s">
        <v>400</v>
      </c>
      <c r="C84" s="96">
        <f>+('HOUSE EST MODEL 1'!C84*9)+('HOUSE EST MODEL 2'!C84*19)+('HOUSE EST MODEL 3'!C84*29)</f>
        <v>86</v>
      </c>
      <c r="D84" s="87" t="s">
        <v>324</v>
      </c>
      <c r="E84" s="11">
        <f>+SPECS!I48</f>
        <v>51.224400000000003</v>
      </c>
      <c r="F84" s="108">
        <f t="shared" si="12"/>
        <v>4405.2984000000006</v>
      </c>
      <c r="H84" s="116"/>
      <c r="I84" s="116"/>
      <c r="J84" s="116"/>
      <c r="K84" s="116"/>
      <c r="L84" s="116"/>
      <c r="M84" s="116"/>
      <c r="N84" s="116"/>
      <c r="O84" s="116"/>
      <c r="P84" s="116"/>
      <c r="Q84" s="116"/>
      <c r="R84" s="116"/>
    </row>
    <row r="85" spans="2:24" x14ac:dyDescent="0.25">
      <c r="B85" s="49" t="s">
        <v>401</v>
      </c>
      <c r="C85" s="96">
        <f>+('HOUSE EST MODEL 1'!C85*9)+('HOUSE EST MODEL 2'!C85*19)+('HOUSE EST MODEL 3'!C85*29)</f>
        <v>86</v>
      </c>
      <c r="D85" s="87" t="s">
        <v>324</v>
      </c>
      <c r="E85" s="11">
        <f>+SPECS!I49</f>
        <v>204.17400000000004</v>
      </c>
      <c r="F85" s="108">
        <f t="shared" si="12"/>
        <v>17558.964000000004</v>
      </c>
      <c r="H85" s="149" t="s">
        <v>437</v>
      </c>
      <c r="I85" s="152">
        <f>+F95+R83</f>
        <v>5224512.2244000006</v>
      </c>
      <c r="J85" s="116"/>
      <c r="K85" s="116"/>
      <c r="L85" s="116"/>
      <c r="M85" s="116"/>
      <c r="N85" s="116"/>
      <c r="O85" s="116"/>
      <c r="P85" s="116"/>
      <c r="Q85" s="116"/>
      <c r="R85" s="116"/>
    </row>
    <row r="86" spans="2:24" x14ac:dyDescent="0.25">
      <c r="B86" s="48" t="s">
        <v>402</v>
      </c>
      <c r="C86" s="99"/>
      <c r="D86" s="48"/>
      <c r="E86" s="48"/>
      <c r="F86" s="66"/>
      <c r="R86">
        <f>+R83/F1</f>
        <v>66.285787977067983</v>
      </c>
    </row>
    <row r="87" spans="2:24" x14ac:dyDescent="0.25">
      <c r="B87" s="49" t="s">
        <v>403</v>
      </c>
      <c r="C87" s="96">
        <f>+('HOUSE EST MODEL 1'!C87*9)+('HOUSE EST MODEL 2'!C87*19)+('HOUSE EST MODEL 3'!C87*29)</f>
        <v>134</v>
      </c>
      <c r="D87" t="s">
        <v>324</v>
      </c>
      <c r="E87" s="11">
        <f>+SPECS!I31</f>
        <v>41.040000000000006</v>
      </c>
      <c r="F87" s="108">
        <f t="shared" ref="F87:F94" si="17">+C87*E87</f>
        <v>5499.3600000000006</v>
      </c>
    </row>
    <row r="88" spans="2:24" x14ac:dyDescent="0.25">
      <c r="B88" s="49" t="s">
        <v>404</v>
      </c>
      <c r="C88" s="96">
        <f>+('HOUSE EST MODEL 1'!C88*9)+('HOUSE EST MODEL 2'!C88*19)+('HOUSE EST MODEL 3'!C88*29)</f>
        <v>800</v>
      </c>
      <c r="D88" t="s">
        <v>324</v>
      </c>
      <c r="E88" s="11">
        <f>+SPECS!I33</f>
        <v>17.917200000000001</v>
      </c>
      <c r="F88" s="108">
        <f t="shared" si="17"/>
        <v>14333.76</v>
      </c>
    </row>
    <row r="89" spans="2:24" x14ac:dyDescent="0.25">
      <c r="B89" s="49" t="s">
        <v>405</v>
      </c>
      <c r="C89" s="96">
        <f>+('HOUSE EST MODEL 1'!C89*9)+('HOUSE EST MODEL 2'!C89*19)+('HOUSE EST MODEL 3'!C89*29)</f>
        <v>114</v>
      </c>
      <c r="D89" t="s">
        <v>324</v>
      </c>
      <c r="E89" s="11">
        <f>+SPECS!I34</f>
        <v>81.183600000000013</v>
      </c>
      <c r="F89" s="108">
        <f t="shared" si="17"/>
        <v>9254.9304000000011</v>
      </c>
      <c r="K89" s="11">
        <f>+I85/57</f>
        <v>91658.109200000006</v>
      </c>
    </row>
    <row r="90" spans="2:24" x14ac:dyDescent="0.25">
      <c r="B90" s="49" t="s">
        <v>406</v>
      </c>
      <c r="C90" s="96">
        <f>+('HOUSE EST MODEL 1'!C90*9)+('HOUSE EST MODEL 2'!C90*19)+('HOUSE EST MODEL 3'!C90*29)</f>
        <v>57</v>
      </c>
      <c r="D90" t="s">
        <v>324</v>
      </c>
      <c r="E90" s="11">
        <f>+SPECS!I32</f>
        <v>21.578400000000002</v>
      </c>
      <c r="F90" s="108">
        <f t="shared" si="17"/>
        <v>1229.9688000000001</v>
      </c>
    </row>
    <row r="91" spans="2:24" x14ac:dyDescent="0.25">
      <c r="B91" s="49" t="s">
        <v>407</v>
      </c>
      <c r="C91" s="96">
        <f>+('HOUSE EST MODEL 1'!C91*9)+('HOUSE EST MODEL 2'!C91*19)+('HOUSE EST MODEL 3'!C91*29)</f>
        <v>86</v>
      </c>
      <c r="D91" t="s">
        <v>324</v>
      </c>
      <c r="E91" s="11">
        <f>+SPECS!I56</f>
        <v>25.92</v>
      </c>
      <c r="F91" s="108">
        <f t="shared" si="17"/>
        <v>2229.1200000000003</v>
      </c>
    </row>
    <row r="92" spans="2:24" x14ac:dyDescent="0.25">
      <c r="B92" s="49" t="s">
        <v>408</v>
      </c>
      <c r="C92" s="96">
        <f>+('HOUSE EST MODEL 1'!C92*9)+('HOUSE EST MODEL 2'!C92*19)+('HOUSE EST MODEL 3'!C92*29)</f>
        <v>668</v>
      </c>
      <c r="D92" t="s">
        <v>324</v>
      </c>
      <c r="E92" s="11">
        <f>+SPECS!I51</f>
        <v>2.4084000000000003</v>
      </c>
      <c r="F92" s="108">
        <f t="shared" si="17"/>
        <v>1608.8112000000001</v>
      </c>
    </row>
    <row r="93" spans="2:24" x14ac:dyDescent="0.25">
      <c r="B93" s="49" t="s">
        <v>409</v>
      </c>
      <c r="C93" s="96">
        <f>+('HOUSE EST MODEL 1'!C93*9)+('HOUSE EST MODEL 2'!C93*19)+('HOUSE EST MODEL 3'!C93*29)</f>
        <v>668</v>
      </c>
      <c r="D93" t="s">
        <v>324</v>
      </c>
      <c r="E93" s="11">
        <f>+SPECS!I52</f>
        <v>2.5099999999999998</v>
      </c>
      <c r="F93" s="108">
        <f t="shared" si="17"/>
        <v>1676.6799999999998</v>
      </c>
    </row>
    <row r="94" spans="2:24" x14ac:dyDescent="0.25">
      <c r="B94" s="49" t="s">
        <v>410</v>
      </c>
      <c r="C94" s="96">
        <f>+('HOUSE EST MODEL 1'!C94*9)+('HOUSE EST MODEL 2'!C94*19)+('HOUSE EST MODEL 3'!C94*29)</f>
        <v>114</v>
      </c>
      <c r="D94" t="s">
        <v>324</v>
      </c>
      <c r="E94" s="11">
        <f>+SPECS!I57</f>
        <v>16.491600000000002</v>
      </c>
      <c r="F94" s="108">
        <f t="shared" si="17"/>
        <v>1880.0424000000003</v>
      </c>
    </row>
    <row r="95" spans="2:24" x14ac:dyDescent="0.25">
      <c r="B95" s="58" t="s">
        <v>438</v>
      </c>
      <c r="C95" s="97"/>
      <c r="D95" s="58"/>
      <c r="E95" s="58"/>
      <c r="F95" s="67">
        <f>SUM(F3:F94)</f>
        <v>3201138.5463999999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C30A0-ADA5-4A23-A79B-E2E0A38CA726}">
  <dimension ref="B2:F52"/>
  <sheetViews>
    <sheetView workbookViewId="0"/>
    <sheetView workbookViewId="1">
      <selection activeCell="I11" sqref="I11"/>
    </sheetView>
  </sheetViews>
  <sheetFormatPr baseColWidth="10" defaultColWidth="11.42578125" defaultRowHeight="15" x14ac:dyDescent="0.25"/>
  <cols>
    <col min="2" max="2" width="40.42578125" bestFit="1" customWidth="1"/>
    <col min="6" max="6" width="12.85546875" bestFit="1" customWidth="1"/>
  </cols>
  <sheetData>
    <row r="2" spans="2:6" x14ac:dyDescent="0.25">
      <c r="B2" s="58" t="s">
        <v>322</v>
      </c>
      <c r="C2" s="59" t="s">
        <v>414</v>
      </c>
      <c r="D2" s="76" t="s">
        <v>415</v>
      </c>
      <c r="E2" s="76" t="s">
        <v>416</v>
      </c>
      <c r="F2" s="64" t="s">
        <v>326</v>
      </c>
    </row>
    <row r="3" spans="2:6" x14ac:dyDescent="0.25">
      <c r="B3" s="74" t="s">
        <v>442</v>
      </c>
      <c r="C3" s="80">
        <v>10</v>
      </c>
      <c r="D3" s="93">
        <v>3</v>
      </c>
      <c r="E3" s="79">
        <v>2126.2058333333334</v>
      </c>
      <c r="F3" s="75">
        <v>191358.52500000002</v>
      </c>
    </row>
    <row r="4" spans="2:6" x14ac:dyDescent="0.25">
      <c r="B4" s="74" t="s">
        <v>442</v>
      </c>
      <c r="C4" s="80">
        <v>10</v>
      </c>
      <c r="D4" s="93">
        <v>4</v>
      </c>
      <c r="E4" s="79">
        <v>1762.055625</v>
      </c>
      <c r="F4" s="75">
        <v>281928.90000000002</v>
      </c>
    </row>
    <row r="5" spans="2:6" x14ac:dyDescent="0.25">
      <c r="B5" s="74" t="s">
        <v>441</v>
      </c>
      <c r="C5" s="80">
        <v>16</v>
      </c>
      <c r="D5" s="93">
        <v>3</v>
      </c>
      <c r="E5" s="79">
        <v>2126.2058333333334</v>
      </c>
      <c r="F5" s="75">
        <v>306173.64</v>
      </c>
    </row>
    <row r="6" spans="2:6" x14ac:dyDescent="0.25">
      <c r="B6" s="74" t="s">
        <v>441</v>
      </c>
      <c r="C6" s="80">
        <v>16</v>
      </c>
      <c r="D6" s="93">
        <v>4</v>
      </c>
      <c r="E6" s="79">
        <v>1762.055625</v>
      </c>
      <c r="F6" s="75">
        <v>451086.24</v>
      </c>
    </row>
    <row r="7" spans="2:6" x14ac:dyDescent="0.25">
      <c r="B7" s="49" t="s">
        <v>429</v>
      </c>
      <c r="C7" s="80">
        <v>16</v>
      </c>
      <c r="D7" s="93">
        <v>1.5</v>
      </c>
      <c r="E7" s="79">
        <v>2241.6666666666665</v>
      </c>
      <c r="F7" s="75">
        <v>80700</v>
      </c>
    </row>
    <row r="8" spans="2:6" x14ac:dyDescent="0.25">
      <c r="B8" s="49" t="s">
        <v>429</v>
      </c>
      <c r="C8" s="80">
        <v>16</v>
      </c>
      <c r="D8" s="93">
        <v>0.5</v>
      </c>
      <c r="E8" s="79">
        <v>2641</v>
      </c>
      <c r="F8" s="75">
        <v>10564</v>
      </c>
    </row>
    <row r="9" spans="2:6" x14ac:dyDescent="0.25">
      <c r="B9" s="74" t="s">
        <v>457</v>
      </c>
      <c r="C9" s="80">
        <v>10</v>
      </c>
      <c r="D9" s="93">
        <v>2</v>
      </c>
      <c r="E9" s="79">
        <v>1260.5075000000002</v>
      </c>
      <c r="F9" s="75">
        <v>50420.3</v>
      </c>
    </row>
    <row r="10" spans="2:6" x14ac:dyDescent="0.25">
      <c r="B10" s="74" t="s">
        <v>463</v>
      </c>
      <c r="C10" s="80">
        <v>10</v>
      </c>
      <c r="D10" s="93">
        <v>0.33333333333333331</v>
      </c>
      <c r="E10" s="79">
        <v>1026</v>
      </c>
      <c r="F10" s="75">
        <v>1140</v>
      </c>
    </row>
    <row r="11" spans="2:6" x14ac:dyDescent="0.25">
      <c r="B11" s="74" t="s">
        <v>463</v>
      </c>
      <c r="C11" s="80">
        <v>10</v>
      </c>
      <c r="D11" s="93">
        <v>0.33333333333333331</v>
      </c>
      <c r="E11" s="79">
        <v>774</v>
      </c>
      <c r="F11" s="75">
        <v>860</v>
      </c>
    </row>
    <row r="12" spans="2:6" x14ac:dyDescent="0.25">
      <c r="B12" s="74" t="s">
        <v>463</v>
      </c>
      <c r="C12" s="80">
        <v>10</v>
      </c>
      <c r="D12" s="93">
        <v>0.33333333333333331</v>
      </c>
      <c r="E12" s="79">
        <v>384.75</v>
      </c>
      <c r="F12" s="75">
        <v>427.5</v>
      </c>
    </row>
    <row r="13" spans="2:6" x14ac:dyDescent="0.25">
      <c r="B13" s="74" t="s">
        <v>448</v>
      </c>
      <c r="C13" s="80">
        <v>10</v>
      </c>
      <c r="D13" s="93">
        <v>0.5</v>
      </c>
      <c r="E13" s="79">
        <v>1702.9920000000002</v>
      </c>
      <c r="F13" s="75">
        <v>4257.4800000000005</v>
      </c>
    </row>
    <row r="14" spans="2:6" x14ac:dyDescent="0.25">
      <c r="B14" s="74" t="s">
        <v>448</v>
      </c>
      <c r="C14" s="80">
        <v>10</v>
      </c>
      <c r="D14" s="93">
        <v>0.5</v>
      </c>
      <c r="E14" s="79">
        <v>319.2</v>
      </c>
      <c r="F14" s="75">
        <v>798</v>
      </c>
    </row>
    <row r="15" spans="2:6" x14ac:dyDescent="0.25">
      <c r="B15" s="74" t="s">
        <v>454</v>
      </c>
      <c r="C15" s="80">
        <v>10</v>
      </c>
      <c r="D15" s="93">
        <v>2</v>
      </c>
      <c r="E15" s="79">
        <v>1499.3325000000002</v>
      </c>
      <c r="F15" s="75">
        <v>59973.30000000001</v>
      </c>
    </row>
    <row r="16" spans="2:6" x14ac:dyDescent="0.25">
      <c r="B16" s="49" t="s">
        <v>449</v>
      </c>
      <c r="C16" s="80">
        <v>10</v>
      </c>
      <c r="D16" s="93">
        <v>2</v>
      </c>
      <c r="E16" s="79">
        <v>1681.25</v>
      </c>
      <c r="F16" s="75">
        <v>67250</v>
      </c>
    </row>
    <row r="17" spans="2:6" x14ac:dyDescent="0.25">
      <c r="B17" s="49" t="s">
        <v>449</v>
      </c>
      <c r="C17" s="80">
        <v>10</v>
      </c>
      <c r="D17" s="93">
        <v>1</v>
      </c>
      <c r="E17" s="79">
        <v>1320.5</v>
      </c>
      <c r="F17" s="75">
        <v>13205</v>
      </c>
    </row>
    <row r="18" spans="2:6" x14ac:dyDescent="0.25">
      <c r="B18" s="74" t="s">
        <v>459</v>
      </c>
      <c r="C18" s="80">
        <v>10</v>
      </c>
      <c r="D18" s="93">
        <v>1</v>
      </c>
      <c r="E18" s="79">
        <v>1950.92</v>
      </c>
      <c r="F18" s="75">
        <v>19509.2</v>
      </c>
    </row>
    <row r="19" spans="2:6" x14ac:dyDescent="0.25">
      <c r="B19" s="74" t="s">
        <v>465</v>
      </c>
      <c r="C19" s="80">
        <v>10</v>
      </c>
      <c r="D19" s="93">
        <v>0.5</v>
      </c>
      <c r="E19" s="79">
        <v>1018</v>
      </c>
      <c r="F19" s="75">
        <v>2545</v>
      </c>
    </row>
    <row r="20" spans="2:6" x14ac:dyDescent="0.25">
      <c r="B20" s="74" t="s">
        <v>465</v>
      </c>
      <c r="C20" s="80">
        <v>10</v>
      </c>
      <c r="D20" s="93">
        <v>0.5</v>
      </c>
      <c r="E20" s="79">
        <v>456</v>
      </c>
      <c r="F20" s="75">
        <v>1140</v>
      </c>
    </row>
    <row r="21" spans="2:6" x14ac:dyDescent="0.25">
      <c r="B21" s="74" t="s">
        <v>452</v>
      </c>
      <c r="C21" s="80">
        <v>10</v>
      </c>
      <c r="D21" s="93">
        <v>1</v>
      </c>
      <c r="E21" s="79">
        <v>1365.75</v>
      </c>
      <c r="F21" s="75">
        <v>13657.5</v>
      </c>
    </row>
    <row r="22" spans="2:6" x14ac:dyDescent="0.25">
      <c r="B22" s="74" t="s">
        <v>467</v>
      </c>
      <c r="C22" s="80">
        <v>10</v>
      </c>
      <c r="D22" s="93">
        <v>1</v>
      </c>
      <c r="E22" s="79">
        <v>763.125</v>
      </c>
      <c r="F22" s="75">
        <v>7631.25</v>
      </c>
    </row>
    <row r="23" spans="2:6" x14ac:dyDescent="0.25">
      <c r="B23" s="74" t="s">
        <v>467</v>
      </c>
      <c r="C23" s="80">
        <v>10</v>
      </c>
      <c r="D23" s="93">
        <v>1</v>
      </c>
      <c r="E23" s="79">
        <v>234.625</v>
      </c>
      <c r="F23" s="75">
        <v>2346.25</v>
      </c>
    </row>
    <row r="24" spans="2:6" x14ac:dyDescent="0.25">
      <c r="B24" s="74" t="s">
        <v>461</v>
      </c>
      <c r="C24" s="80">
        <v>10</v>
      </c>
      <c r="D24" s="93">
        <v>0.5</v>
      </c>
      <c r="E24" s="79">
        <v>1429.1100000000001</v>
      </c>
      <c r="F24" s="75">
        <v>3572.7750000000005</v>
      </c>
    </row>
    <row r="25" spans="2:6" x14ac:dyDescent="0.25">
      <c r="B25" s="74" t="s">
        <v>461</v>
      </c>
      <c r="C25" s="80">
        <v>10</v>
      </c>
      <c r="D25" s="93">
        <v>0.5</v>
      </c>
      <c r="E25" s="79">
        <v>270.18</v>
      </c>
      <c r="F25" s="75">
        <v>675.45</v>
      </c>
    </row>
    <row r="26" spans="2:6" x14ac:dyDescent="0.25">
      <c r="B26" s="74" t="s">
        <v>446</v>
      </c>
      <c r="C26" s="80">
        <v>10</v>
      </c>
      <c r="D26" s="93">
        <v>0.5</v>
      </c>
      <c r="E26" s="79">
        <v>668</v>
      </c>
      <c r="F26" s="75">
        <v>1670</v>
      </c>
    </row>
    <row r="27" spans="2:6" x14ac:dyDescent="0.25">
      <c r="B27" s="74" t="s">
        <v>446</v>
      </c>
      <c r="C27" s="80">
        <v>10</v>
      </c>
      <c r="D27" s="93">
        <v>1.5</v>
      </c>
      <c r="E27" s="79">
        <v>1883</v>
      </c>
      <c r="F27" s="75">
        <v>42367.5</v>
      </c>
    </row>
    <row r="28" spans="2:6" x14ac:dyDescent="0.25">
      <c r="B28" s="74" t="s">
        <v>450</v>
      </c>
      <c r="C28" s="80">
        <v>30</v>
      </c>
      <c r="D28" s="93">
        <v>1</v>
      </c>
      <c r="E28" s="79">
        <v>1368</v>
      </c>
      <c r="F28" s="75">
        <v>41040</v>
      </c>
    </row>
    <row r="29" spans="2:6" x14ac:dyDescent="0.25">
      <c r="B29" s="74" t="s">
        <v>450</v>
      </c>
      <c r="C29" s="80">
        <v>30</v>
      </c>
      <c r="D29" s="93">
        <v>1</v>
      </c>
      <c r="E29" s="79">
        <v>1368</v>
      </c>
      <c r="F29" s="75">
        <v>41040</v>
      </c>
    </row>
    <row r="30" spans="2:6" x14ac:dyDescent="0.25">
      <c r="B30" s="74" t="s">
        <v>462</v>
      </c>
      <c r="C30" s="80">
        <v>16</v>
      </c>
      <c r="D30" s="93">
        <v>0.33333333333333331</v>
      </c>
      <c r="E30" s="79">
        <v>1026</v>
      </c>
      <c r="F30" s="75">
        <v>1824</v>
      </c>
    </row>
    <row r="31" spans="2:6" x14ac:dyDescent="0.25">
      <c r="B31" s="74" t="s">
        <v>462</v>
      </c>
      <c r="C31" s="80">
        <v>16</v>
      </c>
      <c r="D31" s="93">
        <v>0.33333333333333331</v>
      </c>
      <c r="E31" s="79">
        <v>774</v>
      </c>
      <c r="F31" s="75">
        <v>1376</v>
      </c>
    </row>
    <row r="32" spans="2:6" x14ac:dyDescent="0.25">
      <c r="B32" s="74" t="s">
        <v>462</v>
      </c>
      <c r="C32" s="80">
        <v>16</v>
      </c>
      <c r="D32" s="93">
        <v>0.33333333333333331</v>
      </c>
      <c r="E32" s="79">
        <v>384.75</v>
      </c>
      <c r="F32" s="75">
        <v>684</v>
      </c>
    </row>
    <row r="33" spans="2:6" x14ac:dyDescent="0.25">
      <c r="B33" s="74" t="s">
        <v>455</v>
      </c>
      <c r="C33" s="80">
        <v>16</v>
      </c>
      <c r="D33" s="93">
        <v>0.5</v>
      </c>
      <c r="E33" s="79">
        <v>2027.1999999999998</v>
      </c>
      <c r="F33" s="75">
        <v>8108.7999999999993</v>
      </c>
    </row>
    <row r="34" spans="2:6" x14ac:dyDescent="0.25">
      <c r="B34" s="74" t="s">
        <v>455</v>
      </c>
      <c r="C34" s="80">
        <v>10</v>
      </c>
      <c r="D34" s="93">
        <v>0.5</v>
      </c>
      <c r="E34" s="79">
        <v>2027.1999999999998</v>
      </c>
      <c r="F34" s="75">
        <v>5068</v>
      </c>
    </row>
    <row r="35" spans="2:6" x14ac:dyDescent="0.25">
      <c r="B35" s="74" t="s">
        <v>447</v>
      </c>
      <c r="C35" s="80">
        <v>16</v>
      </c>
      <c r="D35" s="93">
        <v>0.5</v>
      </c>
      <c r="E35" s="79">
        <v>1702.9920000000002</v>
      </c>
      <c r="F35" s="75">
        <v>6811.9680000000008</v>
      </c>
    </row>
    <row r="36" spans="2:6" x14ac:dyDescent="0.25">
      <c r="B36" s="74" t="s">
        <v>447</v>
      </c>
      <c r="C36" s="80">
        <v>16</v>
      </c>
      <c r="D36" s="93">
        <v>0.5</v>
      </c>
      <c r="E36" s="79">
        <v>319.2</v>
      </c>
      <c r="F36" s="75">
        <v>1276.8</v>
      </c>
    </row>
    <row r="37" spans="2:6" x14ac:dyDescent="0.25">
      <c r="B37" s="74" t="s">
        <v>453</v>
      </c>
      <c r="C37" s="80">
        <v>16</v>
      </c>
      <c r="D37" s="93">
        <v>2</v>
      </c>
      <c r="E37" s="79">
        <v>1499.3325000000002</v>
      </c>
      <c r="F37" s="75">
        <v>95957.280000000013</v>
      </c>
    </row>
    <row r="38" spans="2:6" x14ac:dyDescent="0.25">
      <c r="B38" s="74" t="s">
        <v>458</v>
      </c>
      <c r="C38" s="80">
        <v>16</v>
      </c>
      <c r="D38" s="93">
        <v>1</v>
      </c>
      <c r="E38" s="79">
        <v>1950.92</v>
      </c>
      <c r="F38" s="75">
        <v>31214.720000000001</v>
      </c>
    </row>
    <row r="39" spans="2:6" x14ac:dyDescent="0.25">
      <c r="B39" s="74" t="s">
        <v>464</v>
      </c>
      <c r="C39" s="80">
        <v>16</v>
      </c>
      <c r="D39" s="93">
        <v>0.5</v>
      </c>
      <c r="E39" s="79">
        <v>1018</v>
      </c>
      <c r="F39" s="75">
        <v>4072</v>
      </c>
    </row>
    <row r="40" spans="2:6" x14ac:dyDescent="0.25">
      <c r="B40" s="74" t="s">
        <v>464</v>
      </c>
      <c r="C40" s="80">
        <v>16</v>
      </c>
      <c r="D40" s="93">
        <v>0.5</v>
      </c>
      <c r="E40" s="79">
        <v>456</v>
      </c>
      <c r="F40" s="75">
        <v>1824</v>
      </c>
    </row>
    <row r="41" spans="2:6" x14ac:dyDescent="0.25">
      <c r="B41" s="74" t="s">
        <v>451</v>
      </c>
      <c r="C41" s="80">
        <v>16</v>
      </c>
      <c r="D41" s="93">
        <v>1</v>
      </c>
      <c r="E41" s="79">
        <v>1365.75</v>
      </c>
      <c r="F41" s="75">
        <v>21852</v>
      </c>
    </row>
    <row r="42" spans="2:6" x14ac:dyDescent="0.25">
      <c r="B42" s="74" t="s">
        <v>456</v>
      </c>
      <c r="C42" s="80">
        <v>16</v>
      </c>
      <c r="D42" s="93">
        <v>1</v>
      </c>
      <c r="E42" s="79">
        <v>2521.0150000000003</v>
      </c>
      <c r="F42" s="75">
        <v>40336.240000000005</v>
      </c>
    </row>
    <row r="43" spans="2:6" x14ac:dyDescent="0.25">
      <c r="B43" s="74" t="s">
        <v>466</v>
      </c>
      <c r="C43" s="80">
        <v>16</v>
      </c>
      <c r="D43" s="93">
        <v>0.5</v>
      </c>
      <c r="E43" s="79">
        <v>773</v>
      </c>
      <c r="F43" s="75">
        <v>3092</v>
      </c>
    </row>
    <row r="44" spans="2:6" x14ac:dyDescent="0.25">
      <c r="B44" s="74" t="s">
        <v>466</v>
      </c>
      <c r="C44" s="80">
        <v>10</v>
      </c>
      <c r="D44" s="93">
        <v>0.5</v>
      </c>
      <c r="E44" s="79">
        <v>773</v>
      </c>
      <c r="F44" s="75">
        <v>1932.5</v>
      </c>
    </row>
    <row r="45" spans="2:6" x14ac:dyDescent="0.25">
      <c r="B45" s="74" t="s">
        <v>460</v>
      </c>
      <c r="C45" s="80">
        <v>16</v>
      </c>
      <c r="D45" s="93">
        <v>0.5</v>
      </c>
      <c r="E45" s="79">
        <v>1429.1100000000001</v>
      </c>
      <c r="F45" s="75">
        <v>5716.4400000000005</v>
      </c>
    </row>
    <row r="46" spans="2:6" x14ac:dyDescent="0.25">
      <c r="B46" s="74" t="s">
        <v>460</v>
      </c>
      <c r="C46" s="80">
        <v>16</v>
      </c>
      <c r="D46" s="93">
        <v>0.5</v>
      </c>
      <c r="E46" s="79">
        <v>270.18</v>
      </c>
      <c r="F46" s="75">
        <v>1080.72</v>
      </c>
    </row>
    <row r="47" spans="2:6" x14ac:dyDescent="0.25">
      <c r="B47" s="74" t="s">
        <v>445</v>
      </c>
      <c r="C47" s="80">
        <v>16</v>
      </c>
      <c r="D47" s="93">
        <v>0.5</v>
      </c>
      <c r="E47" s="79">
        <v>668</v>
      </c>
      <c r="F47" s="75">
        <v>2672</v>
      </c>
    </row>
    <row r="48" spans="2:6" x14ac:dyDescent="0.25">
      <c r="B48" s="74" t="s">
        <v>445</v>
      </c>
      <c r="C48" s="80">
        <v>16</v>
      </c>
      <c r="D48" s="93">
        <v>1.5</v>
      </c>
      <c r="E48" s="79">
        <v>1883</v>
      </c>
      <c r="F48" s="75">
        <v>67788</v>
      </c>
    </row>
    <row r="49" spans="2:6" x14ac:dyDescent="0.25">
      <c r="B49" s="74" t="s">
        <v>428</v>
      </c>
      <c r="C49" s="80">
        <v>16</v>
      </c>
      <c r="D49" s="93">
        <v>0.5</v>
      </c>
      <c r="E49" s="79">
        <v>1920.8000000000002</v>
      </c>
      <c r="F49" s="75">
        <v>7683.2000000000007</v>
      </c>
    </row>
    <row r="50" spans="2:6" x14ac:dyDescent="0.25">
      <c r="B50" s="74" t="s">
        <v>428</v>
      </c>
      <c r="C50" s="80">
        <v>16</v>
      </c>
      <c r="D50" s="93">
        <v>0.5</v>
      </c>
      <c r="E50" s="79">
        <v>1920.8000000000002</v>
      </c>
      <c r="F50" s="75">
        <v>7683.2000000000007</v>
      </c>
    </row>
    <row r="51" spans="2:6" x14ac:dyDescent="0.25">
      <c r="B51" s="74" t="s">
        <v>443</v>
      </c>
      <c r="C51" s="80">
        <v>16</v>
      </c>
      <c r="D51" s="93">
        <v>0.5</v>
      </c>
      <c r="E51" s="79">
        <v>1526.25</v>
      </c>
      <c r="F51" s="75">
        <v>6105</v>
      </c>
    </row>
    <row r="52" spans="2:6" x14ac:dyDescent="0.25">
      <c r="B52" s="74" t="s">
        <v>443</v>
      </c>
      <c r="C52" s="80">
        <v>16</v>
      </c>
      <c r="D52" s="93">
        <v>0.5</v>
      </c>
      <c r="E52" s="79">
        <v>469.25</v>
      </c>
      <c r="F52" s="75">
        <v>1877</v>
      </c>
    </row>
  </sheetData>
  <autoFilter ref="B2:F52" xr:uid="{C51C30A0-ADA5-4A23-A79B-E2E0A38CA726}">
    <sortState xmlns:xlrd2="http://schemas.microsoft.com/office/spreadsheetml/2017/richdata2" ref="B3:F52">
      <sortCondition ref="B2:B52"/>
    </sortState>
  </autoFilter>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3BB3E-9F65-47CA-A89E-12CD89805475}">
  <dimension ref="A3:E32"/>
  <sheetViews>
    <sheetView workbookViewId="0"/>
    <sheetView workbookViewId="1">
      <selection activeCell="E39" sqref="E39"/>
    </sheetView>
  </sheetViews>
  <sheetFormatPr baseColWidth="10" defaultColWidth="11.42578125" defaultRowHeight="15" x14ac:dyDescent="0.25"/>
  <cols>
    <col min="1" max="1" width="31.140625" bestFit="1" customWidth="1"/>
    <col min="2" max="2" width="29.42578125" style="11" bestFit="1" customWidth="1"/>
    <col min="3" max="3" width="15.28515625" bestFit="1" customWidth="1"/>
    <col min="4" max="4" width="15.7109375" style="95" bestFit="1" customWidth="1"/>
    <col min="5" max="5" width="17.5703125" style="13" bestFit="1" customWidth="1"/>
  </cols>
  <sheetData>
    <row r="3" spans="1:5" x14ac:dyDescent="0.25">
      <c r="A3" s="100" t="s">
        <v>468</v>
      </c>
      <c r="B3" s="11" t="s">
        <v>469</v>
      </c>
      <c r="C3" t="s">
        <v>470</v>
      </c>
      <c r="D3" s="95" t="s">
        <v>471</v>
      </c>
      <c r="E3" s="13" t="s">
        <v>472</v>
      </c>
    </row>
    <row r="4" spans="1:5" x14ac:dyDescent="0.25">
      <c r="A4" s="101" t="s">
        <v>442</v>
      </c>
      <c r="B4" s="11">
        <v>10</v>
      </c>
      <c r="C4">
        <v>7</v>
      </c>
      <c r="D4" s="95">
        <v>3888.2614583333334</v>
      </c>
      <c r="E4" s="13">
        <v>473287.42500000005</v>
      </c>
    </row>
    <row r="5" spans="1:5" x14ac:dyDescent="0.25">
      <c r="A5" s="101" t="s">
        <v>441</v>
      </c>
      <c r="B5" s="11">
        <v>16</v>
      </c>
      <c r="C5">
        <v>7</v>
      </c>
      <c r="D5" s="95">
        <v>3888.2614583333334</v>
      </c>
      <c r="E5" s="13">
        <v>757259.88</v>
      </c>
    </row>
    <row r="6" spans="1:5" x14ac:dyDescent="0.25">
      <c r="A6" s="101" t="s">
        <v>429</v>
      </c>
      <c r="B6" s="11">
        <v>16</v>
      </c>
      <c r="C6">
        <v>2</v>
      </c>
      <c r="D6" s="95">
        <v>4882.6666666666661</v>
      </c>
      <c r="E6" s="13">
        <v>91264</v>
      </c>
    </row>
    <row r="7" spans="1:5" x14ac:dyDescent="0.25">
      <c r="A7" s="101" t="s">
        <v>457</v>
      </c>
      <c r="B7" s="11">
        <v>10</v>
      </c>
      <c r="C7">
        <v>2</v>
      </c>
      <c r="D7" s="95">
        <v>1260.5075000000002</v>
      </c>
      <c r="E7" s="13">
        <v>50420.3</v>
      </c>
    </row>
    <row r="8" spans="1:5" x14ac:dyDescent="0.25">
      <c r="A8" s="101" t="s">
        <v>463</v>
      </c>
      <c r="B8" s="11">
        <v>10</v>
      </c>
      <c r="C8">
        <v>1</v>
      </c>
      <c r="D8" s="95">
        <v>2184.75</v>
      </c>
      <c r="E8" s="13">
        <v>2427.5</v>
      </c>
    </row>
    <row r="9" spans="1:5" x14ac:dyDescent="0.25">
      <c r="A9" s="101" t="s">
        <v>448</v>
      </c>
      <c r="B9" s="11">
        <v>10</v>
      </c>
      <c r="C9">
        <v>1</v>
      </c>
      <c r="D9" s="95">
        <v>2022.1920000000002</v>
      </c>
      <c r="E9" s="13">
        <v>5055.4800000000005</v>
      </c>
    </row>
    <row r="10" spans="1:5" x14ac:dyDescent="0.25">
      <c r="A10" s="101" t="s">
        <v>454</v>
      </c>
      <c r="B10" s="11">
        <v>10</v>
      </c>
      <c r="C10">
        <v>2</v>
      </c>
      <c r="D10" s="95">
        <v>1499.3325000000002</v>
      </c>
      <c r="E10" s="13">
        <v>59973.30000000001</v>
      </c>
    </row>
    <row r="11" spans="1:5" x14ac:dyDescent="0.25">
      <c r="A11" s="101" t="s">
        <v>449</v>
      </c>
      <c r="B11" s="11">
        <v>10</v>
      </c>
      <c r="C11">
        <v>3</v>
      </c>
      <c r="D11" s="95">
        <v>3001.75</v>
      </c>
      <c r="E11" s="13">
        <v>80455</v>
      </c>
    </row>
    <row r="12" spans="1:5" x14ac:dyDescent="0.25">
      <c r="A12" s="101" t="s">
        <v>459</v>
      </c>
      <c r="B12" s="11">
        <v>10</v>
      </c>
      <c r="C12">
        <v>1</v>
      </c>
      <c r="D12" s="95">
        <v>1950.92</v>
      </c>
      <c r="E12" s="13">
        <v>19509.2</v>
      </c>
    </row>
    <row r="13" spans="1:5" x14ac:dyDescent="0.25">
      <c r="A13" s="101" t="s">
        <v>465</v>
      </c>
      <c r="B13" s="11">
        <v>10</v>
      </c>
      <c r="C13">
        <v>1</v>
      </c>
      <c r="D13" s="95">
        <v>1474</v>
      </c>
      <c r="E13" s="13">
        <v>3685</v>
      </c>
    </row>
    <row r="14" spans="1:5" x14ac:dyDescent="0.25">
      <c r="A14" s="101" t="s">
        <v>452</v>
      </c>
      <c r="B14" s="11">
        <v>10</v>
      </c>
      <c r="C14">
        <v>1</v>
      </c>
      <c r="D14" s="95">
        <v>1365.75</v>
      </c>
      <c r="E14" s="13">
        <v>13657.5</v>
      </c>
    </row>
    <row r="15" spans="1:5" x14ac:dyDescent="0.25">
      <c r="A15" s="101" t="s">
        <v>467</v>
      </c>
      <c r="B15" s="11">
        <v>10</v>
      </c>
      <c r="C15">
        <v>2</v>
      </c>
      <c r="D15" s="95">
        <v>997.75</v>
      </c>
      <c r="E15" s="13">
        <v>9977.5</v>
      </c>
    </row>
    <row r="16" spans="1:5" x14ac:dyDescent="0.25">
      <c r="A16" s="101" t="s">
        <v>461</v>
      </c>
      <c r="B16" s="11">
        <v>10</v>
      </c>
      <c r="C16">
        <v>1</v>
      </c>
      <c r="D16" s="95">
        <v>1699.2900000000002</v>
      </c>
      <c r="E16" s="13">
        <v>4248.2250000000004</v>
      </c>
    </row>
    <row r="17" spans="1:5" x14ac:dyDescent="0.25">
      <c r="A17" s="101" t="s">
        <v>446</v>
      </c>
      <c r="B17" s="11">
        <v>10</v>
      </c>
      <c r="C17">
        <v>2</v>
      </c>
      <c r="D17" s="95">
        <v>2551</v>
      </c>
      <c r="E17" s="13">
        <v>44037.5</v>
      </c>
    </row>
    <row r="18" spans="1:5" x14ac:dyDescent="0.25">
      <c r="A18" s="101" t="s">
        <v>450</v>
      </c>
      <c r="B18" s="11">
        <v>30</v>
      </c>
      <c r="C18">
        <v>2</v>
      </c>
      <c r="D18" s="95">
        <v>2736</v>
      </c>
      <c r="E18" s="13">
        <v>82080</v>
      </c>
    </row>
    <row r="19" spans="1:5" x14ac:dyDescent="0.25">
      <c r="A19" s="101" t="s">
        <v>462</v>
      </c>
      <c r="B19" s="11">
        <v>16</v>
      </c>
      <c r="C19">
        <v>1</v>
      </c>
      <c r="D19" s="95">
        <v>2184.75</v>
      </c>
      <c r="E19" s="13">
        <v>3884</v>
      </c>
    </row>
    <row r="20" spans="1:5" x14ac:dyDescent="0.25">
      <c r="A20" s="101" t="s">
        <v>455</v>
      </c>
      <c r="B20" s="11">
        <v>13</v>
      </c>
      <c r="C20">
        <v>1</v>
      </c>
      <c r="D20" s="95">
        <v>4054.3999999999996</v>
      </c>
      <c r="E20" s="13">
        <v>13176.8</v>
      </c>
    </row>
    <row r="21" spans="1:5" x14ac:dyDescent="0.25">
      <c r="A21" s="101" t="s">
        <v>447</v>
      </c>
      <c r="B21" s="11">
        <v>16</v>
      </c>
      <c r="C21">
        <v>1</v>
      </c>
      <c r="D21" s="95">
        <v>2022.1920000000002</v>
      </c>
      <c r="E21" s="13">
        <v>8088.7680000000009</v>
      </c>
    </row>
    <row r="22" spans="1:5" x14ac:dyDescent="0.25">
      <c r="A22" s="101" t="s">
        <v>453</v>
      </c>
      <c r="B22" s="11">
        <v>16</v>
      </c>
      <c r="C22">
        <v>2</v>
      </c>
      <c r="D22" s="95">
        <v>1499.3325000000002</v>
      </c>
      <c r="E22" s="13">
        <v>95957.280000000013</v>
      </c>
    </row>
    <row r="23" spans="1:5" x14ac:dyDescent="0.25">
      <c r="A23" s="101" t="s">
        <v>458</v>
      </c>
      <c r="B23" s="11">
        <v>16</v>
      </c>
      <c r="C23">
        <v>1</v>
      </c>
      <c r="D23" s="95">
        <v>1950.92</v>
      </c>
      <c r="E23" s="13">
        <v>31214.720000000001</v>
      </c>
    </row>
    <row r="24" spans="1:5" x14ac:dyDescent="0.25">
      <c r="A24" s="101" t="s">
        <v>464</v>
      </c>
      <c r="B24" s="11">
        <v>16</v>
      </c>
      <c r="C24">
        <v>1</v>
      </c>
      <c r="D24" s="95">
        <v>1474</v>
      </c>
      <c r="E24" s="13">
        <v>5896</v>
      </c>
    </row>
    <row r="25" spans="1:5" x14ac:dyDescent="0.25">
      <c r="A25" s="101" t="s">
        <v>451</v>
      </c>
      <c r="B25" s="11">
        <v>16</v>
      </c>
      <c r="C25">
        <v>1</v>
      </c>
      <c r="D25" s="95">
        <v>1365.75</v>
      </c>
      <c r="E25" s="13">
        <v>21852</v>
      </c>
    </row>
    <row r="26" spans="1:5" x14ac:dyDescent="0.25">
      <c r="A26" s="101" t="s">
        <v>456</v>
      </c>
      <c r="B26" s="11">
        <v>16</v>
      </c>
      <c r="C26">
        <v>1</v>
      </c>
      <c r="D26" s="95">
        <v>2521.0150000000003</v>
      </c>
      <c r="E26" s="13">
        <v>40336.240000000005</v>
      </c>
    </row>
    <row r="27" spans="1:5" x14ac:dyDescent="0.25">
      <c r="A27" s="101" t="s">
        <v>466</v>
      </c>
      <c r="B27" s="11">
        <v>13</v>
      </c>
      <c r="C27">
        <v>1</v>
      </c>
      <c r="D27" s="95">
        <v>1546</v>
      </c>
      <c r="E27" s="13">
        <v>5024.5</v>
      </c>
    </row>
    <row r="28" spans="1:5" x14ac:dyDescent="0.25">
      <c r="A28" s="101" t="s">
        <v>460</v>
      </c>
      <c r="B28" s="11">
        <v>16</v>
      </c>
      <c r="C28">
        <v>1</v>
      </c>
      <c r="D28" s="95">
        <v>1699.2900000000002</v>
      </c>
      <c r="E28" s="13">
        <v>6797.1600000000008</v>
      </c>
    </row>
    <row r="29" spans="1:5" x14ac:dyDescent="0.25">
      <c r="A29" s="101" t="s">
        <v>445</v>
      </c>
      <c r="B29" s="11">
        <v>16</v>
      </c>
      <c r="C29">
        <v>2</v>
      </c>
      <c r="D29" s="95">
        <v>2551</v>
      </c>
      <c r="E29" s="13">
        <v>70460</v>
      </c>
    </row>
    <row r="30" spans="1:5" x14ac:dyDescent="0.25">
      <c r="A30" s="101" t="s">
        <v>428</v>
      </c>
      <c r="B30" s="11">
        <v>16</v>
      </c>
      <c r="C30">
        <v>1</v>
      </c>
      <c r="D30" s="95">
        <v>3841.6000000000004</v>
      </c>
      <c r="E30" s="13">
        <v>15366.400000000001</v>
      </c>
    </row>
    <row r="31" spans="1:5" x14ac:dyDescent="0.25">
      <c r="A31" s="101" t="s">
        <v>443</v>
      </c>
      <c r="B31" s="11">
        <v>16</v>
      </c>
      <c r="C31">
        <v>1</v>
      </c>
      <c r="D31" s="95">
        <v>1995.5</v>
      </c>
      <c r="E31" s="13">
        <v>7982</v>
      </c>
    </row>
    <row r="32" spans="1:5" x14ac:dyDescent="0.25">
      <c r="A32" s="101" t="s">
        <v>473</v>
      </c>
      <c r="B32" s="11">
        <v>13.8</v>
      </c>
      <c r="C32">
        <v>50.000000000000007</v>
      </c>
      <c r="D32" s="95">
        <v>64108.181083333322</v>
      </c>
      <c r="E32" s="13">
        <v>2023373.6780000001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997"/>
  <sheetViews>
    <sheetView workbookViewId="0"/>
    <sheetView workbookViewId="1"/>
  </sheetViews>
  <sheetFormatPr baseColWidth="10" defaultColWidth="14.42578125" defaultRowHeight="15" customHeight="1" x14ac:dyDescent="0.25"/>
  <cols>
    <col min="1" max="1" width="35.5703125" bestFit="1" customWidth="1"/>
    <col min="2" max="2" width="59.5703125" bestFit="1" customWidth="1"/>
    <col min="3" max="3" width="37.28515625" customWidth="1"/>
    <col min="4" max="4" width="14.140625" customWidth="1"/>
    <col min="5" max="5" width="14.42578125" style="11"/>
  </cols>
  <sheetData>
    <row r="1" spans="1:6" x14ac:dyDescent="0.25">
      <c r="A1" s="1" t="s">
        <v>202</v>
      </c>
      <c r="B1" s="1" t="s">
        <v>203</v>
      </c>
      <c r="C1" s="1" t="s">
        <v>204</v>
      </c>
      <c r="D1" s="1" t="s">
        <v>205</v>
      </c>
      <c r="E1" s="1">
        <v>2121</v>
      </c>
    </row>
    <row r="2" spans="1:6" x14ac:dyDescent="0.25">
      <c r="A2" s="2" t="s">
        <v>206</v>
      </c>
      <c r="B2" s="2"/>
      <c r="C2" s="2"/>
      <c r="D2" s="3">
        <f>SUM(D3:D7)</f>
        <v>12081.17</v>
      </c>
      <c r="E2" s="3">
        <f>+D2/$E$1</f>
        <v>5.6959783121169263</v>
      </c>
    </row>
    <row r="3" spans="1:6" x14ac:dyDescent="0.25">
      <c r="A3" s="4" t="s">
        <v>207</v>
      </c>
      <c r="B3" s="4" t="s">
        <v>208</v>
      </c>
      <c r="C3" s="4"/>
      <c r="D3" s="5">
        <v>2500</v>
      </c>
      <c r="E3" s="11">
        <f t="shared" ref="E3:E51" si="0">+D3/$E$1</f>
        <v>1.1786892975011787</v>
      </c>
    </row>
    <row r="4" spans="1:6" x14ac:dyDescent="0.25">
      <c r="A4" s="4" t="s">
        <v>209</v>
      </c>
      <c r="B4" s="4" t="s">
        <v>210</v>
      </c>
      <c r="C4" s="4"/>
      <c r="D4" s="5">
        <v>2500</v>
      </c>
      <c r="E4" s="11">
        <f t="shared" si="0"/>
        <v>1.1786892975011787</v>
      </c>
    </row>
    <row r="5" spans="1:6" x14ac:dyDescent="0.25">
      <c r="A5" s="4" t="s">
        <v>211</v>
      </c>
      <c r="B5" s="4" t="s">
        <v>212</v>
      </c>
      <c r="C5" s="4"/>
      <c r="D5" s="5">
        <v>2100</v>
      </c>
      <c r="E5" s="11">
        <f t="shared" si="0"/>
        <v>0.99009900990099009</v>
      </c>
    </row>
    <row r="6" spans="1:6" x14ac:dyDescent="0.25">
      <c r="A6" s="4" t="s">
        <v>213</v>
      </c>
      <c r="B6" s="4" t="s">
        <v>214</v>
      </c>
      <c r="C6" s="4"/>
      <c r="D6" s="5">
        <v>1920</v>
      </c>
      <c r="E6" s="11">
        <f t="shared" si="0"/>
        <v>0.90523338048090518</v>
      </c>
    </row>
    <row r="7" spans="1:6" x14ac:dyDescent="0.25">
      <c r="A7" s="4" t="s">
        <v>215</v>
      </c>
      <c r="B7" s="4" t="s">
        <v>216</v>
      </c>
      <c r="C7" s="4"/>
      <c r="D7" s="5">
        <v>3061.17</v>
      </c>
      <c r="E7" s="11">
        <f t="shared" si="0"/>
        <v>1.4432673267326732</v>
      </c>
    </row>
    <row r="8" spans="1:6" x14ac:dyDescent="0.25">
      <c r="A8" s="2" t="s">
        <v>217</v>
      </c>
      <c r="B8" s="2"/>
      <c r="C8" s="2"/>
      <c r="D8" s="3">
        <f>SUM(D9:D11)</f>
        <v>98000</v>
      </c>
      <c r="E8" s="3">
        <f t="shared" si="0"/>
        <v>46.204620462046208</v>
      </c>
    </row>
    <row r="9" spans="1:6" x14ac:dyDescent="0.25">
      <c r="A9" s="4" t="s">
        <v>218</v>
      </c>
      <c r="B9" s="4" t="s">
        <v>219</v>
      </c>
      <c r="C9" s="4" t="s">
        <v>220</v>
      </c>
      <c r="D9" s="5">
        <v>33000</v>
      </c>
      <c r="E9" s="11">
        <f t="shared" si="0"/>
        <v>15.558698727015559</v>
      </c>
    </row>
    <row r="10" spans="1:6" x14ac:dyDescent="0.25">
      <c r="A10" s="4" t="s">
        <v>221</v>
      </c>
      <c r="B10" s="4" t="s">
        <v>222</v>
      </c>
      <c r="C10" s="4"/>
      <c r="D10" s="5">
        <v>25000</v>
      </c>
      <c r="E10" s="11">
        <f t="shared" si="0"/>
        <v>11.786892975011787</v>
      </c>
      <c r="F10" s="12"/>
    </row>
    <row r="11" spans="1:6" x14ac:dyDescent="0.25">
      <c r="A11" s="4" t="s">
        <v>221</v>
      </c>
      <c r="B11" s="4" t="s">
        <v>223</v>
      </c>
      <c r="C11" s="4"/>
      <c r="D11" s="5">
        <v>40000</v>
      </c>
      <c r="E11" s="11">
        <f t="shared" si="0"/>
        <v>18.859028760018859</v>
      </c>
      <c r="F11" s="13"/>
    </row>
    <row r="12" spans="1:6" x14ac:dyDescent="0.25">
      <c r="A12" s="2" t="s">
        <v>2</v>
      </c>
      <c r="B12" s="2"/>
      <c r="C12" s="2"/>
      <c r="D12" s="3">
        <f>SUM(D13:D20)</f>
        <v>63250</v>
      </c>
      <c r="E12" s="3">
        <f t="shared" si="0"/>
        <v>29.820839226779821</v>
      </c>
    </row>
    <row r="13" spans="1:6" x14ac:dyDescent="0.25">
      <c r="A13" s="4" t="s">
        <v>224</v>
      </c>
      <c r="B13" s="4" t="s">
        <v>225</v>
      </c>
      <c r="C13" s="4" t="s">
        <v>226</v>
      </c>
      <c r="D13" s="5">
        <v>6800</v>
      </c>
      <c r="E13" s="11">
        <f t="shared" si="0"/>
        <v>3.206034889203206</v>
      </c>
    </row>
    <row r="14" spans="1:6" x14ac:dyDescent="0.25">
      <c r="A14" s="4" t="s">
        <v>227</v>
      </c>
      <c r="B14" s="4" t="s">
        <v>228</v>
      </c>
      <c r="C14" s="4"/>
      <c r="D14" s="5">
        <v>2800</v>
      </c>
      <c r="E14" s="11">
        <f t="shared" si="0"/>
        <v>1.3201320132013201</v>
      </c>
    </row>
    <row r="15" spans="1:6" x14ac:dyDescent="0.25">
      <c r="A15" s="4" t="s">
        <v>229</v>
      </c>
      <c r="B15" s="4" t="s">
        <v>230</v>
      </c>
      <c r="C15" s="4"/>
      <c r="D15" s="5">
        <v>8000</v>
      </c>
      <c r="E15" s="11">
        <f t="shared" si="0"/>
        <v>3.7718057520037718</v>
      </c>
    </row>
    <row r="16" spans="1:6" x14ac:dyDescent="0.25">
      <c r="A16" s="4" t="s">
        <v>231</v>
      </c>
      <c r="B16" s="4" t="s">
        <v>232</v>
      </c>
      <c r="C16" s="4" t="s">
        <v>233</v>
      </c>
      <c r="D16" s="5">
        <v>15000</v>
      </c>
      <c r="E16" s="11">
        <f t="shared" si="0"/>
        <v>7.0721357850070721</v>
      </c>
    </row>
    <row r="17" spans="1:5" x14ac:dyDescent="0.25">
      <c r="A17" s="4" t="s">
        <v>234</v>
      </c>
      <c r="B17" s="4" t="s">
        <v>235</v>
      </c>
      <c r="C17" s="4" t="s">
        <v>236</v>
      </c>
      <c r="D17" s="5">
        <v>23000</v>
      </c>
      <c r="E17" s="11">
        <f t="shared" si="0"/>
        <v>10.843941537010844</v>
      </c>
    </row>
    <row r="18" spans="1:5" ht="15.75" customHeight="1" x14ac:dyDescent="0.25">
      <c r="A18" s="4" t="s">
        <v>237</v>
      </c>
      <c r="B18" s="4" t="s">
        <v>238</v>
      </c>
      <c r="C18" s="4"/>
      <c r="D18" s="5">
        <v>3350</v>
      </c>
      <c r="E18" s="11">
        <f t="shared" si="0"/>
        <v>1.5794436586515794</v>
      </c>
    </row>
    <row r="19" spans="1:5" x14ac:dyDescent="0.25">
      <c r="A19" s="4" t="s">
        <v>239</v>
      </c>
      <c r="B19" s="4" t="s">
        <v>240</v>
      </c>
      <c r="C19" s="6" t="s">
        <v>241</v>
      </c>
      <c r="D19" s="5">
        <v>2500</v>
      </c>
      <c r="E19" s="11">
        <f t="shared" si="0"/>
        <v>1.1786892975011787</v>
      </c>
    </row>
    <row r="20" spans="1:5" ht="15.75" customHeight="1" x14ac:dyDescent="0.25">
      <c r="A20" s="4" t="s">
        <v>242</v>
      </c>
      <c r="B20" s="4" t="s">
        <v>243</v>
      </c>
      <c r="C20" s="4" t="s">
        <v>244</v>
      </c>
      <c r="D20" s="5">
        <v>1800</v>
      </c>
      <c r="E20" s="11">
        <f t="shared" si="0"/>
        <v>0.84865629420084865</v>
      </c>
    </row>
    <row r="21" spans="1:5" ht="15.75" customHeight="1" x14ac:dyDescent="0.25">
      <c r="A21" s="2" t="s">
        <v>245</v>
      </c>
      <c r="B21" s="2"/>
      <c r="C21" s="2"/>
      <c r="D21" s="3">
        <f>SUM(D22:D27)</f>
        <v>43800</v>
      </c>
      <c r="E21" s="3">
        <f t="shared" si="0"/>
        <v>20.650636492220652</v>
      </c>
    </row>
    <row r="22" spans="1:5" ht="15.75" customHeight="1" x14ac:dyDescent="0.25">
      <c r="A22" s="4" t="s">
        <v>246</v>
      </c>
      <c r="B22" s="4" t="s">
        <v>247</v>
      </c>
      <c r="C22" s="4" t="s">
        <v>248</v>
      </c>
      <c r="D22" s="5">
        <v>15200</v>
      </c>
      <c r="E22" s="11">
        <f t="shared" si="0"/>
        <v>7.1664309288071664</v>
      </c>
    </row>
    <row r="23" spans="1:5" x14ac:dyDescent="0.25">
      <c r="A23" s="4" t="s">
        <v>249</v>
      </c>
      <c r="B23" s="4" t="s">
        <v>250</v>
      </c>
      <c r="C23" s="4" t="s">
        <v>251</v>
      </c>
      <c r="D23" s="5">
        <v>1500</v>
      </c>
      <c r="E23" s="11">
        <f t="shared" si="0"/>
        <v>0.70721357850070721</v>
      </c>
    </row>
    <row r="24" spans="1:5" ht="15.75" customHeight="1" x14ac:dyDescent="0.25">
      <c r="A24" s="4" t="s">
        <v>252</v>
      </c>
      <c r="B24" s="4" t="s">
        <v>253</v>
      </c>
      <c r="C24" s="4" t="s">
        <v>254</v>
      </c>
      <c r="D24" s="5">
        <v>12000</v>
      </c>
      <c r="E24" s="11">
        <f t="shared" si="0"/>
        <v>5.6577086280056577</v>
      </c>
    </row>
    <row r="25" spans="1:5" x14ac:dyDescent="0.25">
      <c r="A25" s="4" t="s">
        <v>255</v>
      </c>
      <c r="B25" s="4" t="s">
        <v>256</v>
      </c>
      <c r="C25" s="4" t="s">
        <v>257</v>
      </c>
      <c r="D25" s="5">
        <v>1500</v>
      </c>
      <c r="E25" s="11">
        <f t="shared" si="0"/>
        <v>0.70721357850070721</v>
      </c>
    </row>
    <row r="26" spans="1:5" ht="15.75" customHeight="1" x14ac:dyDescent="0.25">
      <c r="A26" s="7" t="s">
        <v>258</v>
      </c>
      <c r="B26" s="7" t="s">
        <v>259</v>
      </c>
      <c r="C26" s="7"/>
      <c r="D26" s="8">
        <v>12000</v>
      </c>
      <c r="E26" s="11">
        <f t="shared" si="0"/>
        <v>5.6577086280056577</v>
      </c>
    </row>
    <row r="27" spans="1:5" ht="15.75" customHeight="1" x14ac:dyDescent="0.25">
      <c r="A27" s="102" t="s">
        <v>260</v>
      </c>
      <c r="B27" s="102" t="s">
        <v>261</v>
      </c>
      <c r="C27" s="102"/>
      <c r="D27" s="103">
        <v>1600</v>
      </c>
      <c r="E27" s="11">
        <f t="shared" si="0"/>
        <v>0.75436115040075435</v>
      </c>
    </row>
    <row r="28" spans="1:5" ht="15.75" customHeight="1" x14ac:dyDescent="0.25">
      <c r="A28" s="102" t="s">
        <v>262</v>
      </c>
      <c r="B28" s="102" t="s">
        <v>261</v>
      </c>
      <c r="C28" s="102"/>
      <c r="D28" s="103">
        <v>2200</v>
      </c>
      <c r="E28" s="11">
        <f t="shared" si="0"/>
        <v>1.0372465818010372</v>
      </c>
    </row>
    <row r="29" spans="1:5" ht="15.75" customHeight="1" x14ac:dyDescent="0.25">
      <c r="A29" s="9" t="s">
        <v>263</v>
      </c>
      <c r="B29" s="9"/>
      <c r="C29" s="9"/>
      <c r="D29" s="14">
        <f>SUM(D30:D45)</f>
        <v>91300</v>
      </c>
      <c r="E29" s="14">
        <f t="shared" si="0"/>
        <v>43.045733144743046</v>
      </c>
    </row>
    <row r="30" spans="1:5" ht="15.75" customHeight="1" x14ac:dyDescent="0.25">
      <c r="A30" s="4" t="s">
        <v>264</v>
      </c>
      <c r="B30" s="4" t="s">
        <v>265</v>
      </c>
      <c r="C30" s="4"/>
      <c r="D30" s="5">
        <v>4000</v>
      </c>
      <c r="E30" s="11">
        <f t="shared" si="0"/>
        <v>1.8859028760018859</v>
      </c>
    </row>
    <row r="31" spans="1:5" ht="15.75" customHeight="1" x14ac:dyDescent="0.25">
      <c r="A31" s="4" t="s">
        <v>266</v>
      </c>
      <c r="B31" s="4" t="s">
        <v>267</v>
      </c>
      <c r="C31" s="4"/>
      <c r="D31" s="5">
        <v>12000</v>
      </c>
      <c r="E31" s="11">
        <f t="shared" si="0"/>
        <v>5.6577086280056577</v>
      </c>
    </row>
    <row r="32" spans="1:5" ht="15.75" customHeight="1" x14ac:dyDescent="0.25">
      <c r="A32" s="4" t="s">
        <v>268</v>
      </c>
      <c r="B32" s="4" t="s">
        <v>269</v>
      </c>
      <c r="C32" s="4"/>
      <c r="D32" s="5">
        <v>5500</v>
      </c>
      <c r="E32" s="11">
        <f t="shared" si="0"/>
        <v>2.5931164545025931</v>
      </c>
    </row>
    <row r="33" spans="1:5" x14ac:dyDescent="0.25">
      <c r="A33" s="4" t="s">
        <v>270</v>
      </c>
      <c r="B33" s="4" t="s">
        <v>271</v>
      </c>
      <c r="C33" s="4" t="s">
        <v>272</v>
      </c>
      <c r="D33" s="5">
        <v>15000</v>
      </c>
      <c r="E33" s="11">
        <f t="shared" si="0"/>
        <v>7.0721357850070721</v>
      </c>
    </row>
    <row r="34" spans="1:5" x14ac:dyDescent="0.25">
      <c r="A34" s="4" t="s">
        <v>273</v>
      </c>
      <c r="B34" s="4" t="s">
        <v>274</v>
      </c>
      <c r="C34" s="4" t="s">
        <v>275</v>
      </c>
      <c r="D34" s="5">
        <v>6000</v>
      </c>
      <c r="E34" s="11">
        <f t="shared" si="0"/>
        <v>2.8288543140028288</v>
      </c>
    </row>
    <row r="35" spans="1:5" x14ac:dyDescent="0.25">
      <c r="A35" s="4" t="s">
        <v>276</v>
      </c>
      <c r="B35" s="4" t="s">
        <v>277</v>
      </c>
      <c r="C35" s="4" t="s">
        <v>278</v>
      </c>
      <c r="D35" s="5">
        <v>6000</v>
      </c>
      <c r="E35" s="11">
        <f t="shared" si="0"/>
        <v>2.8288543140028288</v>
      </c>
    </row>
    <row r="36" spans="1:5" x14ac:dyDescent="0.25">
      <c r="A36" s="4" t="s">
        <v>279</v>
      </c>
      <c r="B36" s="4" t="s">
        <v>280</v>
      </c>
      <c r="C36" s="4" t="s">
        <v>281</v>
      </c>
      <c r="D36" s="5">
        <v>12000</v>
      </c>
      <c r="E36" s="11">
        <f t="shared" si="0"/>
        <v>5.6577086280056577</v>
      </c>
    </row>
    <row r="37" spans="1:5" x14ac:dyDescent="0.25">
      <c r="A37" s="4" t="s">
        <v>282</v>
      </c>
      <c r="B37" s="4" t="s">
        <v>283</v>
      </c>
      <c r="C37" s="4" t="s">
        <v>284</v>
      </c>
      <c r="D37" s="5">
        <v>8000</v>
      </c>
      <c r="E37" s="11">
        <f t="shared" si="0"/>
        <v>3.7718057520037718</v>
      </c>
    </row>
    <row r="38" spans="1:5" ht="15.75" customHeight="1" x14ac:dyDescent="0.25">
      <c r="A38" s="4" t="s">
        <v>285</v>
      </c>
      <c r="B38" s="4" t="s">
        <v>286</v>
      </c>
      <c r="C38" s="4"/>
      <c r="D38" s="5">
        <v>1800</v>
      </c>
      <c r="E38" s="11">
        <f t="shared" si="0"/>
        <v>0.84865629420084865</v>
      </c>
    </row>
    <row r="39" spans="1:5" ht="15.75" customHeight="1" x14ac:dyDescent="0.25">
      <c r="A39" s="4" t="s">
        <v>287</v>
      </c>
      <c r="B39" s="4" t="s">
        <v>288</v>
      </c>
      <c r="C39" s="4" t="s">
        <v>289</v>
      </c>
      <c r="D39" s="5">
        <v>4500</v>
      </c>
      <c r="E39" s="11">
        <f t="shared" si="0"/>
        <v>2.1216407355021216</v>
      </c>
    </row>
    <row r="40" spans="1:5" x14ac:dyDescent="0.25">
      <c r="A40" s="4" t="s">
        <v>290</v>
      </c>
      <c r="B40" s="4" t="s">
        <v>291</v>
      </c>
      <c r="C40" s="4" t="s">
        <v>292</v>
      </c>
      <c r="D40" s="5">
        <v>4500</v>
      </c>
      <c r="E40" s="11">
        <f t="shared" si="0"/>
        <v>2.1216407355021216</v>
      </c>
    </row>
    <row r="41" spans="1:5" ht="15.75" customHeight="1" x14ac:dyDescent="0.25">
      <c r="A41" s="4" t="s">
        <v>293</v>
      </c>
      <c r="B41" s="4" t="s">
        <v>294</v>
      </c>
      <c r="C41" s="4" t="s">
        <v>295</v>
      </c>
      <c r="D41" s="5">
        <v>500</v>
      </c>
      <c r="E41" s="11">
        <f t="shared" si="0"/>
        <v>0.23573785950023574</v>
      </c>
    </row>
    <row r="42" spans="1:5" ht="15.75" customHeight="1" x14ac:dyDescent="0.25">
      <c r="A42" s="4" t="s">
        <v>296</v>
      </c>
      <c r="B42" s="4" t="s">
        <v>297</v>
      </c>
      <c r="C42" s="4" t="s">
        <v>298</v>
      </c>
      <c r="D42" s="5">
        <v>5000</v>
      </c>
      <c r="E42" s="11">
        <f t="shared" si="0"/>
        <v>2.3573785950023574</v>
      </c>
    </row>
    <row r="43" spans="1:5" x14ac:dyDescent="0.25">
      <c r="A43" s="4" t="s">
        <v>299</v>
      </c>
      <c r="B43" s="4" t="s">
        <v>300</v>
      </c>
      <c r="C43" s="4" t="s">
        <v>301</v>
      </c>
      <c r="D43" s="5">
        <v>200</v>
      </c>
      <c r="E43" s="11">
        <f t="shared" si="0"/>
        <v>9.4295143800094294E-2</v>
      </c>
    </row>
    <row r="44" spans="1:5" ht="15.75" customHeight="1" x14ac:dyDescent="0.25">
      <c r="A44" s="4" t="s">
        <v>302</v>
      </c>
      <c r="B44" s="4" t="s">
        <v>303</v>
      </c>
      <c r="C44" s="4"/>
      <c r="D44" s="5">
        <v>1300</v>
      </c>
      <c r="E44" s="11">
        <f t="shared" si="0"/>
        <v>0.61291843470061291</v>
      </c>
    </row>
    <row r="45" spans="1:5" ht="15.75" customHeight="1" x14ac:dyDescent="0.25">
      <c r="A45" s="4" t="s">
        <v>304</v>
      </c>
      <c r="B45" s="4" t="s">
        <v>305</v>
      </c>
      <c r="C45" s="4" t="s">
        <v>306</v>
      </c>
      <c r="D45" s="5">
        <v>5000</v>
      </c>
      <c r="E45" s="11">
        <f t="shared" si="0"/>
        <v>2.3573785950023574</v>
      </c>
    </row>
    <row r="46" spans="1:5" ht="15.75" customHeight="1" x14ac:dyDescent="0.25">
      <c r="A46" s="2" t="s">
        <v>307</v>
      </c>
      <c r="B46" s="2"/>
      <c r="C46" s="2"/>
      <c r="D46" s="3">
        <f>SUM(D47:D50)</f>
        <v>15800</v>
      </c>
      <c r="E46" s="3">
        <f t="shared" si="0"/>
        <v>7.4493163602074493</v>
      </c>
    </row>
    <row r="47" spans="1:5" ht="15.75" customHeight="1" x14ac:dyDescent="0.25">
      <c r="A47" s="4" t="s">
        <v>308</v>
      </c>
      <c r="B47" s="4" t="s">
        <v>309</v>
      </c>
      <c r="C47" s="4"/>
      <c r="D47" s="5">
        <v>6500</v>
      </c>
      <c r="E47" s="11">
        <f t="shared" si="0"/>
        <v>3.0645921735030646</v>
      </c>
    </row>
    <row r="48" spans="1:5" ht="15.75" customHeight="1" x14ac:dyDescent="0.25">
      <c r="A48" s="4" t="s">
        <v>310</v>
      </c>
      <c r="B48" s="4" t="s">
        <v>311</v>
      </c>
      <c r="C48" s="4" t="s">
        <v>312</v>
      </c>
      <c r="D48" s="5">
        <v>8000</v>
      </c>
      <c r="E48" s="11">
        <f t="shared" si="0"/>
        <v>3.7718057520037718</v>
      </c>
    </row>
    <row r="49" spans="1:5" ht="15.75" customHeight="1" x14ac:dyDescent="0.25">
      <c r="A49" s="4" t="s">
        <v>313</v>
      </c>
      <c r="B49" s="4" t="s">
        <v>314</v>
      </c>
      <c r="C49" s="4" t="s">
        <v>315</v>
      </c>
      <c r="D49" s="5">
        <v>500</v>
      </c>
      <c r="E49" s="11">
        <f t="shared" si="0"/>
        <v>0.23573785950023574</v>
      </c>
    </row>
    <row r="50" spans="1:5" ht="15.75" customHeight="1" x14ac:dyDescent="0.25">
      <c r="A50" s="4" t="s">
        <v>316</v>
      </c>
      <c r="B50" s="4" t="s">
        <v>317</v>
      </c>
      <c r="C50" s="4"/>
      <c r="D50" s="5">
        <v>800</v>
      </c>
      <c r="E50" s="11">
        <f t="shared" si="0"/>
        <v>0.37718057520037718</v>
      </c>
    </row>
    <row r="51" spans="1:5" ht="15.75" customHeight="1" x14ac:dyDescent="0.25">
      <c r="A51" s="2" t="s">
        <v>318</v>
      </c>
      <c r="B51" s="2"/>
      <c r="C51" s="2"/>
      <c r="D51" s="3">
        <f>+D2+D8+D12+D21+D29+D46</f>
        <v>324231.17</v>
      </c>
      <c r="E51" s="3">
        <f t="shared" si="0"/>
        <v>152.8671239981141</v>
      </c>
    </row>
    <row r="52" spans="1:5" ht="15.75" customHeight="1" x14ac:dyDescent="0.25">
      <c r="A52" s="10" t="s">
        <v>319</v>
      </c>
    </row>
    <row r="53" spans="1:5" ht="15.75" customHeight="1" x14ac:dyDescent="0.25">
      <c r="A53" s="10"/>
    </row>
    <row r="54" spans="1:5" ht="15.75" customHeight="1" x14ac:dyDescent="0.25"/>
    <row r="55" spans="1:5" ht="15.75" customHeight="1" x14ac:dyDescent="0.25"/>
    <row r="56" spans="1:5" ht="15.75" customHeight="1" x14ac:dyDescent="0.25"/>
    <row r="57" spans="1:5" ht="15.75" customHeight="1" x14ac:dyDescent="0.25"/>
    <row r="58" spans="1:5" ht="15.75" customHeight="1" x14ac:dyDescent="0.25"/>
    <row r="59" spans="1:5" ht="15.75" customHeight="1" x14ac:dyDescent="0.25"/>
    <row r="60" spans="1:5" ht="15.75" customHeight="1" x14ac:dyDescent="0.25"/>
    <row r="61" spans="1:5" ht="15.75" customHeight="1" x14ac:dyDescent="0.25"/>
    <row r="62" spans="1:5" ht="15.75" customHeight="1" x14ac:dyDescent="0.25"/>
    <row r="63" spans="1:5" ht="15.75" customHeight="1" x14ac:dyDescent="0.25"/>
    <row r="64" spans="1:5"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sheetData>
  <autoFilter ref="A1:E52" xr:uid="{00000000-0001-0000-0000-000000000000}"/>
  <phoneticPr fontId="6" type="noConversion"/>
  <pageMargins left="0.7" right="0.7" top="0.75" bottom="0.75" header="0" footer="0"/>
  <pageSetup paperSize="9" scale="63" orientation="landscape" r:id="rId1"/>
  <rowBreaks count="1" manualBreakCount="1">
    <brk id="28"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95224-51C5-4B8E-886C-DA223A547655}">
  <dimension ref="A1:F990"/>
  <sheetViews>
    <sheetView workbookViewId="0"/>
    <sheetView workbookViewId="1"/>
  </sheetViews>
  <sheetFormatPr baseColWidth="10" defaultColWidth="14.42578125" defaultRowHeight="15" customHeight="1" x14ac:dyDescent="0.25"/>
  <cols>
    <col min="1" max="1" width="35.5703125" bestFit="1" customWidth="1"/>
    <col min="2" max="2" width="53.5703125" customWidth="1"/>
    <col min="3" max="3" width="41.7109375" customWidth="1"/>
    <col min="4" max="4" width="14.140625" customWidth="1"/>
    <col min="5" max="5" width="14.42578125" style="11"/>
  </cols>
  <sheetData>
    <row r="1" spans="1:6" x14ac:dyDescent="0.25">
      <c r="A1" s="1" t="s">
        <v>202</v>
      </c>
      <c r="B1" s="1" t="s">
        <v>203</v>
      </c>
      <c r="C1" s="1" t="s">
        <v>204</v>
      </c>
      <c r="D1" s="19" t="s">
        <v>205</v>
      </c>
      <c r="E1" s="23">
        <v>2121</v>
      </c>
    </row>
    <row r="2" spans="1:6" x14ac:dyDescent="0.25">
      <c r="A2" s="4" t="s">
        <v>221</v>
      </c>
      <c r="B2" s="4" t="s">
        <v>223</v>
      </c>
      <c r="C2" s="4"/>
      <c r="D2" s="20">
        <v>40000</v>
      </c>
      <c r="E2" s="24">
        <f t="shared" ref="E2:E44" si="0">+D2/$E$1</f>
        <v>18.859028760018859</v>
      </c>
    </row>
    <row r="3" spans="1:6" x14ac:dyDescent="0.25">
      <c r="A3" s="4" t="s">
        <v>218</v>
      </c>
      <c r="B3" s="4" t="s">
        <v>219</v>
      </c>
      <c r="C3" s="4" t="s">
        <v>220</v>
      </c>
      <c r="D3" s="20">
        <v>33000</v>
      </c>
      <c r="E3" s="24">
        <f t="shared" si="0"/>
        <v>15.558698727015559</v>
      </c>
    </row>
    <row r="4" spans="1:6" x14ac:dyDescent="0.25">
      <c r="A4" s="4" t="s">
        <v>221</v>
      </c>
      <c r="B4" s="4" t="s">
        <v>222</v>
      </c>
      <c r="C4" s="4"/>
      <c r="D4" s="20">
        <v>25000</v>
      </c>
      <c r="E4" s="24">
        <f t="shared" si="0"/>
        <v>11.786892975011787</v>
      </c>
    </row>
    <row r="5" spans="1:6" x14ac:dyDescent="0.25">
      <c r="A5" s="4" t="s">
        <v>234</v>
      </c>
      <c r="B5" s="4" t="s">
        <v>235</v>
      </c>
      <c r="C5" s="4" t="s">
        <v>236</v>
      </c>
      <c r="D5" s="20">
        <v>23000</v>
      </c>
      <c r="E5" s="24">
        <f t="shared" si="0"/>
        <v>10.843941537010844</v>
      </c>
    </row>
    <row r="6" spans="1:6" x14ac:dyDescent="0.25">
      <c r="A6" s="4" t="s">
        <v>246</v>
      </c>
      <c r="B6" s="4" t="s">
        <v>247</v>
      </c>
      <c r="C6" s="4" t="s">
        <v>248</v>
      </c>
      <c r="D6" s="20">
        <v>15200</v>
      </c>
      <c r="E6" s="24">
        <f t="shared" si="0"/>
        <v>7.1664309288071664</v>
      </c>
    </row>
    <row r="7" spans="1:6" x14ac:dyDescent="0.25">
      <c r="A7" s="4" t="s">
        <v>231</v>
      </c>
      <c r="B7" s="4" t="s">
        <v>232</v>
      </c>
      <c r="C7" s="4" t="s">
        <v>233</v>
      </c>
      <c r="D7" s="20">
        <v>15000</v>
      </c>
      <c r="E7" s="24">
        <f t="shared" si="0"/>
        <v>7.0721357850070721</v>
      </c>
      <c r="F7" s="12"/>
    </row>
    <row r="8" spans="1:6" x14ac:dyDescent="0.25">
      <c r="A8" s="4" t="s">
        <v>270</v>
      </c>
      <c r="B8" s="4" t="s">
        <v>271</v>
      </c>
      <c r="C8" s="4" t="s">
        <v>272</v>
      </c>
      <c r="D8" s="20">
        <v>15000</v>
      </c>
      <c r="E8" s="24">
        <f t="shared" si="0"/>
        <v>7.0721357850070721</v>
      </c>
      <c r="F8" s="13"/>
    </row>
    <row r="9" spans="1:6" x14ac:dyDescent="0.25">
      <c r="A9" s="4" t="s">
        <v>252</v>
      </c>
      <c r="B9" s="4" t="s">
        <v>253</v>
      </c>
      <c r="C9" s="4" t="s">
        <v>254</v>
      </c>
      <c r="D9" s="20">
        <v>12000</v>
      </c>
      <c r="E9" s="24">
        <f t="shared" si="0"/>
        <v>5.6577086280056577</v>
      </c>
    </row>
    <row r="10" spans="1:6" x14ac:dyDescent="0.25">
      <c r="A10" s="4" t="s">
        <v>258</v>
      </c>
      <c r="B10" s="4" t="s">
        <v>259</v>
      </c>
      <c r="C10" s="4"/>
      <c r="D10" s="20">
        <v>12000</v>
      </c>
      <c r="E10" s="24">
        <f t="shared" si="0"/>
        <v>5.6577086280056577</v>
      </c>
    </row>
    <row r="11" spans="1:6" x14ac:dyDescent="0.25">
      <c r="A11" s="4" t="s">
        <v>266</v>
      </c>
      <c r="B11" s="4" t="s">
        <v>267</v>
      </c>
      <c r="C11" s="4"/>
      <c r="D11" s="20">
        <v>12000</v>
      </c>
      <c r="E11" s="24">
        <f t="shared" si="0"/>
        <v>5.6577086280056577</v>
      </c>
    </row>
    <row r="12" spans="1:6" x14ac:dyDescent="0.25">
      <c r="A12" s="4" t="s">
        <v>279</v>
      </c>
      <c r="B12" s="4" t="s">
        <v>280</v>
      </c>
      <c r="C12" s="4" t="s">
        <v>281</v>
      </c>
      <c r="D12" s="20">
        <v>12000</v>
      </c>
      <c r="E12" s="24">
        <f t="shared" si="0"/>
        <v>5.6577086280056577</v>
      </c>
    </row>
    <row r="13" spans="1:6" x14ac:dyDescent="0.25">
      <c r="A13" s="4" t="s">
        <v>229</v>
      </c>
      <c r="B13" s="4" t="s">
        <v>230</v>
      </c>
      <c r="C13" s="4"/>
      <c r="D13" s="20">
        <v>8000</v>
      </c>
      <c r="E13" s="24">
        <f t="shared" si="0"/>
        <v>3.7718057520037718</v>
      </c>
    </row>
    <row r="14" spans="1:6" ht="15.75" customHeight="1" x14ac:dyDescent="0.25">
      <c r="A14" s="4" t="s">
        <v>282</v>
      </c>
      <c r="B14" s="4" t="s">
        <v>283</v>
      </c>
      <c r="C14" s="4" t="s">
        <v>284</v>
      </c>
      <c r="D14" s="20">
        <v>8000</v>
      </c>
      <c r="E14" s="24">
        <f t="shared" si="0"/>
        <v>3.7718057520037718</v>
      </c>
    </row>
    <row r="15" spans="1:6" x14ac:dyDescent="0.25">
      <c r="A15" s="4" t="s">
        <v>310</v>
      </c>
      <c r="B15" s="4" t="s">
        <v>311</v>
      </c>
      <c r="C15" s="4" t="s">
        <v>312</v>
      </c>
      <c r="D15" s="20">
        <v>8000</v>
      </c>
      <c r="E15" s="24">
        <f t="shared" si="0"/>
        <v>3.7718057520037718</v>
      </c>
    </row>
    <row r="16" spans="1:6" ht="15.75" customHeight="1" x14ac:dyDescent="0.25">
      <c r="A16" s="4" t="s">
        <v>224</v>
      </c>
      <c r="B16" s="4" t="s">
        <v>225</v>
      </c>
      <c r="C16" s="4" t="s">
        <v>226</v>
      </c>
      <c r="D16" s="20">
        <v>6800</v>
      </c>
      <c r="E16" s="24">
        <f t="shared" si="0"/>
        <v>3.206034889203206</v>
      </c>
    </row>
    <row r="17" spans="1:5" ht="15.75" customHeight="1" x14ac:dyDescent="0.25">
      <c r="A17" s="4" t="s">
        <v>308</v>
      </c>
      <c r="B17" s="4" t="s">
        <v>309</v>
      </c>
      <c r="C17" s="4"/>
      <c r="D17" s="20">
        <v>6500</v>
      </c>
      <c r="E17" s="24">
        <f t="shared" si="0"/>
        <v>3.0645921735030646</v>
      </c>
    </row>
    <row r="18" spans="1:5" x14ac:dyDescent="0.25">
      <c r="A18" s="4" t="s">
        <v>273</v>
      </c>
      <c r="B18" s="4" t="s">
        <v>274</v>
      </c>
      <c r="C18" s="4" t="s">
        <v>275</v>
      </c>
      <c r="D18" s="20">
        <v>6000</v>
      </c>
      <c r="E18" s="24">
        <f t="shared" si="0"/>
        <v>2.8288543140028288</v>
      </c>
    </row>
    <row r="19" spans="1:5" ht="15.75" customHeight="1" x14ac:dyDescent="0.25">
      <c r="A19" s="4" t="s">
        <v>276</v>
      </c>
      <c r="B19" s="4" t="s">
        <v>277</v>
      </c>
      <c r="C19" s="4" t="s">
        <v>278</v>
      </c>
      <c r="D19" s="20">
        <v>6000</v>
      </c>
      <c r="E19" s="24">
        <f t="shared" si="0"/>
        <v>2.8288543140028288</v>
      </c>
    </row>
    <row r="20" spans="1:5" x14ac:dyDescent="0.25">
      <c r="A20" s="4" t="s">
        <v>268</v>
      </c>
      <c r="B20" s="4" t="s">
        <v>269</v>
      </c>
      <c r="C20" s="4"/>
      <c r="D20" s="20">
        <v>5500</v>
      </c>
      <c r="E20" s="24">
        <f t="shared" si="0"/>
        <v>2.5931164545025931</v>
      </c>
    </row>
    <row r="21" spans="1:5" ht="15.75" customHeight="1" x14ac:dyDescent="0.25">
      <c r="A21" s="7" t="s">
        <v>296</v>
      </c>
      <c r="B21" s="7" t="s">
        <v>297</v>
      </c>
      <c r="C21" s="7" t="s">
        <v>298</v>
      </c>
      <c r="D21" s="21">
        <v>5000</v>
      </c>
      <c r="E21" s="24">
        <f t="shared" si="0"/>
        <v>2.3573785950023574</v>
      </c>
    </row>
    <row r="22" spans="1:5" ht="15.75" customHeight="1" x14ac:dyDescent="0.25">
      <c r="A22" s="15" t="s">
        <v>304</v>
      </c>
      <c r="B22" s="15" t="s">
        <v>305</v>
      </c>
      <c r="C22" s="15" t="s">
        <v>306</v>
      </c>
      <c r="D22" s="22">
        <v>5000</v>
      </c>
      <c r="E22" s="24">
        <f t="shared" si="0"/>
        <v>2.3573785950023574</v>
      </c>
    </row>
    <row r="23" spans="1:5" ht="15.75" customHeight="1" x14ac:dyDescent="0.25">
      <c r="A23" s="15" t="s">
        <v>287</v>
      </c>
      <c r="B23" s="15" t="s">
        <v>288</v>
      </c>
      <c r="C23" s="15" t="s">
        <v>289</v>
      </c>
      <c r="D23" s="22">
        <v>4500</v>
      </c>
      <c r="E23" s="24">
        <f t="shared" si="0"/>
        <v>2.1216407355021216</v>
      </c>
    </row>
    <row r="24" spans="1:5" ht="15.75" customHeight="1" x14ac:dyDescent="0.25">
      <c r="A24" s="4" t="s">
        <v>290</v>
      </c>
      <c r="B24" s="4" t="s">
        <v>291</v>
      </c>
      <c r="C24" s="4" t="s">
        <v>292</v>
      </c>
      <c r="D24" s="20">
        <v>4500</v>
      </c>
      <c r="E24" s="24">
        <f t="shared" si="0"/>
        <v>2.1216407355021216</v>
      </c>
    </row>
    <row r="25" spans="1:5" ht="15.75" customHeight="1" x14ac:dyDescent="0.25">
      <c r="A25" s="4" t="s">
        <v>264</v>
      </c>
      <c r="B25" s="4" t="s">
        <v>265</v>
      </c>
      <c r="C25" s="4"/>
      <c r="D25" s="20">
        <v>4000</v>
      </c>
      <c r="E25" s="24">
        <f t="shared" si="0"/>
        <v>1.8859028760018859</v>
      </c>
    </row>
    <row r="26" spans="1:5" ht="15.75" customHeight="1" x14ac:dyDescent="0.25">
      <c r="A26" s="4" t="s">
        <v>237</v>
      </c>
      <c r="B26" s="4" t="s">
        <v>238</v>
      </c>
      <c r="C26" s="4"/>
      <c r="D26" s="20">
        <v>3350</v>
      </c>
      <c r="E26" s="24">
        <f t="shared" si="0"/>
        <v>1.5794436586515794</v>
      </c>
    </row>
    <row r="27" spans="1:5" x14ac:dyDescent="0.25">
      <c r="A27" s="4" t="s">
        <v>215</v>
      </c>
      <c r="B27" s="4" t="s">
        <v>216</v>
      </c>
      <c r="C27" s="4"/>
      <c r="D27" s="20">
        <v>3061.17</v>
      </c>
      <c r="E27" s="24">
        <f t="shared" si="0"/>
        <v>1.4432673267326732</v>
      </c>
    </row>
    <row r="28" spans="1:5" x14ac:dyDescent="0.25">
      <c r="A28" s="4" t="s">
        <v>227</v>
      </c>
      <c r="B28" s="4" t="s">
        <v>228</v>
      </c>
      <c r="C28" s="4"/>
      <c r="D28" s="20">
        <v>2800</v>
      </c>
      <c r="E28" s="24">
        <f t="shared" si="0"/>
        <v>1.3201320132013201</v>
      </c>
    </row>
    <row r="29" spans="1:5" x14ac:dyDescent="0.25">
      <c r="A29" s="4" t="s">
        <v>207</v>
      </c>
      <c r="B29" s="4" t="s">
        <v>208</v>
      </c>
      <c r="C29" s="4"/>
      <c r="D29" s="20">
        <v>2500</v>
      </c>
      <c r="E29" s="24">
        <f t="shared" si="0"/>
        <v>1.1786892975011787</v>
      </c>
    </row>
    <row r="30" spans="1:5" x14ac:dyDescent="0.25">
      <c r="A30" s="4" t="s">
        <v>209</v>
      </c>
      <c r="B30" s="4" t="s">
        <v>210</v>
      </c>
      <c r="C30" s="4"/>
      <c r="D30" s="20">
        <v>2500</v>
      </c>
      <c r="E30" s="24">
        <f t="shared" si="0"/>
        <v>1.1786892975011787</v>
      </c>
    </row>
    <row r="31" spans="1:5" x14ac:dyDescent="0.25">
      <c r="A31" s="4" t="s">
        <v>239</v>
      </c>
      <c r="B31" s="4" t="s">
        <v>240</v>
      </c>
      <c r="C31" s="6" t="s">
        <v>241</v>
      </c>
      <c r="D31" s="20">
        <v>2500</v>
      </c>
      <c r="E31" s="24">
        <f t="shared" si="0"/>
        <v>1.1786892975011787</v>
      </c>
    </row>
    <row r="32" spans="1:5" ht="15.75" customHeight="1" x14ac:dyDescent="0.25">
      <c r="A32" s="104" t="s">
        <v>262</v>
      </c>
      <c r="B32" s="104" t="s">
        <v>261</v>
      </c>
      <c r="C32" s="104"/>
      <c r="D32" s="105">
        <v>2200</v>
      </c>
      <c r="E32" s="24">
        <f t="shared" si="0"/>
        <v>1.0372465818010372</v>
      </c>
    </row>
    <row r="33" spans="1:5" ht="15.75" customHeight="1" x14ac:dyDescent="0.25">
      <c r="A33" s="4" t="s">
        <v>211</v>
      </c>
      <c r="B33" s="4" t="s">
        <v>212</v>
      </c>
      <c r="C33" s="4"/>
      <c r="D33" s="20">
        <v>2100</v>
      </c>
      <c r="E33" s="24">
        <f t="shared" si="0"/>
        <v>0.99009900990099009</v>
      </c>
    </row>
    <row r="34" spans="1:5" x14ac:dyDescent="0.25">
      <c r="A34" s="4" t="s">
        <v>213</v>
      </c>
      <c r="B34" s="4" t="s">
        <v>214</v>
      </c>
      <c r="C34" s="4"/>
      <c r="D34" s="20">
        <v>1920</v>
      </c>
      <c r="E34" s="24">
        <f t="shared" si="0"/>
        <v>0.90523338048090518</v>
      </c>
    </row>
    <row r="35" spans="1:5" ht="15.75" customHeight="1" x14ac:dyDescent="0.25">
      <c r="A35" s="4" t="s">
        <v>242</v>
      </c>
      <c r="B35" s="4" t="s">
        <v>243</v>
      </c>
      <c r="C35" s="4" t="s">
        <v>244</v>
      </c>
      <c r="D35" s="20">
        <v>1800</v>
      </c>
      <c r="E35" s="24">
        <f t="shared" si="0"/>
        <v>0.84865629420084865</v>
      </c>
    </row>
    <row r="36" spans="1:5" ht="15.75" customHeight="1" x14ac:dyDescent="0.25">
      <c r="A36" s="4" t="s">
        <v>285</v>
      </c>
      <c r="B36" s="4" t="s">
        <v>286</v>
      </c>
      <c r="C36" s="4"/>
      <c r="D36" s="20">
        <v>1800</v>
      </c>
      <c r="E36" s="24">
        <f t="shared" si="0"/>
        <v>0.84865629420084865</v>
      </c>
    </row>
    <row r="37" spans="1:5" x14ac:dyDescent="0.25">
      <c r="A37" s="104" t="s">
        <v>260</v>
      </c>
      <c r="B37" s="104" t="s">
        <v>261</v>
      </c>
      <c r="C37" s="104"/>
      <c r="D37" s="105">
        <v>1600</v>
      </c>
      <c r="E37" s="24">
        <f t="shared" si="0"/>
        <v>0.75436115040075435</v>
      </c>
    </row>
    <row r="38" spans="1:5" ht="15.75" customHeight="1" x14ac:dyDescent="0.25">
      <c r="A38" s="4" t="s">
        <v>249</v>
      </c>
      <c r="B38" s="4" t="s">
        <v>250</v>
      </c>
      <c r="C38" s="4" t="s">
        <v>251</v>
      </c>
      <c r="D38" s="20">
        <v>1500</v>
      </c>
      <c r="E38" s="24">
        <f t="shared" si="0"/>
        <v>0.70721357850070721</v>
      </c>
    </row>
    <row r="39" spans="1:5" ht="15.75" customHeight="1" x14ac:dyDescent="0.25">
      <c r="A39" s="4" t="s">
        <v>255</v>
      </c>
      <c r="B39" s="4" t="s">
        <v>256</v>
      </c>
      <c r="C39" s="4" t="s">
        <v>257</v>
      </c>
      <c r="D39" s="20">
        <v>1500</v>
      </c>
      <c r="E39" s="24">
        <f t="shared" si="0"/>
        <v>0.70721357850070721</v>
      </c>
    </row>
    <row r="40" spans="1:5" ht="15.75" customHeight="1" x14ac:dyDescent="0.25">
      <c r="A40" s="4" t="s">
        <v>302</v>
      </c>
      <c r="B40" s="4" t="s">
        <v>303</v>
      </c>
      <c r="C40" s="4"/>
      <c r="D40" s="20">
        <v>1300</v>
      </c>
      <c r="E40" s="24">
        <f t="shared" si="0"/>
        <v>0.61291843470061291</v>
      </c>
    </row>
    <row r="41" spans="1:5" ht="15.75" customHeight="1" x14ac:dyDescent="0.25">
      <c r="A41" s="4" t="s">
        <v>316</v>
      </c>
      <c r="B41" s="4" t="s">
        <v>317</v>
      </c>
      <c r="C41" s="4"/>
      <c r="D41" s="20">
        <v>800</v>
      </c>
      <c r="E41" s="24">
        <f t="shared" si="0"/>
        <v>0.37718057520037718</v>
      </c>
    </row>
    <row r="42" spans="1:5" ht="15.75" customHeight="1" x14ac:dyDescent="0.25">
      <c r="A42" s="4" t="s">
        <v>293</v>
      </c>
      <c r="B42" s="4" t="s">
        <v>294</v>
      </c>
      <c r="C42" s="4" t="s">
        <v>295</v>
      </c>
      <c r="D42" s="20">
        <v>500</v>
      </c>
      <c r="E42" s="24">
        <f t="shared" si="0"/>
        <v>0.23573785950023574</v>
      </c>
    </row>
    <row r="43" spans="1:5" ht="15.75" customHeight="1" x14ac:dyDescent="0.25">
      <c r="A43" s="4" t="s">
        <v>313</v>
      </c>
      <c r="B43" s="4" t="s">
        <v>314</v>
      </c>
      <c r="C43" s="4" t="s">
        <v>315</v>
      </c>
      <c r="D43" s="20">
        <v>500</v>
      </c>
      <c r="E43" s="24">
        <f t="shared" si="0"/>
        <v>0.23573785950023574</v>
      </c>
    </row>
    <row r="44" spans="1:5" ht="15.75" customHeight="1" x14ac:dyDescent="0.25">
      <c r="A44" s="4" t="s">
        <v>299</v>
      </c>
      <c r="B44" s="4" t="s">
        <v>300</v>
      </c>
      <c r="C44" s="4" t="s">
        <v>301</v>
      </c>
      <c r="D44" s="20">
        <v>200</v>
      </c>
      <c r="E44" s="24">
        <f t="shared" si="0"/>
        <v>9.4295143800094294E-2</v>
      </c>
    </row>
    <row r="45" spans="1:5" ht="15.75" customHeight="1" x14ac:dyDescent="0.25">
      <c r="A45" s="10" t="s">
        <v>319</v>
      </c>
    </row>
    <row r="46" spans="1:5" ht="15.75" customHeight="1" x14ac:dyDescent="0.25">
      <c r="A46" s="10"/>
      <c r="B46" s="18" t="s">
        <v>320</v>
      </c>
      <c r="D46" s="17">
        <f>SUM(D2:D45)</f>
        <v>326431.17</v>
      </c>
      <c r="E46" s="16">
        <f>+D46/$E$1</f>
        <v>153.90437057991514</v>
      </c>
    </row>
    <row r="47" spans="1:5" ht="15.75" customHeight="1" x14ac:dyDescent="0.25"/>
    <row r="48" spans="1:5"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sheetData>
  <autoFilter ref="A1:E45" xr:uid="{00000000-0001-0000-0000-000000000000}">
    <sortState xmlns:xlrd2="http://schemas.microsoft.com/office/spreadsheetml/2017/richdata2" ref="A2:E45">
      <sortCondition descending="1" ref="E1:E45"/>
    </sortState>
  </autoFilter>
  <pageMargins left="0.7" right="0.7" top="0.75" bottom="0.75" header="0" footer="0"/>
  <pageSetup paperSize="9" scale="63"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3CBB7-14EF-4588-B6BC-D8184415D666}">
  <dimension ref="B1:K120"/>
  <sheetViews>
    <sheetView showGridLines="0" workbookViewId="0">
      <pane ySplit="2" topLeftCell="A105" activePane="bottomLeft" state="frozen"/>
      <selection pane="bottomLeft" activeCell="B1" sqref="B1:F120"/>
    </sheetView>
    <sheetView workbookViewId="1"/>
  </sheetViews>
  <sheetFormatPr baseColWidth="10" defaultColWidth="11.42578125" defaultRowHeight="15" x14ac:dyDescent="0.25"/>
  <cols>
    <col min="2" max="2" width="46.5703125" bestFit="1" customWidth="1"/>
    <col min="5" max="5" width="12" style="11" bestFit="1" customWidth="1"/>
    <col min="6" max="6" width="11.85546875" style="63" bestFit="1" customWidth="1"/>
    <col min="8" max="8" width="11.85546875" bestFit="1" customWidth="1"/>
    <col min="10" max="10" width="13.7109375" customWidth="1"/>
    <col min="11" max="11" width="14" customWidth="1"/>
  </cols>
  <sheetData>
    <row r="1" spans="2:11" x14ac:dyDescent="0.25">
      <c r="E1" s="106" t="s">
        <v>321</v>
      </c>
      <c r="F1" s="107">
        <v>375</v>
      </c>
    </row>
    <row r="2" spans="2:11" x14ac:dyDescent="0.25">
      <c r="B2" s="58" t="s">
        <v>322</v>
      </c>
      <c r="C2" s="58" t="s">
        <v>323</v>
      </c>
      <c r="D2" s="58" t="s">
        <v>324</v>
      </c>
      <c r="E2" s="59" t="s">
        <v>325</v>
      </c>
      <c r="F2" s="64" t="s">
        <v>326</v>
      </c>
    </row>
    <row r="3" spans="2:11" x14ac:dyDescent="0.25">
      <c r="B3" s="47" t="s">
        <v>217</v>
      </c>
      <c r="C3" s="47"/>
      <c r="D3" s="47"/>
      <c r="E3" s="47"/>
      <c r="F3" s="65"/>
    </row>
    <row r="4" spans="2:11" x14ac:dyDescent="0.25">
      <c r="B4" s="48" t="s">
        <v>221</v>
      </c>
      <c r="C4" s="48"/>
      <c r="D4" s="48"/>
      <c r="E4" s="48"/>
      <c r="F4" s="66"/>
    </row>
    <row r="5" spans="2:11" x14ac:dyDescent="0.25">
      <c r="B5" s="49" t="s">
        <v>327</v>
      </c>
      <c r="C5" s="87">
        <f>+(50+30+37)*10</f>
        <v>1170</v>
      </c>
      <c r="D5" t="s">
        <v>40</v>
      </c>
      <c r="E5" s="11">
        <v>3</v>
      </c>
      <c r="F5" s="108">
        <f>+C5*E5</f>
        <v>3510</v>
      </c>
      <c r="H5">
        <v>1</v>
      </c>
      <c r="I5">
        <v>2</v>
      </c>
      <c r="J5">
        <v>3</v>
      </c>
    </row>
    <row r="6" spans="2:11" x14ac:dyDescent="0.25">
      <c r="B6" s="49" t="s">
        <v>328</v>
      </c>
      <c r="C6" s="87">
        <f>+(50+30+37)*10</f>
        <v>1170</v>
      </c>
      <c r="D6" t="s">
        <v>40</v>
      </c>
      <c r="E6" s="11">
        <v>2</v>
      </c>
      <c r="F6" s="108">
        <f t="shared" ref="F6:F8" si="0">+C6*E6</f>
        <v>2340</v>
      </c>
      <c r="H6" s="68">
        <f>+F6+F8</f>
        <v>3090</v>
      </c>
      <c r="I6" s="70">
        <f>+'HOUSE EST 2'!F6+'HOUSE EST 2'!F8</f>
        <v>3890</v>
      </c>
      <c r="J6" s="70">
        <f>+'HOUSE EST 3'!F6+'HOUSE EST 3'!F8</f>
        <v>4950</v>
      </c>
    </row>
    <row r="7" spans="2:11" x14ac:dyDescent="0.25">
      <c r="B7" s="49" t="s">
        <v>329</v>
      </c>
      <c r="C7" s="87">
        <f>+F1</f>
        <v>375</v>
      </c>
      <c r="D7" t="s">
        <v>40</v>
      </c>
      <c r="E7" s="11">
        <v>3</v>
      </c>
      <c r="F7" s="108">
        <f t="shared" si="0"/>
        <v>1125</v>
      </c>
      <c r="H7" s="69">
        <v>9</v>
      </c>
      <c r="I7" s="69">
        <v>19</v>
      </c>
      <c r="J7" s="69">
        <v>29</v>
      </c>
      <c r="K7">
        <f>+H7+I7+J7</f>
        <v>57</v>
      </c>
    </row>
    <row r="8" spans="2:11" x14ac:dyDescent="0.25">
      <c r="B8" s="49" t="s">
        <v>330</v>
      </c>
      <c r="C8" s="87">
        <f>+F1</f>
        <v>375</v>
      </c>
      <c r="D8" t="s">
        <v>40</v>
      </c>
      <c r="E8" s="11">
        <v>2</v>
      </c>
      <c r="F8" s="108">
        <f t="shared" si="0"/>
        <v>750</v>
      </c>
      <c r="H8" s="70">
        <f>+H6*H7</f>
        <v>27810</v>
      </c>
      <c r="I8" s="70">
        <f t="shared" ref="I8:J8" si="1">+I6*I7</f>
        <v>73910</v>
      </c>
      <c r="J8" s="70">
        <f t="shared" si="1"/>
        <v>143550</v>
      </c>
      <c r="K8" s="70">
        <f>+H8+I8+J8</f>
        <v>245270</v>
      </c>
    </row>
    <row r="9" spans="2:11" x14ac:dyDescent="0.25">
      <c r="B9" s="47" t="s">
        <v>331</v>
      </c>
      <c r="C9" s="47"/>
      <c r="D9" s="47"/>
      <c r="E9" s="47"/>
      <c r="F9" s="65"/>
      <c r="K9" s="70">
        <f>+K8/5</f>
        <v>49054</v>
      </c>
    </row>
    <row r="10" spans="2:11" x14ac:dyDescent="0.25">
      <c r="B10" s="48" t="s">
        <v>332</v>
      </c>
      <c r="C10" s="48"/>
      <c r="D10" s="48"/>
      <c r="E10" s="48"/>
      <c r="F10" s="66"/>
    </row>
    <row r="11" spans="2:11" x14ac:dyDescent="0.25">
      <c r="B11" s="49" t="s">
        <v>333</v>
      </c>
      <c r="C11" s="57">
        <f>+$F$1</f>
        <v>375</v>
      </c>
      <c r="D11" t="s">
        <v>40</v>
      </c>
      <c r="E11" s="11">
        <f>+SPECS!$I$12</f>
        <v>2</v>
      </c>
      <c r="F11" s="108">
        <f>+C11*E11</f>
        <v>750</v>
      </c>
    </row>
    <row r="12" spans="2:11" x14ac:dyDescent="0.25">
      <c r="B12" s="49" t="s">
        <v>334</v>
      </c>
      <c r="C12" s="57">
        <f>+$F$1</f>
        <v>375</v>
      </c>
      <c r="D12" t="s">
        <v>40</v>
      </c>
      <c r="E12" s="11">
        <v>2</v>
      </c>
      <c r="F12" s="108">
        <f>+C12*E12</f>
        <v>750</v>
      </c>
    </row>
    <row r="13" spans="2:11" x14ac:dyDescent="0.25">
      <c r="B13" s="48" t="s">
        <v>231</v>
      </c>
      <c r="C13" s="48"/>
      <c r="D13" s="48"/>
      <c r="E13" s="48"/>
      <c r="F13" s="66"/>
    </row>
    <row r="14" spans="2:11" x14ac:dyDescent="0.25">
      <c r="B14" s="49" t="s">
        <v>335</v>
      </c>
      <c r="C14">
        <v>3</v>
      </c>
      <c r="D14" s="87" t="s">
        <v>324</v>
      </c>
      <c r="E14" s="11">
        <f>+SPECS!$I$9</f>
        <v>289</v>
      </c>
      <c r="F14" s="108">
        <f>+C14*E14</f>
        <v>867</v>
      </c>
    </row>
    <row r="15" spans="2:11" x14ac:dyDescent="0.25">
      <c r="B15" s="49" t="s">
        <v>336</v>
      </c>
      <c r="C15">
        <v>1</v>
      </c>
      <c r="D15" s="87" t="s">
        <v>324</v>
      </c>
      <c r="E15" s="11">
        <f>+SPECS!$I$10</f>
        <v>238</v>
      </c>
      <c r="F15" s="108">
        <f>+C15*E15</f>
        <v>238</v>
      </c>
    </row>
    <row r="16" spans="2:11" x14ac:dyDescent="0.25">
      <c r="B16" s="49" t="s">
        <v>334</v>
      </c>
      <c r="C16">
        <f>+C14+C15</f>
        <v>4</v>
      </c>
      <c r="D16" s="87" t="s">
        <v>324</v>
      </c>
      <c r="E16" s="11">
        <v>100</v>
      </c>
      <c r="F16" s="108">
        <f>+C16*E16</f>
        <v>400</v>
      </c>
    </row>
    <row r="17" spans="2:7" x14ac:dyDescent="0.25">
      <c r="B17" s="48" t="s">
        <v>234</v>
      </c>
      <c r="C17" s="48"/>
      <c r="D17" s="48"/>
      <c r="E17" s="48"/>
      <c r="F17" s="66"/>
    </row>
    <row r="18" spans="2:7" x14ac:dyDescent="0.25">
      <c r="B18" s="49" t="s">
        <v>337</v>
      </c>
      <c r="C18" s="87">
        <f>+(50+30)*10</f>
        <v>800</v>
      </c>
      <c r="D18" t="s">
        <v>40</v>
      </c>
      <c r="E18" s="109">
        <v>0.27</v>
      </c>
      <c r="F18" s="108">
        <f>+C18*E18</f>
        <v>216</v>
      </c>
    </row>
    <row r="19" spans="2:7" x14ac:dyDescent="0.25">
      <c r="B19" s="49" t="s">
        <v>338</v>
      </c>
      <c r="C19" s="87">
        <f>+(50+30)*10</f>
        <v>800</v>
      </c>
      <c r="D19" t="s">
        <v>40</v>
      </c>
      <c r="E19" s="109">
        <v>2.5</v>
      </c>
      <c r="F19" s="108">
        <f>+C19*E19</f>
        <v>2000</v>
      </c>
      <c r="G19" s="87" t="s">
        <v>339</v>
      </c>
    </row>
    <row r="20" spans="2:7" x14ac:dyDescent="0.25">
      <c r="B20" s="49" t="s">
        <v>334</v>
      </c>
      <c r="C20" s="87">
        <f>+(50+30)*10</f>
        <v>800</v>
      </c>
      <c r="D20" t="s">
        <v>40</v>
      </c>
      <c r="E20" s="11">
        <v>1.5</v>
      </c>
      <c r="F20" s="108">
        <f>+C20*E20</f>
        <v>1200</v>
      </c>
    </row>
    <row r="21" spans="2:7" x14ac:dyDescent="0.25">
      <c r="B21" s="48" t="s">
        <v>340</v>
      </c>
      <c r="C21" s="48"/>
      <c r="D21" s="48"/>
      <c r="E21" s="48"/>
      <c r="F21" s="66"/>
    </row>
    <row r="22" spans="2:7" x14ac:dyDescent="0.25">
      <c r="B22" s="49" t="s">
        <v>341</v>
      </c>
      <c r="C22">
        <f>+(7+7+3)+((3+3+5+5)*3)+(3+3+2+2)</f>
        <v>75</v>
      </c>
      <c r="D22" s="87" t="s">
        <v>163</v>
      </c>
      <c r="E22" s="11">
        <f>+SPECS!$I$50</f>
        <v>2</v>
      </c>
      <c r="F22" s="108">
        <f>+C22*E22</f>
        <v>150</v>
      </c>
    </row>
    <row r="23" spans="2:7" x14ac:dyDescent="0.25">
      <c r="B23" s="49" t="s">
        <v>342</v>
      </c>
      <c r="C23">
        <v>80</v>
      </c>
      <c r="D23" s="87" t="s">
        <v>163</v>
      </c>
      <c r="E23" s="11">
        <v>4</v>
      </c>
      <c r="F23" s="108">
        <f>+C23*E23</f>
        <v>320</v>
      </c>
    </row>
    <row r="24" spans="2:7" x14ac:dyDescent="0.25">
      <c r="B24" s="49" t="s">
        <v>334</v>
      </c>
      <c r="C24">
        <f>+C22+C23</f>
        <v>155</v>
      </c>
      <c r="D24" s="87" t="s">
        <v>163</v>
      </c>
      <c r="E24" s="11">
        <v>5</v>
      </c>
      <c r="F24" s="108">
        <f>+C24*E24</f>
        <v>775</v>
      </c>
    </row>
    <row r="25" spans="2:7" x14ac:dyDescent="0.25">
      <c r="B25" s="48" t="s">
        <v>343</v>
      </c>
      <c r="C25" s="48"/>
      <c r="D25" s="48"/>
      <c r="E25" s="48"/>
      <c r="F25" s="66"/>
    </row>
    <row r="26" spans="2:7" x14ac:dyDescent="0.25">
      <c r="B26" s="49" t="s">
        <v>344</v>
      </c>
      <c r="C26">
        <v>1</v>
      </c>
      <c r="D26" s="87" t="s">
        <v>324</v>
      </c>
      <c r="E26" s="11">
        <f>+SPECS!$I$7</f>
        <v>421.20000000000005</v>
      </c>
      <c r="F26" s="108">
        <f>+C26*E26</f>
        <v>421.20000000000005</v>
      </c>
    </row>
    <row r="27" spans="2:7" x14ac:dyDescent="0.25">
      <c r="B27" s="49" t="s">
        <v>334</v>
      </c>
      <c r="C27">
        <v>1</v>
      </c>
      <c r="D27" s="87" t="s">
        <v>324</v>
      </c>
      <c r="E27" s="11">
        <v>100</v>
      </c>
      <c r="F27" s="108">
        <f>+C27*E27</f>
        <v>100</v>
      </c>
    </row>
    <row r="28" spans="2:7" x14ac:dyDescent="0.25">
      <c r="B28" s="48" t="s">
        <v>242</v>
      </c>
      <c r="C28" s="48"/>
      <c r="D28" s="48"/>
      <c r="E28" s="48"/>
      <c r="F28" s="66"/>
    </row>
    <row r="29" spans="2:7" x14ac:dyDescent="0.25">
      <c r="B29" s="49" t="s">
        <v>345</v>
      </c>
      <c r="C29">
        <f>+C23</f>
        <v>80</v>
      </c>
      <c r="D29" s="87" t="s">
        <v>163</v>
      </c>
      <c r="E29" s="11">
        <v>5</v>
      </c>
      <c r="F29" s="108">
        <f>+C29*E29</f>
        <v>400</v>
      </c>
    </row>
    <row r="30" spans="2:7" x14ac:dyDescent="0.25">
      <c r="B30" s="49" t="s">
        <v>346</v>
      </c>
      <c r="C30">
        <f>4*10</f>
        <v>40</v>
      </c>
      <c r="D30" s="87" t="s">
        <v>163</v>
      </c>
      <c r="E30" s="11">
        <v>5</v>
      </c>
      <c r="F30" s="108">
        <f t="shared" ref="F30:F31" si="2">+C30*E30</f>
        <v>200</v>
      </c>
    </row>
    <row r="31" spans="2:7" x14ac:dyDescent="0.25">
      <c r="B31" s="49" t="s">
        <v>334</v>
      </c>
      <c r="C31">
        <f>+C29+C30</f>
        <v>120</v>
      </c>
      <c r="D31" s="87" t="s">
        <v>163</v>
      </c>
      <c r="E31" s="11">
        <v>2</v>
      </c>
      <c r="F31" s="108">
        <f t="shared" si="2"/>
        <v>240</v>
      </c>
    </row>
    <row r="32" spans="2:7" x14ac:dyDescent="0.25">
      <c r="B32" s="47" t="s">
        <v>347</v>
      </c>
      <c r="C32" s="47"/>
      <c r="D32" s="47"/>
      <c r="E32" s="47"/>
      <c r="F32" s="65"/>
    </row>
    <row r="33" spans="2:7" x14ac:dyDescent="0.25">
      <c r="B33" s="48" t="s">
        <v>348</v>
      </c>
      <c r="C33" s="48"/>
      <c r="D33" s="48"/>
      <c r="E33" s="48"/>
      <c r="F33" s="66"/>
    </row>
    <row r="34" spans="2:7" x14ac:dyDescent="0.25">
      <c r="B34" s="49" t="s">
        <v>349</v>
      </c>
      <c r="C34" s="57">
        <v>50</v>
      </c>
      <c r="D34" s="87" t="s">
        <v>163</v>
      </c>
      <c r="E34" s="11">
        <v>23</v>
      </c>
      <c r="F34" s="108">
        <f t="shared" ref="F34:F43" si="3">+C34*E34</f>
        <v>1150</v>
      </c>
      <c r="G34" s="13"/>
    </row>
    <row r="35" spans="2:7" x14ac:dyDescent="0.25">
      <c r="B35" s="49" t="s">
        <v>350</v>
      </c>
      <c r="C35" s="57">
        <v>50</v>
      </c>
      <c r="D35" s="87" t="s">
        <v>163</v>
      </c>
      <c r="E35" s="11">
        <v>38</v>
      </c>
      <c r="F35" s="108">
        <f t="shared" si="3"/>
        <v>1900</v>
      </c>
      <c r="G35" s="13"/>
    </row>
    <row r="36" spans="2:7" x14ac:dyDescent="0.25">
      <c r="B36" s="49" t="s">
        <v>351</v>
      </c>
      <c r="C36">
        <v>1</v>
      </c>
      <c r="D36" s="87" t="s">
        <v>324</v>
      </c>
      <c r="E36" s="11">
        <v>625</v>
      </c>
      <c r="F36" s="108">
        <f t="shared" si="3"/>
        <v>625</v>
      </c>
    </row>
    <row r="37" spans="2:7" x14ac:dyDescent="0.25">
      <c r="B37" s="49" t="s">
        <v>334</v>
      </c>
      <c r="C37">
        <v>1</v>
      </c>
      <c r="D37" s="87" t="s">
        <v>324</v>
      </c>
      <c r="E37" s="11">
        <v>550</v>
      </c>
      <c r="F37" s="108">
        <f t="shared" si="3"/>
        <v>550</v>
      </c>
    </row>
    <row r="38" spans="2:7" x14ac:dyDescent="0.25">
      <c r="B38" s="48" t="s">
        <v>352</v>
      </c>
      <c r="C38" s="48"/>
      <c r="D38" s="48"/>
      <c r="E38" s="48"/>
      <c r="F38" s="66"/>
    </row>
    <row r="39" spans="2:7" x14ac:dyDescent="0.25">
      <c r="B39" s="49" t="s">
        <v>353</v>
      </c>
      <c r="C39">
        <v>80</v>
      </c>
      <c r="D39" s="87" t="s">
        <v>163</v>
      </c>
      <c r="E39" s="11">
        <v>23.4375</v>
      </c>
      <c r="F39" s="108">
        <f t="shared" si="3"/>
        <v>1875</v>
      </c>
    </row>
    <row r="40" spans="2:7" x14ac:dyDescent="0.25">
      <c r="B40" s="49" t="s">
        <v>334</v>
      </c>
      <c r="C40">
        <v>1</v>
      </c>
      <c r="D40" s="87" t="s">
        <v>324</v>
      </c>
      <c r="E40" s="11">
        <v>600</v>
      </c>
      <c r="F40" s="108">
        <f t="shared" si="3"/>
        <v>600</v>
      </c>
    </row>
    <row r="41" spans="2:7" x14ac:dyDescent="0.25">
      <c r="B41" s="48" t="s">
        <v>258</v>
      </c>
      <c r="C41" s="48"/>
      <c r="D41" s="48"/>
      <c r="E41" s="48"/>
      <c r="F41" s="66"/>
    </row>
    <row r="42" spans="2:7" x14ac:dyDescent="0.25">
      <c r="B42" s="49" t="s">
        <v>354</v>
      </c>
      <c r="C42">
        <v>1</v>
      </c>
      <c r="D42" s="87" t="s">
        <v>324</v>
      </c>
      <c r="E42" s="11">
        <v>6000</v>
      </c>
      <c r="F42" s="108">
        <f t="shared" si="3"/>
        <v>6000</v>
      </c>
    </row>
    <row r="43" spans="2:7" x14ac:dyDescent="0.25">
      <c r="B43" s="49" t="s">
        <v>334</v>
      </c>
      <c r="C43">
        <v>1</v>
      </c>
      <c r="D43" s="87" t="s">
        <v>324</v>
      </c>
      <c r="E43" s="11">
        <v>2000</v>
      </c>
      <c r="F43" s="108">
        <f t="shared" si="3"/>
        <v>2000</v>
      </c>
    </row>
    <row r="44" spans="2:7" x14ac:dyDescent="0.25">
      <c r="B44" s="47" t="s">
        <v>263</v>
      </c>
      <c r="C44" s="47"/>
      <c r="D44" s="47"/>
      <c r="E44" s="47"/>
      <c r="F44" s="65"/>
    </row>
    <row r="45" spans="2:7" x14ac:dyDescent="0.25">
      <c r="B45" s="48" t="s">
        <v>264</v>
      </c>
      <c r="C45" s="48"/>
      <c r="D45" s="48"/>
      <c r="E45" s="48"/>
      <c r="F45" s="66"/>
    </row>
    <row r="46" spans="2:7" x14ac:dyDescent="0.25">
      <c r="B46" s="49" t="s">
        <v>355</v>
      </c>
      <c r="C46">
        <f>9*80</f>
        <v>720</v>
      </c>
      <c r="D46" s="87" t="s">
        <v>40</v>
      </c>
      <c r="E46" s="11">
        <v>2.5</v>
      </c>
      <c r="F46" s="108">
        <f t="shared" ref="F46:F80" si="4">+C46*E46</f>
        <v>1800</v>
      </c>
    </row>
    <row r="47" spans="2:7" x14ac:dyDescent="0.25">
      <c r="B47" s="49" t="s">
        <v>356</v>
      </c>
      <c r="C47" s="57">
        <f>+$F$1</f>
        <v>375</v>
      </c>
      <c r="D47" s="87" t="s">
        <v>40</v>
      </c>
      <c r="E47" s="11">
        <v>2.5</v>
      </c>
      <c r="F47" s="108">
        <f t="shared" si="4"/>
        <v>937.5</v>
      </c>
    </row>
    <row r="48" spans="2:7" x14ac:dyDescent="0.25">
      <c r="B48" s="49" t="s">
        <v>334</v>
      </c>
      <c r="C48" s="57">
        <f>+C46+C47</f>
        <v>1095</v>
      </c>
      <c r="D48" s="87" t="s">
        <v>40</v>
      </c>
      <c r="E48" s="11">
        <v>0.5</v>
      </c>
      <c r="F48" s="108">
        <f t="shared" si="4"/>
        <v>547.5</v>
      </c>
    </row>
    <row r="49" spans="2:6" x14ac:dyDescent="0.25">
      <c r="B49" s="48" t="s">
        <v>266</v>
      </c>
      <c r="C49" s="48"/>
      <c r="D49" s="48"/>
      <c r="E49" s="48"/>
      <c r="F49" s="66"/>
    </row>
    <row r="50" spans="2:6" x14ac:dyDescent="0.25">
      <c r="B50" s="49" t="s">
        <v>357</v>
      </c>
      <c r="C50">
        <f>120*9</f>
        <v>1080</v>
      </c>
      <c r="D50" s="87" t="s">
        <v>40</v>
      </c>
      <c r="E50" s="11">
        <v>2.21</v>
      </c>
      <c r="F50" s="108">
        <f t="shared" si="4"/>
        <v>2386.8000000000002</v>
      </c>
    </row>
    <row r="51" spans="2:6" x14ac:dyDescent="0.25">
      <c r="B51" s="49" t="s">
        <v>358</v>
      </c>
      <c r="C51" s="87">
        <f>120*9</f>
        <v>1080</v>
      </c>
      <c r="D51" s="87" t="s">
        <v>40</v>
      </c>
      <c r="E51" s="11">
        <v>1.1499999999999999</v>
      </c>
      <c r="F51" s="108">
        <f t="shared" si="4"/>
        <v>1242</v>
      </c>
    </row>
    <row r="52" spans="2:6" x14ac:dyDescent="0.25">
      <c r="B52" s="48" t="s">
        <v>359</v>
      </c>
      <c r="C52" s="48"/>
      <c r="D52" s="48"/>
      <c r="E52" s="48"/>
      <c r="F52" s="66"/>
    </row>
    <row r="53" spans="2:6" x14ac:dyDescent="0.25">
      <c r="B53" s="49" t="s">
        <v>360</v>
      </c>
      <c r="C53">
        <v>4</v>
      </c>
      <c r="D53" s="87" t="s">
        <v>324</v>
      </c>
      <c r="E53" s="11">
        <f>+SPECS!$I$37</f>
        <v>141.48000000000002</v>
      </c>
      <c r="F53" s="108">
        <f t="shared" si="4"/>
        <v>565.92000000000007</v>
      </c>
    </row>
    <row r="54" spans="2:6" x14ac:dyDescent="0.25">
      <c r="B54" s="49" t="s">
        <v>361</v>
      </c>
      <c r="C54">
        <v>1</v>
      </c>
      <c r="D54" s="87" t="s">
        <v>324</v>
      </c>
      <c r="E54" s="11">
        <f>+SPECS!$I$38</f>
        <v>109.47960000000002</v>
      </c>
      <c r="F54" s="108">
        <f t="shared" si="4"/>
        <v>109.47960000000002</v>
      </c>
    </row>
    <row r="55" spans="2:6" x14ac:dyDescent="0.25">
      <c r="B55" s="49" t="s">
        <v>362</v>
      </c>
      <c r="C55">
        <v>120</v>
      </c>
      <c r="D55" s="87" t="s">
        <v>163</v>
      </c>
      <c r="E55" s="11">
        <f>+SPECS!$I$50</f>
        <v>2</v>
      </c>
      <c r="F55" s="108">
        <f t="shared" si="4"/>
        <v>240</v>
      </c>
    </row>
    <row r="56" spans="2:6" x14ac:dyDescent="0.25">
      <c r="B56" s="49" t="s">
        <v>363</v>
      </c>
      <c r="C56">
        <f>+(C53*(7+3))+((C14+C15)*(6+10))</f>
        <v>104</v>
      </c>
      <c r="D56" s="87" t="s">
        <v>163</v>
      </c>
      <c r="E56" s="11">
        <f>+E55</f>
        <v>2</v>
      </c>
      <c r="F56" s="108">
        <f t="shared" si="4"/>
        <v>208</v>
      </c>
    </row>
    <row r="57" spans="2:6" x14ac:dyDescent="0.25">
      <c r="B57" s="49" t="s">
        <v>334</v>
      </c>
      <c r="C57">
        <f>+C53+C54</f>
        <v>5</v>
      </c>
      <c r="D57" s="87" t="s">
        <v>324</v>
      </c>
      <c r="E57" s="11">
        <v>100</v>
      </c>
      <c r="F57" s="108">
        <f t="shared" si="4"/>
        <v>500</v>
      </c>
    </row>
    <row r="58" spans="2:6" x14ac:dyDescent="0.25">
      <c r="B58" s="48" t="s">
        <v>364</v>
      </c>
      <c r="C58" s="48"/>
      <c r="D58" s="48"/>
      <c r="E58" s="48"/>
      <c r="F58" s="66"/>
    </row>
    <row r="59" spans="2:6" x14ac:dyDescent="0.25">
      <c r="B59" s="49" t="s">
        <v>365</v>
      </c>
      <c r="C59">
        <f>+C50</f>
        <v>1080</v>
      </c>
      <c r="D59" s="87" t="s">
        <v>40</v>
      </c>
      <c r="E59" s="11">
        <v>2</v>
      </c>
      <c r="F59" s="108">
        <f t="shared" si="4"/>
        <v>2160</v>
      </c>
    </row>
    <row r="60" spans="2:6" x14ac:dyDescent="0.25">
      <c r="B60" s="49" t="s">
        <v>276</v>
      </c>
      <c r="C60" s="87">
        <f>+C18</f>
        <v>800</v>
      </c>
      <c r="D60" s="87" t="s">
        <v>40</v>
      </c>
      <c r="E60" s="11">
        <v>3</v>
      </c>
      <c r="F60" s="108">
        <f t="shared" si="4"/>
        <v>2400</v>
      </c>
    </row>
    <row r="61" spans="2:6" x14ac:dyDescent="0.25">
      <c r="B61" s="49" t="s">
        <v>334</v>
      </c>
      <c r="C61">
        <f>+C59+C60</f>
        <v>1880</v>
      </c>
      <c r="D61" s="87" t="s">
        <v>40</v>
      </c>
      <c r="E61" s="11">
        <v>1</v>
      </c>
      <c r="F61" s="108">
        <f t="shared" si="4"/>
        <v>1880</v>
      </c>
    </row>
    <row r="62" spans="2:6" x14ac:dyDescent="0.25">
      <c r="B62" s="48" t="s">
        <v>279</v>
      </c>
      <c r="C62" s="48"/>
      <c r="D62" s="48"/>
      <c r="E62" s="48"/>
      <c r="F62" s="66"/>
    </row>
    <row r="63" spans="2:6" x14ac:dyDescent="0.25">
      <c r="B63" s="49" t="s">
        <v>366</v>
      </c>
      <c r="C63">
        <v>90</v>
      </c>
      <c r="D63" s="87" t="s">
        <v>40</v>
      </c>
      <c r="E63" s="11">
        <f>+SPECS!$I$16</f>
        <v>3.0132000000000003</v>
      </c>
      <c r="F63" s="108">
        <f t="shared" si="4"/>
        <v>271.18800000000005</v>
      </c>
    </row>
    <row r="64" spans="2:6" x14ac:dyDescent="0.25">
      <c r="B64" s="49" t="s">
        <v>367</v>
      </c>
      <c r="C64" s="57">
        <f>+F1-C63-C67</f>
        <v>264</v>
      </c>
      <c r="D64" s="87" t="s">
        <v>40</v>
      </c>
      <c r="E64" s="11">
        <f>+SPECS!$I$17</f>
        <v>4.4820000000000011</v>
      </c>
      <c r="F64" s="108">
        <f t="shared" si="4"/>
        <v>1183.2480000000003</v>
      </c>
    </row>
    <row r="65" spans="2:6" x14ac:dyDescent="0.25">
      <c r="B65" s="49" t="s">
        <v>334</v>
      </c>
      <c r="C65" s="57">
        <f>+C63+C64</f>
        <v>354</v>
      </c>
      <c r="D65" s="87" t="s">
        <v>40</v>
      </c>
      <c r="E65" s="11">
        <v>5</v>
      </c>
      <c r="F65" s="108">
        <f t="shared" si="4"/>
        <v>1770</v>
      </c>
    </row>
    <row r="66" spans="2:6" x14ac:dyDescent="0.25">
      <c r="B66" s="48" t="s">
        <v>282</v>
      </c>
      <c r="C66" s="48"/>
      <c r="D66" s="48"/>
      <c r="E66" s="48"/>
      <c r="F66" s="66"/>
    </row>
    <row r="67" spans="2:6" x14ac:dyDescent="0.25">
      <c r="B67" s="49" t="s">
        <v>368</v>
      </c>
      <c r="C67">
        <v>21</v>
      </c>
      <c r="D67" s="87" t="s">
        <v>40</v>
      </c>
      <c r="E67" s="11">
        <f>+SPECS!$I$59</f>
        <v>4.6100000000000003</v>
      </c>
      <c r="F67" s="108">
        <f t="shared" si="4"/>
        <v>96.81</v>
      </c>
    </row>
    <row r="68" spans="2:6" x14ac:dyDescent="0.25">
      <c r="B68" s="49" t="s">
        <v>369</v>
      </c>
      <c r="C68">
        <f>8.5*9</f>
        <v>76.5</v>
      </c>
      <c r="D68" s="87" t="s">
        <v>40</v>
      </c>
      <c r="E68" s="11">
        <f>+SPECS!$I$61</f>
        <v>4.7300000000000004</v>
      </c>
      <c r="F68" s="108">
        <f t="shared" si="4"/>
        <v>361.84500000000003</v>
      </c>
    </row>
    <row r="69" spans="2:6" x14ac:dyDescent="0.25">
      <c r="B69" s="49" t="s">
        <v>370</v>
      </c>
      <c r="C69">
        <v>7</v>
      </c>
      <c r="D69" s="87" t="s">
        <v>40</v>
      </c>
      <c r="E69" s="11">
        <f>+SPECS!$I$60</f>
        <v>4.5599999999999996</v>
      </c>
      <c r="F69" s="108">
        <f t="shared" si="4"/>
        <v>31.919999999999998</v>
      </c>
    </row>
    <row r="70" spans="2:6" x14ac:dyDescent="0.25">
      <c r="B70" s="49" t="s">
        <v>334</v>
      </c>
      <c r="C70">
        <f>+C67+C68+C69</f>
        <v>104.5</v>
      </c>
      <c r="D70" s="87" t="s">
        <v>40</v>
      </c>
      <c r="E70" s="11">
        <v>5</v>
      </c>
      <c r="F70" s="108">
        <f t="shared" si="4"/>
        <v>522.5</v>
      </c>
    </row>
    <row r="71" spans="2:6" x14ac:dyDescent="0.25">
      <c r="B71" s="48" t="s">
        <v>371</v>
      </c>
      <c r="C71" s="48"/>
      <c r="D71" s="48"/>
      <c r="E71" s="48"/>
      <c r="F71" s="66"/>
    </row>
    <row r="72" spans="2:6" x14ac:dyDescent="0.25">
      <c r="B72" s="49" t="s">
        <v>372</v>
      </c>
      <c r="C72">
        <v>30</v>
      </c>
      <c r="D72" s="87" t="s">
        <v>40</v>
      </c>
      <c r="E72" s="11">
        <f>+SPECS!$I$58</f>
        <v>4.3</v>
      </c>
      <c r="F72" s="108">
        <f t="shared" si="4"/>
        <v>129</v>
      </c>
    </row>
    <row r="73" spans="2:6" x14ac:dyDescent="0.25">
      <c r="B73" s="49" t="s">
        <v>334</v>
      </c>
      <c r="C73">
        <f>+C72</f>
        <v>30</v>
      </c>
      <c r="D73" s="87" t="s">
        <v>40</v>
      </c>
      <c r="E73" s="11">
        <v>5</v>
      </c>
      <c r="F73" s="108">
        <f t="shared" si="4"/>
        <v>150</v>
      </c>
    </row>
    <row r="74" spans="2:6" x14ac:dyDescent="0.25">
      <c r="B74" s="48" t="s">
        <v>373</v>
      </c>
      <c r="C74" s="48"/>
      <c r="D74" s="48"/>
      <c r="E74" s="48"/>
      <c r="F74" s="66"/>
    </row>
    <row r="75" spans="2:6" x14ac:dyDescent="0.25">
      <c r="B75" s="49" t="s">
        <v>374</v>
      </c>
      <c r="C75">
        <v>2</v>
      </c>
      <c r="D75" t="s">
        <v>324</v>
      </c>
      <c r="E75" s="11">
        <v>550</v>
      </c>
      <c r="F75" s="108">
        <f t="shared" si="4"/>
        <v>1100</v>
      </c>
    </row>
    <row r="76" spans="2:6" x14ac:dyDescent="0.25">
      <c r="B76" s="49" t="s">
        <v>375</v>
      </c>
      <c r="C76">
        <v>2</v>
      </c>
      <c r="D76" t="s">
        <v>324</v>
      </c>
      <c r="E76" s="11">
        <v>450</v>
      </c>
      <c r="F76" s="108">
        <f t="shared" si="4"/>
        <v>900</v>
      </c>
    </row>
    <row r="77" spans="2:6" x14ac:dyDescent="0.25">
      <c r="B77" s="49" t="s">
        <v>334</v>
      </c>
      <c r="C77">
        <f>+C75+C76</f>
        <v>4</v>
      </c>
      <c r="D77" t="s">
        <v>324</v>
      </c>
      <c r="E77" s="11">
        <v>100</v>
      </c>
      <c r="F77" s="108">
        <f t="shared" si="4"/>
        <v>400</v>
      </c>
    </row>
    <row r="78" spans="2:6" x14ac:dyDescent="0.25">
      <c r="B78" s="48" t="s">
        <v>376</v>
      </c>
      <c r="C78" s="48"/>
      <c r="D78" s="48"/>
      <c r="E78" s="48"/>
      <c r="F78" s="66"/>
    </row>
    <row r="79" spans="2:6" x14ac:dyDescent="0.25">
      <c r="B79" s="49" t="s">
        <v>377</v>
      </c>
      <c r="C79">
        <v>1</v>
      </c>
      <c r="D79" t="s">
        <v>324</v>
      </c>
      <c r="E79" s="11">
        <v>800</v>
      </c>
      <c r="F79" s="108">
        <f t="shared" si="4"/>
        <v>800</v>
      </c>
    </row>
    <row r="80" spans="2:6" x14ac:dyDescent="0.25">
      <c r="B80" s="49" t="s">
        <v>334</v>
      </c>
      <c r="C80">
        <v>1</v>
      </c>
      <c r="D80" t="s">
        <v>324</v>
      </c>
      <c r="E80" s="11">
        <v>100</v>
      </c>
      <c r="F80" s="108">
        <f t="shared" si="4"/>
        <v>100</v>
      </c>
    </row>
    <row r="81" spans="2:6" x14ac:dyDescent="0.25">
      <c r="B81" s="48" t="s">
        <v>378</v>
      </c>
      <c r="C81" s="48"/>
      <c r="D81" s="48"/>
      <c r="E81" s="48"/>
      <c r="F81" s="66"/>
    </row>
    <row r="82" spans="2:6" x14ac:dyDescent="0.25">
      <c r="B82" s="49" t="s">
        <v>379</v>
      </c>
      <c r="C82">
        <v>45</v>
      </c>
      <c r="D82" t="s">
        <v>40</v>
      </c>
      <c r="E82" s="11">
        <f>+SPECS!$I$22</f>
        <v>52.92</v>
      </c>
      <c r="F82" s="108">
        <f>+C82*E82</f>
        <v>2381.4</v>
      </c>
    </row>
    <row r="83" spans="2:6" x14ac:dyDescent="0.25">
      <c r="B83" s="49" t="s">
        <v>334</v>
      </c>
      <c r="C83">
        <f>+C82</f>
        <v>45</v>
      </c>
      <c r="D83" t="s">
        <v>40</v>
      </c>
      <c r="E83" s="11">
        <v>5</v>
      </c>
      <c r="F83" s="108">
        <f>+C83*E83</f>
        <v>225</v>
      </c>
    </row>
    <row r="84" spans="2:6" x14ac:dyDescent="0.25">
      <c r="B84" s="48" t="s">
        <v>380</v>
      </c>
      <c r="C84" s="48"/>
      <c r="D84" s="48"/>
      <c r="E84" s="48"/>
      <c r="F84" s="66"/>
    </row>
    <row r="85" spans="2:6" x14ac:dyDescent="0.25">
      <c r="B85" s="49" t="s">
        <v>381</v>
      </c>
      <c r="C85">
        <v>3</v>
      </c>
      <c r="D85" s="87" t="s">
        <v>324</v>
      </c>
      <c r="E85" s="11">
        <f>+SPECS!$I$35</f>
        <v>10.8</v>
      </c>
      <c r="F85" s="108">
        <f t="shared" ref="F85:F109" si="5">+C85*E85</f>
        <v>32.400000000000006</v>
      </c>
    </row>
    <row r="86" spans="2:6" x14ac:dyDescent="0.25">
      <c r="B86" s="49" t="s">
        <v>382</v>
      </c>
      <c r="C86">
        <v>1</v>
      </c>
      <c r="D86" s="87" t="s">
        <v>324</v>
      </c>
      <c r="E86" s="11">
        <f>+SPECS!$I$36</f>
        <v>38.869200000000006</v>
      </c>
      <c r="F86" s="108">
        <f t="shared" si="5"/>
        <v>38.869200000000006</v>
      </c>
    </row>
    <row r="87" spans="2:6" x14ac:dyDescent="0.25">
      <c r="B87" s="49" t="s">
        <v>383</v>
      </c>
      <c r="C87">
        <v>20</v>
      </c>
      <c r="D87" s="87" t="s">
        <v>324</v>
      </c>
      <c r="E87" s="11">
        <f>+SPECS!$I$39</f>
        <v>2.1384000000000003</v>
      </c>
      <c r="F87" s="108">
        <f t="shared" si="5"/>
        <v>42.768000000000008</v>
      </c>
    </row>
    <row r="88" spans="2:6" x14ac:dyDescent="0.25">
      <c r="B88" s="49" t="s">
        <v>384</v>
      </c>
      <c r="C88">
        <f>+C85+C86</f>
        <v>4</v>
      </c>
      <c r="D88" s="87" t="s">
        <v>324</v>
      </c>
      <c r="E88" s="11">
        <f>+SPECS!$I$55</f>
        <v>0.68310000000000004</v>
      </c>
      <c r="F88" s="108">
        <f t="shared" si="5"/>
        <v>2.7324000000000002</v>
      </c>
    </row>
    <row r="89" spans="2:6" x14ac:dyDescent="0.25">
      <c r="B89" s="49" t="s">
        <v>385</v>
      </c>
      <c r="C89">
        <v>1</v>
      </c>
      <c r="D89" s="87" t="s">
        <v>324</v>
      </c>
      <c r="E89" s="11">
        <f>+SPECS!$I$14</f>
        <v>32.378399999999999</v>
      </c>
      <c r="F89" s="108">
        <f t="shared" si="5"/>
        <v>32.378399999999999</v>
      </c>
    </row>
    <row r="90" spans="2:6" x14ac:dyDescent="0.25">
      <c r="B90" s="49" t="s">
        <v>386</v>
      </c>
      <c r="C90">
        <v>3</v>
      </c>
      <c r="D90" s="87" t="s">
        <v>324</v>
      </c>
      <c r="E90" s="11">
        <f>+SPECS!$I$8</f>
        <v>10.797300000000002</v>
      </c>
      <c r="F90" s="108">
        <f t="shared" si="5"/>
        <v>32.391900000000007</v>
      </c>
    </row>
    <row r="91" spans="2:6" x14ac:dyDescent="0.25">
      <c r="B91" s="49" t="s">
        <v>334</v>
      </c>
      <c r="C91" s="87">
        <v>1</v>
      </c>
      <c r="D91" s="87" t="s">
        <v>324</v>
      </c>
      <c r="E91" s="11">
        <v>100</v>
      </c>
      <c r="F91" s="108">
        <f t="shared" si="5"/>
        <v>100</v>
      </c>
    </row>
    <row r="92" spans="2:6" x14ac:dyDescent="0.25">
      <c r="B92" s="48" t="s">
        <v>304</v>
      </c>
      <c r="C92" s="48"/>
      <c r="D92" s="48"/>
      <c r="E92" s="48"/>
      <c r="F92" s="66"/>
    </row>
    <row r="93" spans="2:6" x14ac:dyDescent="0.25">
      <c r="B93" s="49" t="s">
        <v>387</v>
      </c>
      <c r="C93">
        <v>1</v>
      </c>
      <c r="D93" s="87" t="s">
        <v>324</v>
      </c>
      <c r="E93" s="11">
        <f>+SPECS!$I$18</f>
        <v>1294.92</v>
      </c>
      <c r="F93" s="108">
        <f t="shared" si="5"/>
        <v>1294.92</v>
      </c>
    </row>
    <row r="94" spans="2:6" x14ac:dyDescent="0.25">
      <c r="B94" s="49" t="s">
        <v>388</v>
      </c>
      <c r="C94">
        <v>1</v>
      </c>
      <c r="D94" s="87" t="s">
        <v>324</v>
      </c>
      <c r="E94" s="11">
        <f>+SPECS!$I$19</f>
        <v>538.92000000000007</v>
      </c>
      <c r="F94" s="108">
        <f t="shared" si="5"/>
        <v>538.92000000000007</v>
      </c>
    </row>
    <row r="95" spans="2:6" x14ac:dyDescent="0.25">
      <c r="B95" s="49" t="s">
        <v>389</v>
      </c>
      <c r="C95">
        <v>1</v>
      </c>
      <c r="D95" s="87" t="s">
        <v>324</v>
      </c>
      <c r="E95" s="11">
        <f>+SPECS!$I$20</f>
        <v>592.92000000000007</v>
      </c>
      <c r="F95" s="108">
        <f t="shared" si="5"/>
        <v>592.92000000000007</v>
      </c>
    </row>
    <row r="96" spans="2:6" x14ac:dyDescent="0.25">
      <c r="B96" s="49" t="s">
        <v>390</v>
      </c>
      <c r="C96">
        <v>1</v>
      </c>
      <c r="D96" s="87" t="s">
        <v>324</v>
      </c>
      <c r="E96" s="11">
        <f>+SPECS!$I$21</f>
        <v>431.98920000000004</v>
      </c>
      <c r="F96" s="108">
        <f t="shared" si="5"/>
        <v>431.98920000000004</v>
      </c>
    </row>
    <row r="97" spans="2:6" x14ac:dyDescent="0.25">
      <c r="B97" s="49" t="s">
        <v>334</v>
      </c>
      <c r="C97">
        <v>1</v>
      </c>
      <c r="D97" s="87" t="s">
        <v>324</v>
      </c>
      <c r="E97" s="11">
        <v>500</v>
      </c>
      <c r="F97" s="108">
        <f t="shared" si="5"/>
        <v>500</v>
      </c>
    </row>
    <row r="98" spans="2:6" x14ac:dyDescent="0.25">
      <c r="B98" s="48" t="s">
        <v>391</v>
      </c>
      <c r="C98" s="48"/>
      <c r="D98" s="48"/>
      <c r="E98" s="48"/>
      <c r="F98" s="66"/>
    </row>
    <row r="99" spans="2:6" x14ac:dyDescent="0.25">
      <c r="B99" s="49" t="s">
        <v>392</v>
      </c>
      <c r="C99">
        <v>1</v>
      </c>
      <c r="D99" s="87" t="s">
        <v>324</v>
      </c>
      <c r="E99" s="11">
        <f>+SPECS!$I$41</f>
        <v>432.30239999999998</v>
      </c>
      <c r="F99" s="108">
        <f t="shared" si="5"/>
        <v>432.30239999999998</v>
      </c>
    </row>
    <row r="100" spans="2:6" x14ac:dyDescent="0.25">
      <c r="B100" s="49" t="s">
        <v>393</v>
      </c>
      <c r="C100">
        <v>1</v>
      </c>
      <c r="D100" s="87" t="s">
        <v>324</v>
      </c>
      <c r="E100" s="11">
        <f>+SPECS!$I$42</f>
        <v>139.61160000000001</v>
      </c>
      <c r="F100" s="108">
        <f t="shared" si="5"/>
        <v>139.61160000000001</v>
      </c>
    </row>
    <row r="101" spans="2:6" x14ac:dyDescent="0.25">
      <c r="B101" s="49" t="s">
        <v>394</v>
      </c>
      <c r="C101">
        <v>1</v>
      </c>
      <c r="D101" s="87" t="s">
        <v>324</v>
      </c>
      <c r="E101" s="11">
        <f>+SPECS!$I$40</f>
        <v>187.0128</v>
      </c>
      <c r="F101" s="108">
        <f t="shared" si="5"/>
        <v>187.0128</v>
      </c>
    </row>
    <row r="102" spans="2:6" x14ac:dyDescent="0.25">
      <c r="B102" s="49" t="s">
        <v>395</v>
      </c>
      <c r="C102">
        <v>1</v>
      </c>
      <c r="D102" s="87" t="s">
        <v>324</v>
      </c>
      <c r="E102" s="11">
        <f>+SPECS!$I$43</f>
        <v>108.6156</v>
      </c>
      <c r="F102" s="108">
        <f t="shared" si="5"/>
        <v>108.6156</v>
      </c>
    </row>
    <row r="103" spans="2:6" x14ac:dyDescent="0.25">
      <c r="B103" s="49" t="s">
        <v>396</v>
      </c>
      <c r="C103">
        <v>1</v>
      </c>
      <c r="D103" s="87" t="s">
        <v>324</v>
      </c>
      <c r="E103" s="11">
        <f>+SPECS!$I$46</f>
        <v>87.469200000000001</v>
      </c>
      <c r="F103" s="108">
        <f t="shared" si="5"/>
        <v>87.469200000000001</v>
      </c>
    </row>
    <row r="104" spans="2:6" x14ac:dyDescent="0.25">
      <c r="B104" s="49" t="s">
        <v>397</v>
      </c>
      <c r="C104">
        <v>1</v>
      </c>
      <c r="D104" s="87" t="s">
        <v>324</v>
      </c>
      <c r="E104" s="11">
        <f>+SPECS!$I$44</f>
        <v>64.800000000000011</v>
      </c>
      <c r="F104" s="108">
        <f t="shared" si="5"/>
        <v>64.800000000000011</v>
      </c>
    </row>
    <row r="105" spans="2:6" x14ac:dyDescent="0.25">
      <c r="B105" s="49" t="s">
        <v>398</v>
      </c>
      <c r="C105">
        <v>1</v>
      </c>
      <c r="D105" s="87" t="s">
        <v>324</v>
      </c>
      <c r="E105" s="11">
        <f>+SPECS!$I$45</f>
        <v>38.577600000000004</v>
      </c>
      <c r="F105" s="108">
        <f t="shared" si="5"/>
        <v>38.577600000000004</v>
      </c>
    </row>
    <row r="106" spans="2:6" x14ac:dyDescent="0.25">
      <c r="B106" s="49" t="s">
        <v>399</v>
      </c>
      <c r="C106">
        <v>1</v>
      </c>
      <c r="D106" s="87" t="s">
        <v>324</v>
      </c>
      <c r="E106" s="11">
        <f>+SPECS!$I$47</f>
        <v>28.069199999999999</v>
      </c>
      <c r="F106" s="108">
        <f t="shared" si="5"/>
        <v>28.069199999999999</v>
      </c>
    </row>
    <row r="107" spans="2:6" x14ac:dyDescent="0.25">
      <c r="B107" s="49" t="s">
        <v>400</v>
      </c>
      <c r="C107">
        <v>1</v>
      </c>
      <c r="D107" s="87" t="s">
        <v>324</v>
      </c>
      <c r="E107" s="11">
        <f>+SPECS!$I$48</f>
        <v>51.224400000000003</v>
      </c>
      <c r="F107" s="108">
        <f t="shared" si="5"/>
        <v>51.224400000000003</v>
      </c>
    </row>
    <row r="108" spans="2:6" x14ac:dyDescent="0.25">
      <c r="B108" s="49" t="s">
        <v>401</v>
      </c>
      <c r="C108">
        <v>1</v>
      </c>
      <c r="D108" s="87" t="s">
        <v>324</v>
      </c>
      <c r="E108" s="11">
        <f>+SPECS!$I$49</f>
        <v>204.17400000000004</v>
      </c>
      <c r="F108" s="108">
        <f t="shared" si="5"/>
        <v>204.17400000000004</v>
      </c>
    </row>
    <row r="109" spans="2:6" x14ac:dyDescent="0.25">
      <c r="B109" s="49" t="s">
        <v>334</v>
      </c>
      <c r="C109">
        <v>1</v>
      </c>
      <c r="D109" s="87" t="s">
        <v>324</v>
      </c>
      <c r="E109" s="11">
        <v>500</v>
      </c>
      <c r="F109" s="108">
        <f t="shared" si="5"/>
        <v>500</v>
      </c>
    </row>
    <row r="110" spans="2:6" x14ac:dyDescent="0.25">
      <c r="B110" s="48" t="s">
        <v>402</v>
      </c>
      <c r="C110" s="48"/>
      <c r="D110" s="48"/>
      <c r="E110" s="48"/>
      <c r="F110" s="66"/>
    </row>
    <row r="111" spans="2:6" x14ac:dyDescent="0.25">
      <c r="B111" s="49" t="s">
        <v>403</v>
      </c>
      <c r="C111">
        <v>1</v>
      </c>
      <c r="D111" t="s">
        <v>324</v>
      </c>
      <c r="E111" s="11">
        <f>+SPECS!$I$31</f>
        <v>41.040000000000006</v>
      </c>
      <c r="F111" s="108">
        <f t="shared" ref="F111:F119" si="6">+C111*E111</f>
        <v>41.040000000000006</v>
      </c>
    </row>
    <row r="112" spans="2:6" x14ac:dyDescent="0.25">
      <c r="B112" s="49" t="s">
        <v>404</v>
      </c>
      <c r="C112">
        <v>12</v>
      </c>
      <c r="D112" t="s">
        <v>324</v>
      </c>
      <c r="E112" s="11">
        <f>+SPECS!$I$33</f>
        <v>17.917200000000001</v>
      </c>
      <c r="F112" s="108">
        <f t="shared" si="6"/>
        <v>215.00640000000001</v>
      </c>
    </row>
    <row r="113" spans="2:6" x14ac:dyDescent="0.25">
      <c r="B113" s="49" t="s">
        <v>405</v>
      </c>
      <c r="C113">
        <v>2</v>
      </c>
      <c r="D113" t="s">
        <v>324</v>
      </c>
      <c r="E113" s="11">
        <f>+SPECS!$I$34</f>
        <v>81.183600000000013</v>
      </c>
      <c r="F113" s="108">
        <f t="shared" si="6"/>
        <v>162.36720000000003</v>
      </c>
    </row>
    <row r="114" spans="2:6" x14ac:dyDescent="0.25">
      <c r="B114" s="49" t="s">
        <v>406</v>
      </c>
      <c r="C114">
        <v>1</v>
      </c>
      <c r="D114" t="s">
        <v>324</v>
      </c>
      <c r="E114" s="11">
        <f>+SPECS!$I$32</f>
        <v>21.578400000000002</v>
      </c>
      <c r="F114" s="108">
        <f t="shared" si="6"/>
        <v>21.578400000000002</v>
      </c>
    </row>
    <row r="115" spans="2:6" x14ac:dyDescent="0.25">
      <c r="B115" s="49" t="s">
        <v>407</v>
      </c>
      <c r="C115">
        <v>1</v>
      </c>
      <c r="D115" t="s">
        <v>324</v>
      </c>
      <c r="E115" s="11">
        <f>+SPECS!$I$56</f>
        <v>25.92</v>
      </c>
      <c r="F115" s="108">
        <f t="shared" si="6"/>
        <v>25.92</v>
      </c>
    </row>
    <row r="116" spans="2:6" x14ac:dyDescent="0.25">
      <c r="B116" s="49" t="s">
        <v>408</v>
      </c>
      <c r="C116">
        <v>8</v>
      </c>
      <c r="D116" t="s">
        <v>324</v>
      </c>
      <c r="E116" s="11">
        <f>+SPECS!$I$51</f>
        <v>2.4084000000000003</v>
      </c>
      <c r="F116" s="108">
        <f t="shared" si="6"/>
        <v>19.267200000000003</v>
      </c>
    </row>
    <row r="117" spans="2:6" x14ac:dyDescent="0.25">
      <c r="B117" s="49" t="s">
        <v>409</v>
      </c>
      <c r="C117">
        <f>+C116</f>
        <v>8</v>
      </c>
      <c r="D117" t="s">
        <v>324</v>
      </c>
      <c r="E117" s="11">
        <f>+SPECS!$I$52</f>
        <v>2.5099999999999998</v>
      </c>
      <c r="F117" s="108">
        <f t="shared" si="6"/>
        <v>20.079999999999998</v>
      </c>
    </row>
    <row r="118" spans="2:6" x14ac:dyDescent="0.25">
      <c r="B118" s="49" t="s">
        <v>410</v>
      </c>
      <c r="C118">
        <v>2</v>
      </c>
      <c r="D118" t="s">
        <v>324</v>
      </c>
      <c r="E118" s="11">
        <f>+SPECS!$I$57</f>
        <v>16.491600000000002</v>
      </c>
      <c r="F118" s="108">
        <f t="shared" si="6"/>
        <v>32.983200000000004</v>
      </c>
    </row>
    <row r="119" spans="2:6" x14ac:dyDescent="0.25">
      <c r="B119" s="49" t="s">
        <v>334</v>
      </c>
      <c r="C119">
        <v>1</v>
      </c>
      <c r="D119" t="s">
        <v>324</v>
      </c>
      <c r="E119" s="11">
        <v>500</v>
      </c>
      <c r="F119" s="108">
        <f t="shared" si="6"/>
        <v>500</v>
      </c>
    </row>
    <row r="120" spans="2:6" x14ac:dyDescent="0.25">
      <c r="B120" s="58" t="s">
        <v>318</v>
      </c>
      <c r="C120" s="58"/>
      <c r="D120" s="58"/>
      <c r="E120" s="58"/>
      <c r="F120" s="67">
        <f>SUM(F3:F119)</f>
        <v>63372.698899999988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CF422-38C2-4914-9198-6EC1A6C62156}">
  <dimension ref="B1:G120"/>
  <sheetViews>
    <sheetView showGridLines="0" workbookViewId="0">
      <pane ySplit="2" topLeftCell="A108" activePane="bottomLeft" state="frozen"/>
      <selection pane="bottomLeft" activeCell="C111" sqref="C111:C118"/>
    </sheetView>
    <sheetView workbookViewId="1"/>
  </sheetViews>
  <sheetFormatPr baseColWidth="10" defaultColWidth="11.42578125" defaultRowHeight="15" x14ac:dyDescent="0.25"/>
  <cols>
    <col min="2" max="2" width="46.5703125" bestFit="1" customWidth="1"/>
    <col min="3" max="4" width="9.140625"/>
    <col min="5" max="5" width="12" style="11" bestFit="1" customWidth="1"/>
    <col min="6" max="6" width="9.140625" style="61"/>
  </cols>
  <sheetData>
    <row r="1" spans="2:6" x14ac:dyDescent="0.25">
      <c r="E1" s="106" t="s">
        <v>321</v>
      </c>
      <c r="F1" s="110">
        <v>475</v>
      </c>
    </row>
    <row r="2" spans="2:6" x14ac:dyDescent="0.25">
      <c r="B2" s="58" t="s">
        <v>322</v>
      </c>
      <c r="C2" s="58" t="s">
        <v>323</v>
      </c>
      <c r="D2" s="58" t="s">
        <v>324</v>
      </c>
      <c r="E2" s="59" t="s">
        <v>325</v>
      </c>
      <c r="F2" s="60" t="s">
        <v>326</v>
      </c>
    </row>
    <row r="3" spans="2:6" x14ac:dyDescent="0.25">
      <c r="B3" s="47" t="str">
        <f>+'HOUSE EST 1'!B3</f>
        <v>Structure</v>
      </c>
      <c r="C3" s="47"/>
      <c r="D3" s="47"/>
      <c r="E3" s="47"/>
      <c r="F3" s="47"/>
    </row>
    <row r="4" spans="2:6" x14ac:dyDescent="0.25">
      <c r="B4" s="48" t="str">
        <f>+'HOUSE EST 1'!B4</f>
        <v>Framing</v>
      </c>
      <c r="C4" s="48"/>
      <c r="D4" s="48"/>
      <c r="E4" s="48"/>
      <c r="F4" s="48"/>
    </row>
    <row r="5" spans="2:6" x14ac:dyDescent="0.25">
      <c r="B5" s="49" t="str">
        <f>+'HOUSE EST 1'!B5</f>
        <v>Framing Material</v>
      </c>
      <c r="C5" s="57">
        <f>+(50+30+30+37)*10</f>
        <v>1470</v>
      </c>
      <c r="D5" t="s">
        <v>40</v>
      </c>
      <c r="E5" s="11">
        <v>3</v>
      </c>
      <c r="F5" s="106">
        <f>+C5*E5</f>
        <v>4410</v>
      </c>
    </row>
    <row r="6" spans="2:6" x14ac:dyDescent="0.25">
      <c r="B6" s="49" t="str">
        <f>+'HOUSE EST 1'!B6</f>
        <v>Framing Labor</v>
      </c>
      <c r="C6" s="57">
        <f t="shared" ref="C6" si="0">+(50+30+30+37)*10</f>
        <v>1470</v>
      </c>
      <c r="D6" t="s">
        <v>40</v>
      </c>
      <c r="E6" s="11">
        <v>2</v>
      </c>
      <c r="F6" s="106">
        <f t="shared" ref="F6:F8" si="1">+C6*E6</f>
        <v>2940</v>
      </c>
    </row>
    <row r="7" spans="2:6" x14ac:dyDescent="0.25">
      <c r="B7" s="49" t="str">
        <f>+'HOUSE EST 1'!B7</f>
        <v>Roofing Material</v>
      </c>
      <c r="C7" s="57">
        <f>+F1</f>
        <v>475</v>
      </c>
      <c r="D7" t="s">
        <v>40</v>
      </c>
      <c r="E7" s="11">
        <v>3</v>
      </c>
      <c r="F7" s="106">
        <f t="shared" si="1"/>
        <v>1425</v>
      </c>
    </row>
    <row r="8" spans="2:6" x14ac:dyDescent="0.25">
      <c r="B8" s="49" t="str">
        <f>+'HOUSE EST 1'!B8</f>
        <v>Roofing labor</v>
      </c>
      <c r="C8" s="57">
        <f>+F1</f>
        <v>475</v>
      </c>
      <c r="D8" t="s">
        <v>40</v>
      </c>
      <c r="E8" s="11">
        <v>2</v>
      </c>
      <c r="F8" s="106">
        <f t="shared" si="1"/>
        <v>950</v>
      </c>
    </row>
    <row r="9" spans="2:6" x14ac:dyDescent="0.25">
      <c r="B9" s="47" t="str">
        <f>+'HOUSE EST 1'!B9</f>
        <v>Exteriors</v>
      </c>
      <c r="C9" s="47"/>
      <c r="D9" s="47"/>
      <c r="E9" s="47"/>
      <c r="F9" s="47"/>
    </row>
    <row r="10" spans="2:6" x14ac:dyDescent="0.25">
      <c r="B10" s="48" t="str">
        <f>+'HOUSE EST 1'!B10</f>
        <v>Roofing Shingles</v>
      </c>
      <c r="C10" s="48"/>
      <c r="D10" s="48"/>
      <c r="E10" s="48"/>
      <c r="F10" s="48"/>
    </row>
    <row r="11" spans="2:6" x14ac:dyDescent="0.25">
      <c r="B11" s="49" t="str">
        <f>+'HOUSE EST 1'!B11</f>
        <v>Architectural 30 year warranty shingles</v>
      </c>
      <c r="C11" s="57">
        <f>+$F$1</f>
        <v>475</v>
      </c>
      <c r="D11" t="s">
        <v>40</v>
      </c>
      <c r="E11" s="11">
        <f>+SPECS!I12</f>
        <v>2</v>
      </c>
      <c r="F11" s="106">
        <f>+C11*E11</f>
        <v>950</v>
      </c>
    </row>
    <row r="12" spans="2:6" x14ac:dyDescent="0.25">
      <c r="B12" s="49" t="str">
        <f>+'HOUSE EST 1'!B12</f>
        <v>Labor</v>
      </c>
      <c r="C12" s="57">
        <f>+$F$1</f>
        <v>475</v>
      </c>
      <c r="D12" t="s">
        <v>40</v>
      </c>
      <c r="E12" s="11">
        <v>2</v>
      </c>
      <c r="F12" s="106">
        <f>+C12*E12</f>
        <v>950</v>
      </c>
    </row>
    <row r="13" spans="2:6" x14ac:dyDescent="0.25">
      <c r="B13" s="48" t="str">
        <f>+'HOUSE EST 1'!B13</f>
        <v>Windows</v>
      </c>
      <c r="C13" s="48"/>
      <c r="D13" s="48"/>
      <c r="E13" s="48"/>
      <c r="F13" s="48"/>
    </row>
    <row r="14" spans="2:6" x14ac:dyDescent="0.25">
      <c r="B14" s="49" t="str">
        <f>+'HOUSE EST 1'!B14</f>
        <v>1 wide Single Hung Vinyl window 36" x 61"</v>
      </c>
      <c r="C14">
        <v>4</v>
      </c>
      <c r="D14" s="87" t="s">
        <v>324</v>
      </c>
      <c r="E14" s="11">
        <f>+SPECS!I9</f>
        <v>289</v>
      </c>
      <c r="F14" s="106">
        <f>+C14*E14</f>
        <v>1156</v>
      </c>
    </row>
    <row r="15" spans="2:6" x14ac:dyDescent="0.25">
      <c r="B15" s="49" t="str">
        <f>+'HOUSE EST 1'!B15</f>
        <v>Picture Fixed Vinyl Window 35.5" x 23.5"</v>
      </c>
      <c r="C15">
        <v>1</v>
      </c>
      <c r="D15" s="87" t="s">
        <v>324</v>
      </c>
      <c r="E15" s="11">
        <f>+SPECS!I10</f>
        <v>238</v>
      </c>
      <c r="F15" s="106">
        <f>+C15*E15</f>
        <v>238</v>
      </c>
    </row>
    <row r="16" spans="2:6" x14ac:dyDescent="0.25">
      <c r="B16" s="49" t="str">
        <f>+'HOUSE EST 1'!B16</f>
        <v>Labor</v>
      </c>
      <c r="C16">
        <f>+C14+C15</f>
        <v>5</v>
      </c>
      <c r="D16" s="87" t="s">
        <v>324</v>
      </c>
      <c r="E16" s="11">
        <v>100</v>
      </c>
      <c r="F16" s="106">
        <f>+C16*E16</f>
        <v>500</v>
      </c>
    </row>
    <row r="17" spans="2:7" x14ac:dyDescent="0.25">
      <c r="B17" s="48" t="str">
        <f>+'HOUSE EST 1'!B17</f>
        <v>Siding</v>
      </c>
      <c r="C17" s="48"/>
      <c r="D17" s="48"/>
      <c r="E17" s="48"/>
      <c r="F17" s="48"/>
    </row>
    <row r="18" spans="2:7" x14ac:dyDescent="0.25">
      <c r="B18" s="49" t="str">
        <f>+'HOUSE EST 1'!B18</f>
        <v>House Wrap</v>
      </c>
      <c r="C18" s="87">
        <f>+(50+30+30)*10</f>
        <v>1100</v>
      </c>
      <c r="D18" t="s">
        <v>40</v>
      </c>
      <c r="E18" s="109">
        <v>0.27</v>
      </c>
      <c r="F18" s="106">
        <f>+C18*E18</f>
        <v>297</v>
      </c>
    </row>
    <row r="19" spans="2:7" x14ac:dyDescent="0.25">
      <c r="B19" s="49" t="str">
        <f>+'HOUSE EST 1'!B19</f>
        <v>HardiePlank fiber cement siding</v>
      </c>
      <c r="C19" s="87">
        <f>+C18</f>
        <v>1100</v>
      </c>
      <c r="D19" t="s">
        <v>40</v>
      </c>
      <c r="E19" s="109">
        <v>2.5</v>
      </c>
      <c r="F19" s="106">
        <f>+C19*E19</f>
        <v>2750</v>
      </c>
      <c r="G19" s="87" t="s">
        <v>339</v>
      </c>
    </row>
    <row r="20" spans="2:7" x14ac:dyDescent="0.25">
      <c r="B20" s="49" t="str">
        <f>+'HOUSE EST 1'!B20</f>
        <v>Labor</v>
      </c>
      <c r="C20" s="87">
        <f>+C18</f>
        <v>1100</v>
      </c>
      <c r="D20" t="s">
        <v>40</v>
      </c>
      <c r="E20" s="11">
        <v>1.5</v>
      </c>
      <c r="F20" s="106">
        <f>+C20*E20</f>
        <v>1650</v>
      </c>
    </row>
    <row r="21" spans="2:7" x14ac:dyDescent="0.25">
      <c r="B21" s="48" t="str">
        <f>+'HOUSE EST 1'!B21</f>
        <v>Exterior Trim</v>
      </c>
      <c r="C21" s="48"/>
      <c r="D21" s="48"/>
      <c r="E21" s="48"/>
      <c r="F21" s="48"/>
    </row>
    <row r="22" spans="2:7" x14ac:dyDescent="0.25">
      <c r="B22" s="49" t="str">
        <f>+'HOUSE EST 1'!B22</f>
        <v>Doors and Windows trim</v>
      </c>
      <c r="C22">
        <f>+(7+7+3)+((3+3+5+5)*4)+(3+3+2+2)</f>
        <v>91</v>
      </c>
      <c r="D22" s="87" t="s">
        <v>163</v>
      </c>
      <c r="E22" s="11">
        <f>+SPECS!I50</f>
        <v>2</v>
      </c>
      <c r="F22" s="106">
        <f>+C22*E22</f>
        <v>182</v>
      </c>
    </row>
    <row r="23" spans="2:7" x14ac:dyDescent="0.25">
      <c r="B23" s="49" t="str">
        <f>+'HOUSE EST 1'!B23</f>
        <v>Soffit and Fascia</v>
      </c>
      <c r="C23">
        <f>80+30</f>
        <v>110</v>
      </c>
      <c r="D23" s="87" t="s">
        <v>163</v>
      </c>
      <c r="E23" s="11">
        <v>4</v>
      </c>
      <c r="F23" s="106">
        <f>+C23*E23</f>
        <v>440</v>
      </c>
    </row>
    <row r="24" spans="2:7" x14ac:dyDescent="0.25">
      <c r="B24" s="49" t="str">
        <f>+'HOUSE EST 1'!B24</f>
        <v>Labor</v>
      </c>
      <c r="C24">
        <f>+C22+C23</f>
        <v>201</v>
      </c>
      <c r="D24" s="87" t="s">
        <v>163</v>
      </c>
      <c r="E24" s="11">
        <v>5</v>
      </c>
      <c r="F24" s="106">
        <f>+C24*E24</f>
        <v>1005</v>
      </c>
    </row>
    <row r="25" spans="2:7" x14ac:dyDescent="0.25">
      <c r="B25" s="48" t="str">
        <f>+'HOUSE EST 1'!B25</f>
        <v>Exterior Doors</v>
      </c>
      <c r="C25" s="48"/>
      <c r="D25" s="48"/>
      <c r="E25" s="48"/>
      <c r="F25" s="48"/>
    </row>
    <row r="26" spans="2:7" x14ac:dyDescent="0.25">
      <c r="B26" s="49" t="str">
        <f>+'HOUSE EST 1'!B26</f>
        <v>Front door Single Hinged Steel</v>
      </c>
      <c r="C26">
        <v>1</v>
      </c>
      <c r="D26" s="87" t="s">
        <v>324</v>
      </c>
      <c r="E26" s="11">
        <f>+SPECS!I7</f>
        <v>421.20000000000005</v>
      </c>
      <c r="F26" s="106">
        <f>+C26*E26</f>
        <v>421.20000000000005</v>
      </c>
    </row>
    <row r="27" spans="2:7" x14ac:dyDescent="0.25">
      <c r="B27" s="49" t="str">
        <f>+'HOUSE EST 1'!B27</f>
        <v>Labor</v>
      </c>
      <c r="C27">
        <v>1</v>
      </c>
      <c r="D27" s="87" t="s">
        <v>324</v>
      </c>
      <c r="E27" s="11">
        <v>100</v>
      </c>
      <c r="F27" s="106">
        <f>+C27*E27</f>
        <v>100</v>
      </c>
    </row>
    <row r="28" spans="2:7" x14ac:dyDescent="0.25">
      <c r="B28" s="48" t="str">
        <f>+'HOUSE EST 1'!B28</f>
        <v>Gutters</v>
      </c>
      <c r="C28" s="48"/>
      <c r="D28" s="48"/>
      <c r="E28" s="48"/>
      <c r="F28" s="48"/>
    </row>
    <row r="29" spans="2:7" x14ac:dyDescent="0.25">
      <c r="B29" s="49" t="str">
        <f>+'HOUSE EST 1'!B29</f>
        <v>Black Gutters</v>
      </c>
      <c r="C29">
        <f>+C23</f>
        <v>110</v>
      </c>
      <c r="D29" s="87" t="s">
        <v>163</v>
      </c>
      <c r="E29" s="11">
        <v>5</v>
      </c>
      <c r="F29" s="106">
        <f>+C29*E29</f>
        <v>550</v>
      </c>
    </row>
    <row r="30" spans="2:7" x14ac:dyDescent="0.25">
      <c r="B30" s="49" t="str">
        <f>+'HOUSE EST 1'!B30</f>
        <v>Black Downspots</v>
      </c>
      <c r="C30">
        <f>6*10</f>
        <v>60</v>
      </c>
      <c r="D30" s="87" t="s">
        <v>163</v>
      </c>
      <c r="E30" s="11">
        <v>5</v>
      </c>
      <c r="F30" s="106">
        <f t="shared" ref="F30:F31" si="2">+C30*E30</f>
        <v>300</v>
      </c>
    </row>
    <row r="31" spans="2:7" x14ac:dyDescent="0.25">
      <c r="B31" s="49" t="str">
        <f>+'HOUSE EST 1'!B31</f>
        <v>Labor</v>
      </c>
      <c r="C31">
        <f>+C29+C30</f>
        <v>170</v>
      </c>
      <c r="D31" s="87" t="s">
        <v>163</v>
      </c>
      <c r="E31" s="11">
        <v>2</v>
      </c>
      <c r="F31" s="106">
        <f t="shared" si="2"/>
        <v>340</v>
      </c>
    </row>
    <row r="32" spans="2:7" x14ac:dyDescent="0.25">
      <c r="B32" s="47" t="str">
        <f>+'HOUSE EST 1'!B32</f>
        <v xml:space="preserve">MEP's </v>
      </c>
      <c r="C32" s="47"/>
      <c r="D32" s="47"/>
      <c r="E32" s="47"/>
      <c r="F32" s="47"/>
    </row>
    <row r="33" spans="2:7" x14ac:dyDescent="0.25">
      <c r="B33" s="48" t="str">
        <f>+'HOUSE EST 1'!B33</f>
        <v>Plumbing Roughs</v>
      </c>
      <c r="C33" s="48"/>
      <c r="D33" s="48"/>
      <c r="E33" s="48"/>
      <c r="F33" s="48"/>
    </row>
    <row r="34" spans="2:7" x14ac:dyDescent="0.25">
      <c r="B34" s="49" t="str">
        <f>+'HOUSE EST 1'!B34</f>
        <v>Water lines and materials</v>
      </c>
      <c r="C34" s="57">
        <v>50</v>
      </c>
      <c r="D34" s="87" t="s">
        <v>163</v>
      </c>
      <c r="E34" s="11">
        <v>23</v>
      </c>
      <c r="F34" s="106">
        <f t="shared" ref="F34:F43" si="3">+C34*E34</f>
        <v>1150</v>
      </c>
      <c r="G34" s="13"/>
    </row>
    <row r="35" spans="2:7" x14ac:dyDescent="0.25">
      <c r="B35" s="49" t="str">
        <f>+'HOUSE EST 1'!B35</f>
        <v>House Sewer pipes and materials</v>
      </c>
      <c r="C35" s="57">
        <v>50</v>
      </c>
      <c r="D35" s="87" t="s">
        <v>163</v>
      </c>
      <c r="E35" s="11">
        <v>38</v>
      </c>
      <c r="F35" s="106">
        <f t="shared" si="3"/>
        <v>1900</v>
      </c>
      <c r="G35" s="13"/>
    </row>
    <row r="36" spans="2:7" x14ac:dyDescent="0.25">
      <c r="B36" s="49" t="str">
        <f>+'HOUSE EST 1'!B36</f>
        <v>Water heater</v>
      </c>
      <c r="C36">
        <v>1</v>
      </c>
      <c r="D36" s="87" t="s">
        <v>324</v>
      </c>
      <c r="E36" s="11">
        <v>625</v>
      </c>
      <c r="F36" s="106">
        <f t="shared" si="3"/>
        <v>625</v>
      </c>
    </row>
    <row r="37" spans="2:7" x14ac:dyDescent="0.25">
      <c r="B37" s="49" t="str">
        <f>+'HOUSE EST 1'!B37</f>
        <v>Labor</v>
      </c>
      <c r="C37">
        <v>1</v>
      </c>
      <c r="D37" s="87" t="s">
        <v>324</v>
      </c>
      <c r="E37" s="11">
        <v>550</v>
      </c>
      <c r="F37" s="106">
        <f t="shared" si="3"/>
        <v>550</v>
      </c>
    </row>
    <row r="38" spans="2:7" x14ac:dyDescent="0.25">
      <c r="B38" s="48" t="str">
        <f>+'HOUSE EST 1'!B38</f>
        <v>Electrical Roughs</v>
      </c>
      <c r="C38" s="48"/>
      <c r="D38" s="48"/>
      <c r="E38" s="48"/>
      <c r="F38" s="48"/>
    </row>
    <row r="39" spans="2:7" x14ac:dyDescent="0.25">
      <c r="B39" s="49" t="str">
        <f>+'HOUSE EST 1'!B39</f>
        <v>Electrical Roughs Materials</v>
      </c>
      <c r="C39">
        <f>80+30</f>
        <v>110</v>
      </c>
      <c r="D39" s="87" t="s">
        <v>163</v>
      </c>
      <c r="E39" s="11">
        <v>23.4375</v>
      </c>
      <c r="F39" s="106">
        <f t="shared" si="3"/>
        <v>2578.125</v>
      </c>
    </row>
    <row r="40" spans="2:7" x14ac:dyDescent="0.25">
      <c r="B40" s="49" t="str">
        <f>+'HOUSE EST 1'!B40</f>
        <v>Labor</v>
      </c>
      <c r="C40">
        <v>1</v>
      </c>
      <c r="D40" s="87" t="s">
        <v>324</v>
      </c>
      <c r="E40" s="11">
        <v>600</v>
      </c>
      <c r="F40" s="106">
        <f t="shared" si="3"/>
        <v>600</v>
      </c>
    </row>
    <row r="41" spans="2:7" x14ac:dyDescent="0.25">
      <c r="B41" s="48" t="str">
        <f>+'HOUSE EST 1'!B41</f>
        <v>HVAC</v>
      </c>
      <c r="C41" s="48"/>
      <c r="D41" s="48"/>
      <c r="E41" s="48"/>
      <c r="F41" s="48"/>
    </row>
    <row r="42" spans="2:7" x14ac:dyDescent="0.25">
      <c r="B42" s="49" t="str">
        <f>+'HOUSE EST 1'!B42</f>
        <v>HVAC System</v>
      </c>
      <c r="C42">
        <v>1</v>
      </c>
      <c r="D42" s="87" t="s">
        <v>324</v>
      </c>
      <c r="E42" s="11">
        <v>6000</v>
      </c>
      <c r="F42" s="106">
        <f t="shared" si="3"/>
        <v>6000</v>
      </c>
    </row>
    <row r="43" spans="2:7" x14ac:dyDescent="0.25">
      <c r="B43" s="49" t="str">
        <f>+'HOUSE EST 1'!B43</f>
        <v>Labor</v>
      </c>
      <c r="C43">
        <v>1</v>
      </c>
      <c r="D43" s="87" t="s">
        <v>324</v>
      </c>
      <c r="E43" s="11">
        <v>2000</v>
      </c>
      <c r="F43" s="106">
        <f t="shared" si="3"/>
        <v>2000</v>
      </c>
    </row>
    <row r="44" spans="2:7" x14ac:dyDescent="0.25">
      <c r="B44" s="47" t="str">
        <f>+'HOUSE EST 1'!B44</f>
        <v>Finishes</v>
      </c>
      <c r="C44" s="47"/>
      <c r="D44" s="47"/>
      <c r="E44" s="47"/>
      <c r="F44" s="47"/>
    </row>
    <row r="45" spans="2:7" x14ac:dyDescent="0.25">
      <c r="B45" s="48" t="str">
        <f>+'HOUSE EST 1'!B45</f>
        <v>Insulation</v>
      </c>
      <c r="C45" s="48"/>
      <c r="D45" s="48"/>
      <c r="E45" s="48"/>
      <c r="F45" s="48"/>
    </row>
    <row r="46" spans="2:7" x14ac:dyDescent="0.25">
      <c r="B46" s="49" t="str">
        <f>+'HOUSE EST 1'!B46</f>
        <v>Wall insulation</v>
      </c>
      <c r="C46">
        <f>9*110</f>
        <v>990</v>
      </c>
      <c r="D46" s="87" t="s">
        <v>40</v>
      </c>
      <c r="E46" s="11">
        <v>2.5</v>
      </c>
      <c r="F46" s="106">
        <f t="shared" ref="F46:F80" si="4">+C46*E46</f>
        <v>2475</v>
      </c>
    </row>
    <row r="47" spans="2:7" x14ac:dyDescent="0.25">
      <c r="B47" s="49" t="str">
        <f>+'HOUSE EST 1'!B47</f>
        <v>Attic Insulation</v>
      </c>
      <c r="C47" s="57">
        <f>+$F$1</f>
        <v>475</v>
      </c>
      <c r="D47" s="87" t="s">
        <v>40</v>
      </c>
      <c r="E47" s="11">
        <v>2.5</v>
      </c>
      <c r="F47" s="106">
        <f t="shared" si="4"/>
        <v>1187.5</v>
      </c>
    </row>
    <row r="48" spans="2:7" x14ac:dyDescent="0.25">
      <c r="B48" s="49" t="str">
        <f>+'HOUSE EST 1'!B48</f>
        <v>Labor</v>
      </c>
      <c r="C48" s="57">
        <f>+C46+C47</f>
        <v>1465</v>
      </c>
      <c r="D48" s="87" t="s">
        <v>40</v>
      </c>
      <c r="E48" s="11">
        <v>0.5</v>
      </c>
      <c r="F48" s="106">
        <f t="shared" si="4"/>
        <v>732.5</v>
      </c>
    </row>
    <row r="49" spans="2:6" x14ac:dyDescent="0.25">
      <c r="B49" s="48" t="str">
        <f>+'HOUSE EST 1'!B49</f>
        <v>Drywall</v>
      </c>
      <c r="C49" s="48"/>
      <c r="D49" s="48"/>
      <c r="E49" s="48"/>
      <c r="F49" s="48"/>
    </row>
    <row r="50" spans="2:6" x14ac:dyDescent="0.25">
      <c r="B50" s="49" t="str">
        <f>+'HOUSE EST 1'!B50</f>
        <v>Drywall and materials</v>
      </c>
      <c r="C50">
        <f>150*9</f>
        <v>1350</v>
      </c>
      <c r="D50" s="87" t="s">
        <v>40</v>
      </c>
      <c r="E50" s="11">
        <v>2.21</v>
      </c>
      <c r="F50" s="106">
        <f t="shared" si="4"/>
        <v>2983.5</v>
      </c>
    </row>
    <row r="51" spans="2:6" x14ac:dyDescent="0.25">
      <c r="B51" s="49" t="str">
        <f>+'HOUSE EST 1'!B51</f>
        <v>Hang, finish and sand drywall, ready to paint</v>
      </c>
      <c r="C51" s="87">
        <f>+C50</f>
        <v>1350</v>
      </c>
      <c r="D51" s="87" t="s">
        <v>40</v>
      </c>
      <c r="E51" s="11">
        <v>1.1499999999999999</v>
      </c>
      <c r="F51" s="106">
        <f t="shared" si="4"/>
        <v>1552.4999999999998</v>
      </c>
    </row>
    <row r="52" spans="2:6" x14ac:dyDescent="0.25">
      <c r="B52" s="48" t="str">
        <f>+'HOUSE EST 1'!B52</f>
        <v>Interior Doors and Trim</v>
      </c>
      <c r="C52" s="48"/>
      <c r="D52" s="48"/>
      <c r="E52" s="48"/>
      <c r="F52" s="48"/>
    </row>
    <row r="53" spans="2:6" x14ac:dyDescent="0.25">
      <c r="B53" s="49" t="str">
        <f>+'HOUSE EST 1'!B53</f>
        <v>Inswing/Outswing Single Prehung Door</v>
      </c>
      <c r="C53">
        <v>5</v>
      </c>
      <c r="D53" s="87" t="s">
        <v>324</v>
      </c>
      <c r="E53" s="11">
        <f>+SPECS!I37</f>
        <v>141.48000000000002</v>
      </c>
      <c r="F53" s="106">
        <f t="shared" si="4"/>
        <v>707.40000000000009</v>
      </c>
    </row>
    <row r="54" spans="2:6" x14ac:dyDescent="0.25">
      <c r="B54" s="49" t="str">
        <f>+'HOUSE EST 1'!B54</f>
        <v>Bifold</v>
      </c>
      <c r="C54">
        <v>1</v>
      </c>
      <c r="D54" s="87" t="s">
        <v>324</v>
      </c>
      <c r="E54" s="11">
        <f>+SPECS!I38</f>
        <v>109.47960000000002</v>
      </c>
      <c r="F54" s="106">
        <f t="shared" si="4"/>
        <v>109.47960000000002</v>
      </c>
    </row>
    <row r="55" spans="2:6" x14ac:dyDescent="0.25">
      <c r="B55" s="49" t="str">
        <f>+'HOUSE EST 1'!B55</f>
        <v xml:space="preserve">Baseboard 1x6 </v>
      </c>
      <c r="C55">
        <v>150</v>
      </c>
      <c r="D55" s="87" t="s">
        <v>163</v>
      </c>
      <c r="E55" s="11">
        <f>+SPECS!I50</f>
        <v>2</v>
      </c>
      <c r="F55" s="106">
        <f t="shared" si="4"/>
        <v>300</v>
      </c>
    </row>
    <row r="56" spans="2:6" x14ac:dyDescent="0.25">
      <c r="B56" s="49" t="str">
        <f>+'HOUSE EST 1'!B56</f>
        <v>Doors and windows trim</v>
      </c>
      <c r="C56">
        <f>+(C53*(7+3))+(C16*(6+10))</f>
        <v>130</v>
      </c>
      <c r="D56" s="87" t="s">
        <v>163</v>
      </c>
      <c r="E56" s="11">
        <f>+E55</f>
        <v>2</v>
      </c>
      <c r="F56" s="106">
        <f t="shared" si="4"/>
        <v>260</v>
      </c>
    </row>
    <row r="57" spans="2:6" x14ac:dyDescent="0.25">
      <c r="B57" s="49" t="str">
        <f>+'HOUSE EST 1'!B57</f>
        <v>Labor</v>
      </c>
      <c r="C57">
        <f>+C53+C54</f>
        <v>6</v>
      </c>
      <c r="D57" s="87" t="s">
        <v>324</v>
      </c>
      <c r="E57" s="11">
        <v>100</v>
      </c>
      <c r="F57" s="106">
        <f t="shared" si="4"/>
        <v>600</v>
      </c>
    </row>
    <row r="58" spans="2:6" x14ac:dyDescent="0.25">
      <c r="B58" s="48" t="str">
        <f>+'HOUSE EST 1'!B58</f>
        <v>Painting</v>
      </c>
      <c r="C58" s="48"/>
      <c r="D58" s="48"/>
      <c r="E58" s="48"/>
      <c r="F58" s="48"/>
    </row>
    <row r="59" spans="2:6" x14ac:dyDescent="0.25">
      <c r="B59" s="49" t="str">
        <f>+'HOUSE EST 1'!B59</f>
        <v>Interior Painting</v>
      </c>
      <c r="C59">
        <f>+C50</f>
        <v>1350</v>
      </c>
      <c r="D59" s="87" t="s">
        <v>40</v>
      </c>
      <c r="E59" s="11">
        <v>2</v>
      </c>
      <c r="F59" s="106">
        <f t="shared" si="4"/>
        <v>2700</v>
      </c>
    </row>
    <row r="60" spans="2:6" x14ac:dyDescent="0.25">
      <c r="B60" s="49" t="str">
        <f>+'HOUSE EST 1'!B60</f>
        <v>Exterior painting</v>
      </c>
      <c r="C60" s="87">
        <f>+C18</f>
        <v>1100</v>
      </c>
      <c r="D60" s="87" t="s">
        <v>40</v>
      </c>
      <c r="E60" s="11">
        <v>3</v>
      </c>
      <c r="F60" s="106">
        <f t="shared" si="4"/>
        <v>3300</v>
      </c>
    </row>
    <row r="61" spans="2:6" x14ac:dyDescent="0.25">
      <c r="B61" s="49" t="str">
        <f>+'HOUSE EST 1'!B61</f>
        <v>Labor</v>
      </c>
      <c r="C61">
        <f>+C59+C60</f>
        <v>2450</v>
      </c>
      <c r="D61" s="87" t="s">
        <v>40</v>
      </c>
      <c r="E61" s="11">
        <v>1</v>
      </c>
      <c r="F61" s="106">
        <f t="shared" si="4"/>
        <v>2450</v>
      </c>
    </row>
    <row r="62" spans="2:6" x14ac:dyDescent="0.25">
      <c r="B62" s="48" t="str">
        <f>+'HOUSE EST 1'!B62</f>
        <v>Flooring</v>
      </c>
      <c r="C62" s="48"/>
      <c r="D62" s="48"/>
      <c r="E62" s="48"/>
      <c r="F62" s="48"/>
    </row>
    <row r="63" spans="2:6" x14ac:dyDescent="0.25">
      <c r="B63" s="49" t="str">
        <f>+'HOUSE EST 1'!B63</f>
        <v>Bedrooms carpet</v>
      </c>
      <c r="C63">
        <f>90+90</f>
        <v>180</v>
      </c>
      <c r="D63" s="87" t="s">
        <v>40</v>
      </c>
      <c r="E63" s="11">
        <f>+SPECS!I16</f>
        <v>3.0132000000000003</v>
      </c>
      <c r="F63" s="106">
        <f t="shared" si="4"/>
        <v>542.37600000000009</v>
      </c>
    </row>
    <row r="64" spans="2:6" x14ac:dyDescent="0.25">
      <c r="B64" s="49" t="str">
        <f>+'HOUSE EST 1'!B64</f>
        <v>Vynil plank</v>
      </c>
      <c r="C64" s="57">
        <f>+F1-C63-C67</f>
        <v>274</v>
      </c>
      <c r="D64" s="87" t="s">
        <v>40</v>
      </c>
      <c r="E64" s="11">
        <f>+SPECS!I17</f>
        <v>4.4820000000000011</v>
      </c>
      <c r="F64" s="106">
        <f t="shared" si="4"/>
        <v>1228.0680000000002</v>
      </c>
    </row>
    <row r="65" spans="2:6" x14ac:dyDescent="0.25">
      <c r="B65" s="49" t="str">
        <f>+'HOUSE EST 1'!B65</f>
        <v>Labor</v>
      </c>
      <c r="C65" s="57">
        <f>+C63+C64</f>
        <v>454</v>
      </c>
      <c r="D65" s="87" t="s">
        <v>40</v>
      </c>
      <c r="E65" s="11">
        <v>5</v>
      </c>
      <c r="F65" s="106">
        <f t="shared" si="4"/>
        <v>2270</v>
      </c>
    </row>
    <row r="66" spans="2:6" x14ac:dyDescent="0.25">
      <c r="B66" s="48" t="str">
        <f>+'HOUSE EST 1'!B66</f>
        <v>Bathroom Tiling</v>
      </c>
      <c r="C66" s="48"/>
      <c r="D66" s="48"/>
      <c r="E66" s="48"/>
      <c r="F66" s="48"/>
    </row>
    <row r="67" spans="2:6" x14ac:dyDescent="0.25">
      <c r="B67" s="49" t="str">
        <f>+'HOUSE EST 1'!B67</f>
        <v>Floor tile</v>
      </c>
      <c r="C67">
        <v>21</v>
      </c>
      <c r="D67" s="87" t="s">
        <v>40</v>
      </c>
      <c r="E67" s="11">
        <f>+SPECS!I59</f>
        <v>4.6100000000000003</v>
      </c>
      <c r="F67" s="106">
        <f t="shared" si="4"/>
        <v>96.81</v>
      </c>
    </row>
    <row r="68" spans="2:6" x14ac:dyDescent="0.25">
      <c r="B68" s="49" t="str">
        <f>+'HOUSE EST 1'!B68</f>
        <v>Shower Surround Tile</v>
      </c>
      <c r="C68">
        <f>8.5*9</f>
        <v>76.5</v>
      </c>
      <c r="D68" s="87" t="s">
        <v>40</v>
      </c>
      <c r="E68" s="11">
        <f>+SPECS!I61</f>
        <v>4.7300000000000004</v>
      </c>
      <c r="F68" s="106">
        <f t="shared" si="4"/>
        <v>361.84500000000003</v>
      </c>
    </row>
    <row r="69" spans="2:6" x14ac:dyDescent="0.25">
      <c r="B69" s="49" t="str">
        <f>+'HOUSE EST 1'!B69</f>
        <v>Shower floor tile</v>
      </c>
      <c r="C69">
        <v>7</v>
      </c>
      <c r="D69" s="87" t="s">
        <v>40</v>
      </c>
      <c r="E69" s="11">
        <f>+SPECS!I60</f>
        <v>4.5599999999999996</v>
      </c>
      <c r="F69" s="106">
        <f t="shared" si="4"/>
        <v>31.919999999999998</v>
      </c>
    </row>
    <row r="70" spans="2:6" x14ac:dyDescent="0.25">
      <c r="B70" s="49" t="str">
        <f>+'HOUSE EST 1'!B70</f>
        <v>Labor</v>
      </c>
      <c r="C70">
        <f>+C67+C68+C69</f>
        <v>104.5</v>
      </c>
      <c r="D70" s="87" t="s">
        <v>40</v>
      </c>
      <c r="E70" s="11">
        <v>5</v>
      </c>
      <c r="F70" s="106">
        <f t="shared" si="4"/>
        <v>522.5</v>
      </c>
    </row>
    <row r="71" spans="2:6" x14ac:dyDescent="0.25">
      <c r="B71" s="48" t="str">
        <f>+'HOUSE EST 1'!B71</f>
        <v>Kitchen Backsplash</v>
      </c>
      <c r="C71" s="48"/>
      <c r="D71" s="48"/>
      <c r="E71" s="48"/>
      <c r="F71" s="48"/>
    </row>
    <row r="72" spans="2:6" x14ac:dyDescent="0.25">
      <c r="B72" s="49" t="str">
        <f>+'HOUSE EST 1'!B72</f>
        <v>3x6 Subway tile</v>
      </c>
      <c r="C72">
        <v>30</v>
      </c>
      <c r="D72" s="87" t="s">
        <v>40</v>
      </c>
      <c r="E72" s="11">
        <f>+SPECS!I58</f>
        <v>4.3</v>
      </c>
      <c r="F72" s="106">
        <f t="shared" si="4"/>
        <v>129</v>
      </c>
    </row>
    <row r="73" spans="2:6" x14ac:dyDescent="0.25">
      <c r="B73" s="49" t="str">
        <f>+'HOUSE EST 1'!B73</f>
        <v>Labor</v>
      </c>
      <c r="C73">
        <f>+C72</f>
        <v>30</v>
      </c>
      <c r="D73" s="87" t="s">
        <v>40</v>
      </c>
      <c r="E73" s="11">
        <v>5</v>
      </c>
      <c r="F73" s="106">
        <f t="shared" si="4"/>
        <v>150</v>
      </c>
    </row>
    <row r="74" spans="2:6" x14ac:dyDescent="0.25">
      <c r="B74" s="48" t="str">
        <f>+'HOUSE EST 1'!B74</f>
        <v>Kitchen Cabinets</v>
      </c>
      <c r="C74" s="48"/>
      <c r="D74" s="48"/>
      <c r="E74" s="48"/>
      <c r="F74" s="48"/>
    </row>
    <row r="75" spans="2:6" x14ac:dyDescent="0.25">
      <c r="B75" s="49" t="str">
        <f>+'HOUSE EST 1'!B75</f>
        <v>Base Cabinets</v>
      </c>
      <c r="C75">
        <v>2</v>
      </c>
      <c r="D75" t="s">
        <v>324</v>
      </c>
      <c r="E75" s="11">
        <v>550</v>
      </c>
      <c r="F75" s="106">
        <f t="shared" si="4"/>
        <v>1100</v>
      </c>
    </row>
    <row r="76" spans="2:6" x14ac:dyDescent="0.25">
      <c r="B76" s="49" t="str">
        <f>+'HOUSE EST 1'!B76</f>
        <v>Uppers 36" Cabinets</v>
      </c>
      <c r="C76">
        <v>2</v>
      </c>
      <c r="D76" t="s">
        <v>324</v>
      </c>
      <c r="E76" s="11">
        <v>450</v>
      </c>
      <c r="F76" s="106">
        <f t="shared" si="4"/>
        <v>900</v>
      </c>
    </row>
    <row r="77" spans="2:6" x14ac:dyDescent="0.25">
      <c r="B77" s="49" t="str">
        <f>+'HOUSE EST 1'!B77</f>
        <v>Labor</v>
      </c>
      <c r="C77">
        <f>+C75+C76</f>
        <v>4</v>
      </c>
      <c r="D77" t="s">
        <v>324</v>
      </c>
      <c r="E77" s="11">
        <v>100</v>
      </c>
      <c r="F77" s="106">
        <f t="shared" si="4"/>
        <v>400</v>
      </c>
    </row>
    <row r="78" spans="2:6" x14ac:dyDescent="0.25">
      <c r="B78" s="48" t="str">
        <f>+'HOUSE EST 1'!B78</f>
        <v>Bathroom Cabinets</v>
      </c>
      <c r="C78" s="48"/>
      <c r="D78" s="48"/>
      <c r="E78" s="48"/>
      <c r="F78" s="48"/>
    </row>
    <row r="79" spans="2:6" x14ac:dyDescent="0.25">
      <c r="B79" s="49" t="str">
        <f>+'HOUSE EST 1'!B79</f>
        <v>Base Single Vanity Cabinets</v>
      </c>
      <c r="C79">
        <v>1</v>
      </c>
      <c r="D79" t="s">
        <v>324</v>
      </c>
      <c r="E79" s="11">
        <v>800</v>
      </c>
      <c r="F79" s="106">
        <f t="shared" si="4"/>
        <v>800</v>
      </c>
    </row>
    <row r="80" spans="2:6" x14ac:dyDescent="0.25">
      <c r="B80" s="49" t="str">
        <f>+'HOUSE EST 1'!B80</f>
        <v>Labor</v>
      </c>
      <c r="C80">
        <v>1</v>
      </c>
      <c r="D80" t="s">
        <v>324</v>
      </c>
      <c r="E80" s="11">
        <v>100</v>
      </c>
      <c r="F80" s="106">
        <f t="shared" si="4"/>
        <v>100</v>
      </c>
    </row>
    <row r="81" spans="2:6" x14ac:dyDescent="0.25">
      <c r="B81" s="48" t="str">
        <f>+'HOUSE EST 1'!B81</f>
        <v>Countertops</v>
      </c>
      <c r="C81" s="48"/>
      <c r="D81" s="48"/>
      <c r="E81" s="48"/>
      <c r="F81" s="48"/>
    </row>
    <row r="82" spans="2:6" x14ac:dyDescent="0.25">
      <c r="B82" s="49" t="str">
        <f>+'HOUSE EST 1'!B82</f>
        <v>Kitchen Countertop</v>
      </c>
      <c r="C82">
        <v>45</v>
      </c>
      <c r="D82" t="s">
        <v>40</v>
      </c>
      <c r="E82" s="11">
        <f>+SPECS!I22</f>
        <v>52.92</v>
      </c>
      <c r="F82" s="106">
        <f>+C82*E82</f>
        <v>2381.4</v>
      </c>
    </row>
    <row r="83" spans="2:6" x14ac:dyDescent="0.25">
      <c r="B83" s="49" t="str">
        <f>+'HOUSE EST 1'!B83</f>
        <v>Labor</v>
      </c>
      <c r="C83">
        <f>+C82</f>
        <v>45</v>
      </c>
      <c r="D83" t="s">
        <v>40</v>
      </c>
      <c r="E83" s="11">
        <v>5</v>
      </c>
      <c r="F83" s="106">
        <f>+C83*E83</f>
        <v>225</v>
      </c>
    </row>
    <row r="84" spans="2:6" x14ac:dyDescent="0.25">
      <c r="B84" s="48" t="str">
        <f>+'HOUSE EST 1'!B84</f>
        <v>House Hardware</v>
      </c>
      <c r="C84" s="48"/>
      <c r="D84" s="48"/>
      <c r="E84" s="48"/>
      <c r="F84" s="48"/>
    </row>
    <row r="85" spans="2:6" x14ac:dyDescent="0.25">
      <c r="B85" s="49" t="str">
        <f>+'HOUSE EST 1'!B85</f>
        <v>Privacy Doorknob</v>
      </c>
      <c r="C85">
        <v>4</v>
      </c>
      <c r="D85" s="87" t="s">
        <v>324</v>
      </c>
      <c r="E85" s="11">
        <f>+SPECS!I35</f>
        <v>10.8</v>
      </c>
      <c r="F85" s="106">
        <f t="shared" ref="F85:F109" si="5">+C85*E85</f>
        <v>43.2</v>
      </c>
    </row>
    <row r="86" spans="2:6" x14ac:dyDescent="0.25">
      <c r="B86" s="49" t="str">
        <f>+'HOUSE EST 1'!B86</f>
        <v>Exterior Doorknob</v>
      </c>
      <c r="C86">
        <v>1</v>
      </c>
      <c r="D86" s="87" t="s">
        <v>324</v>
      </c>
      <c r="E86" s="11">
        <f>+SPECS!I36</f>
        <v>38.869200000000006</v>
      </c>
      <c r="F86" s="106">
        <f t="shared" si="5"/>
        <v>38.869200000000006</v>
      </c>
    </row>
    <row r="87" spans="2:6" x14ac:dyDescent="0.25">
      <c r="B87" s="49" t="str">
        <f>+'HOUSE EST 1'!B87</f>
        <v>Cabinet Handles</v>
      </c>
      <c r="C87">
        <v>20</v>
      </c>
      <c r="D87" s="87" t="s">
        <v>324</v>
      </c>
      <c r="E87" s="11">
        <f>+SPECS!I39</f>
        <v>2.1384000000000003</v>
      </c>
      <c r="F87" s="106">
        <f t="shared" si="5"/>
        <v>42.768000000000008</v>
      </c>
    </row>
    <row r="88" spans="2:6" x14ac:dyDescent="0.25">
      <c r="B88" s="49" t="str">
        <f>+'HOUSE EST 1'!B88</f>
        <v>Doorstopper</v>
      </c>
      <c r="C88">
        <f>+C85+C86</f>
        <v>5</v>
      </c>
      <c r="D88" s="87" t="s">
        <v>324</v>
      </c>
      <c r="E88" s="11">
        <f>+SPECS!I55</f>
        <v>0.68310000000000004</v>
      </c>
      <c r="F88" s="106">
        <f t="shared" si="5"/>
        <v>3.4155000000000002</v>
      </c>
    </row>
    <row r="89" spans="2:6" x14ac:dyDescent="0.25">
      <c r="B89" s="49" t="str">
        <f>+'HOUSE EST 1'!B89</f>
        <v>Doorbell Ring</v>
      </c>
      <c r="C89">
        <v>1</v>
      </c>
      <c r="D89" s="87" t="s">
        <v>324</v>
      </c>
      <c r="E89" s="11">
        <f>+SPECS!I14</f>
        <v>32.378399999999999</v>
      </c>
      <c r="F89" s="106">
        <f t="shared" si="5"/>
        <v>32.378399999999999</v>
      </c>
    </row>
    <row r="90" spans="2:6" x14ac:dyDescent="0.25">
      <c r="B90" s="49" t="str">
        <f>+'HOUSE EST 1'!B90</f>
        <v>Door numbers</v>
      </c>
      <c r="C90">
        <v>3</v>
      </c>
      <c r="D90" s="87" t="s">
        <v>324</v>
      </c>
      <c r="E90" s="11">
        <f>+SPECS!I8</f>
        <v>10.797300000000002</v>
      </c>
      <c r="F90" s="106">
        <f t="shared" si="5"/>
        <v>32.391900000000007</v>
      </c>
    </row>
    <row r="91" spans="2:6" x14ac:dyDescent="0.25">
      <c r="B91" s="49" t="str">
        <f>+'HOUSE EST 1'!B91</f>
        <v>Labor</v>
      </c>
      <c r="C91" s="87">
        <v>1</v>
      </c>
      <c r="D91" s="87" t="s">
        <v>324</v>
      </c>
      <c r="E91" s="11">
        <v>100</v>
      </c>
      <c r="F91" s="106">
        <f t="shared" si="5"/>
        <v>100</v>
      </c>
    </row>
    <row r="92" spans="2:6" x14ac:dyDescent="0.25">
      <c r="B92" s="48" t="str">
        <f>+'HOUSE EST 1'!B92</f>
        <v>Appliances</v>
      </c>
      <c r="C92" s="48"/>
      <c r="D92" s="48"/>
      <c r="E92" s="48"/>
      <c r="F92" s="48"/>
    </row>
    <row r="93" spans="2:6" x14ac:dyDescent="0.25">
      <c r="B93" s="49" t="str">
        <f>+'HOUSE EST 1'!B93</f>
        <v>Refrigerator</v>
      </c>
      <c r="C93">
        <v>1</v>
      </c>
      <c r="D93" s="87" t="s">
        <v>324</v>
      </c>
      <c r="E93" s="11">
        <f>+SPECS!I18</f>
        <v>1294.92</v>
      </c>
      <c r="F93" s="106">
        <f t="shared" si="5"/>
        <v>1294.92</v>
      </c>
    </row>
    <row r="94" spans="2:6" x14ac:dyDescent="0.25">
      <c r="B94" s="49" t="str">
        <f>+'HOUSE EST 1'!B94</f>
        <v>Dishwasher</v>
      </c>
      <c r="C94">
        <v>1</v>
      </c>
      <c r="D94" s="87" t="s">
        <v>324</v>
      </c>
      <c r="E94" s="11">
        <f>+SPECS!I19</f>
        <v>538.92000000000007</v>
      </c>
      <c r="F94" s="106">
        <f t="shared" si="5"/>
        <v>538.92000000000007</v>
      </c>
    </row>
    <row r="95" spans="2:6" x14ac:dyDescent="0.25">
      <c r="B95" s="49" t="str">
        <f>+'HOUSE EST 1'!B95</f>
        <v>Stove</v>
      </c>
      <c r="C95">
        <v>1</v>
      </c>
      <c r="D95" s="87" t="s">
        <v>324</v>
      </c>
      <c r="E95" s="11">
        <f>+SPECS!I20</f>
        <v>592.92000000000007</v>
      </c>
      <c r="F95" s="106">
        <f t="shared" si="5"/>
        <v>592.92000000000007</v>
      </c>
    </row>
    <row r="96" spans="2:6" x14ac:dyDescent="0.25">
      <c r="B96" s="49" t="str">
        <f>+'HOUSE EST 1'!B96</f>
        <v>Microwave</v>
      </c>
      <c r="C96">
        <v>1</v>
      </c>
      <c r="D96" s="87" t="s">
        <v>324</v>
      </c>
      <c r="E96" s="11">
        <f>+SPECS!I21</f>
        <v>431.98920000000004</v>
      </c>
      <c r="F96" s="106">
        <f t="shared" si="5"/>
        <v>431.98920000000004</v>
      </c>
    </row>
    <row r="97" spans="2:6" x14ac:dyDescent="0.25">
      <c r="B97" s="49" t="str">
        <f>+'HOUSE EST 1'!B97</f>
        <v>Labor</v>
      </c>
      <c r="C97">
        <v>1</v>
      </c>
      <c r="D97" s="87" t="s">
        <v>324</v>
      </c>
      <c r="E97" s="11">
        <v>500</v>
      </c>
      <c r="F97" s="106">
        <f t="shared" si="5"/>
        <v>500</v>
      </c>
    </row>
    <row r="98" spans="2:6" x14ac:dyDescent="0.25">
      <c r="B98" s="48" t="str">
        <f>+'HOUSE EST 1'!B98</f>
        <v>Plumbing Fixtures</v>
      </c>
      <c r="C98" s="48"/>
      <c r="D98" s="48"/>
      <c r="E98" s="48"/>
      <c r="F98" s="48"/>
    </row>
    <row r="99" spans="2:6" x14ac:dyDescent="0.25">
      <c r="B99" s="49" t="str">
        <f>+'HOUSE EST 1'!B99</f>
        <v>Kitchen Sink</v>
      </c>
      <c r="C99">
        <v>1</v>
      </c>
      <c r="D99" s="87" t="s">
        <v>324</v>
      </c>
      <c r="E99" s="11">
        <f>+SPECS!I41</f>
        <v>432.30239999999998</v>
      </c>
      <c r="F99" s="106">
        <f t="shared" si="5"/>
        <v>432.30239999999998</v>
      </c>
    </row>
    <row r="100" spans="2:6" x14ac:dyDescent="0.25">
      <c r="B100" s="49" t="str">
        <f>+'HOUSE EST 1'!B100</f>
        <v>Garbage Disposal</v>
      </c>
      <c r="C100">
        <v>1</v>
      </c>
      <c r="D100" s="87" t="s">
        <v>324</v>
      </c>
      <c r="E100" s="11">
        <f>+SPECS!I42</f>
        <v>139.61160000000001</v>
      </c>
      <c r="F100" s="106">
        <f t="shared" si="5"/>
        <v>139.61160000000001</v>
      </c>
    </row>
    <row r="101" spans="2:6" x14ac:dyDescent="0.25">
      <c r="B101" s="49" t="str">
        <f>+'HOUSE EST 1'!B101</f>
        <v>Kitchen Faucet</v>
      </c>
      <c r="C101">
        <v>1</v>
      </c>
      <c r="D101" s="87" t="s">
        <v>324</v>
      </c>
      <c r="E101" s="11">
        <f>+SPECS!I40</f>
        <v>187.0128</v>
      </c>
      <c r="F101" s="106">
        <f t="shared" si="5"/>
        <v>187.0128</v>
      </c>
    </row>
    <row r="102" spans="2:6" x14ac:dyDescent="0.25">
      <c r="B102" s="49" t="str">
        <f>+'HOUSE EST 1'!B102</f>
        <v>Bathroom Sink</v>
      </c>
      <c r="C102">
        <v>1</v>
      </c>
      <c r="D102" s="87" t="s">
        <v>324</v>
      </c>
      <c r="E102" s="11">
        <f>+SPECS!I43</f>
        <v>108.6156</v>
      </c>
      <c r="F102" s="106">
        <f t="shared" si="5"/>
        <v>108.6156</v>
      </c>
    </row>
    <row r="103" spans="2:6" x14ac:dyDescent="0.25">
      <c r="B103" s="49" t="str">
        <f>+'HOUSE EST 1'!B103</f>
        <v>Shower Faucet</v>
      </c>
      <c r="C103">
        <v>1</v>
      </c>
      <c r="D103" s="87" t="s">
        <v>324</v>
      </c>
      <c r="E103" s="11">
        <f>+SPECS!I46</f>
        <v>87.469200000000001</v>
      </c>
      <c r="F103" s="106">
        <f t="shared" si="5"/>
        <v>87.469200000000001</v>
      </c>
    </row>
    <row r="104" spans="2:6" x14ac:dyDescent="0.25">
      <c r="B104" s="49" t="str">
        <f>+'HOUSE EST 1'!B104</f>
        <v>Mirror</v>
      </c>
      <c r="C104">
        <v>1</v>
      </c>
      <c r="D104" s="87" t="s">
        <v>324</v>
      </c>
      <c r="E104" s="11">
        <f>+SPECS!I44</f>
        <v>64.800000000000011</v>
      </c>
      <c r="F104" s="106">
        <f t="shared" si="5"/>
        <v>64.800000000000011</v>
      </c>
    </row>
    <row r="105" spans="2:6" x14ac:dyDescent="0.25">
      <c r="B105" s="49" t="str">
        <f>+'HOUSE EST 1'!B105</f>
        <v>Vanity Faucet</v>
      </c>
      <c r="C105">
        <v>1</v>
      </c>
      <c r="D105" s="87" t="s">
        <v>324</v>
      </c>
      <c r="E105" s="11">
        <f>+SPECS!I45</f>
        <v>38.577600000000004</v>
      </c>
      <c r="F105" s="106">
        <f t="shared" si="5"/>
        <v>38.577600000000004</v>
      </c>
    </row>
    <row r="106" spans="2:6" x14ac:dyDescent="0.25">
      <c r="B106" s="49" t="str">
        <f>+'HOUSE EST 1'!B106</f>
        <v>Towel Kit</v>
      </c>
      <c r="C106">
        <v>1</v>
      </c>
      <c r="D106" s="87" t="s">
        <v>324</v>
      </c>
      <c r="E106" s="11">
        <f>+SPECS!I47</f>
        <v>28.069199999999999</v>
      </c>
      <c r="F106" s="106">
        <f t="shared" si="5"/>
        <v>28.069199999999999</v>
      </c>
    </row>
    <row r="107" spans="2:6" x14ac:dyDescent="0.25">
      <c r="B107" s="49" t="str">
        <f>+'HOUSE EST 1'!B107</f>
        <v>Soap Hardware</v>
      </c>
      <c r="C107">
        <v>1</v>
      </c>
      <c r="D107" s="87" t="s">
        <v>324</v>
      </c>
      <c r="E107" s="11">
        <f>+SPECS!I48</f>
        <v>51.224400000000003</v>
      </c>
      <c r="F107" s="106">
        <f t="shared" si="5"/>
        <v>51.224400000000003</v>
      </c>
    </row>
    <row r="108" spans="2:6" x14ac:dyDescent="0.25">
      <c r="B108" s="49" t="str">
        <f>+'HOUSE EST 1'!B108</f>
        <v>Toilet</v>
      </c>
      <c r="C108">
        <v>1</v>
      </c>
      <c r="D108" s="87" t="s">
        <v>324</v>
      </c>
      <c r="E108" s="11">
        <f>+SPECS!I49</f>
        <v>204.17400000000004</v>
      </c>
      <c r="F108" s="106">
        <f t="shared" si="5"/>
        <v>204.17400000000004</v>
      </c>
    </row>
    <row r="109" spans="2:6" x14ac:dyDescent="0.25">
      <c r="B109" s="49" t="str">
        <f>+'HOUSE EST 1'!B109</f>
        <v>Labor</v>
      </c>
      <c r="C109">
        <v>1</v>
      </c>
      <c r="D109" s="87" t="s">
        <v>324</v>
      </c>
      <c r="E109" s="11">
        <v>500</v>
      </c>
      <c r="F109" s="106">
        <f t="shared" si="5"/>
        <v>500</v>
      </c>
    </row>
    <row r="110" spans="2:6" x14ac:dyDescent="0.25">
      <c r="B110" s="48" t="str">
        <f>+'HOUSE EST 1'!B110</f>
        <v>Electrical Fixtures</v>
      </c>
      <c r="C110" s="48"/>
      <c r="D110" s="48"/>
      <c r="E110" s="48"/>
      <c r="F110" s="48"/>
    </row>
    <row r="111" spans="2:6" x14ac:dyDescent="0.25">
      <c r="B111" s="49" t="str">
        <f>+'HOUSE EST 1'!B111</f>
        <v>Led - Flush Mount</v>
      </c>
      <c r="C111">
        <v>2</v>
      </c>
      <c r="D111" t="s">
        <v>324</v>
      </c>
      <c r="E111" s="11">
        <f>+SPECS!I31</f>
        <v>41.040000000000006</v>
      </c>
      <c r="F111" s="106">
        <f t="shared" ref="F111:F119" si="6">+C111*E111</f>
        <v>82.080000000000013</v>
      </c>
    </row>
    <row r="112" spans="2:6" x14ac:dyDescent="0.25">
      <c r="B112" s="49" t="str">
        <f>+'HOUSE EST 1'!B112</f>
        <v>Recessed Down Light 6"</v>
      </c>
      <c r="C112">
        <v>12</v>
      </c>
      <c r="D112" t="s">
        <v>324</v>
      </c>
      <c r="E112" s="11">
        <f>+SPECS!I33</f>
        <v>17.917200000000001</v>
      </c>
      <c r="F112" s="106">
        <f t="shared" si="6"/>
        <v>215.00640000000001</v>
      </c>
    </row>
    <row r="113" spans="2:7" x14ac:dyDescent="0.25">
      <c r="B113" s="49" t="str">
        <f>+'HOUSE EST 1'!B113</f>
        <v>Fan and light</v>
      </c>
      <c r="C113">
        <v>2</v>
      </c>
      <c r="D113" t="s">
        <v>324</v>
      </c>
      <c r="E113" s="11">
        <f>+SPECS!I34</f>
        <v>81.183600000000013</v>
      </c>
      <c r="F113" s="106">
        <f t="shared" si="6"/>
        <v>162.36720000000003</v>
      </c>
    </row>
    <row r="114" spans="2:7" x14ac:dyDescent="0.25">
      <c r="B114" s="49" t="str">
        <f>+'HOUSE EST 1'!B114</f>
        <v>Exterior light</v>
      </c>
      <c r="C114">
        <v>1</v>
      </c>
      <c r="D114" t="s">
        <v>324</v>
      </c>
      <c r="E114" s="11">
        <f>+SPECS!I32</f>
        <v>21.578400000000002</v>
      </c>
      <c r="F114" s="106">
        <f t="shared" si="6"/>
        <v>21.578400000000002</v>
      </c>
    </row>
    <row r="115" spans="2:7" x14ac:dyDescent="0.25">
      <c r="B115" s="49" t="str">
        <f>+'HOUSE EST 1'!B115</f>
        <v>Exhaust</v>
      </c>
      <c r="C115">
        <v>1</v>
      </c>
      <c r="D115" t="s">
        <v>324</v>
      </c>
      <c r="E115" s="11">
        <f>+SPECS!I56</f>
        <v>25.92</v>
      </c>
      <c r="F115" s="106">
        <f t="shared" si="6"/>
        <v>25.92</v>
      </c>
    </row>
    <row r="116" spans="2:7" x14ac:dyDescent="0.25">
      <c r="B116" s="49" t="str">
        <f>+'HOUSE EST 1'!B116</f>
        <v>Switch</v>
      </c>
      <c r="C116">
        <v>10</v>
      </c>
      <c r="D116" t="s">
        <v>324</v>
      </c>
      <c r="E116" s="11">
        <f>+SPECS!I51</f>
        <v>2.4084000000000003</v>
      </c>
      <c r="F116" s="106">
        <f t="shared" si="6"/>
        <v>24.084000000000003</v>
      </c>
    </row>
    <row r="117" spans="2:7" x14ac:dyDescent="0.25">
      <c r="B117" s="49" t="str">
        <f>+'HOUSE EST 1'!B117</f>
        <v>Gang wall plate</v>
      </c>
      <c r="C117">
        <f>+C116</f>
        <v>10</v>
      </c>
      <c r="D117" t="s">
        <v>324</v>
      </c>
      <c r="E117" s="11">
        <f>+SPECS!I52</f>
        <v>2.5099999999999998</v>
      </c>
      <c r="F117" s="106">
        <f t="shared" si="6"/>
        <v>25.099999999999998</v>
      </c>
    </row>
    <row r="118" spans="2:7" x14ac:dyDescent="0.25">
      <c r="B118" s="49" t="str">
        <f>+'HOUSE EST 1'!B118</f>
        <v>Smoke detector</v>
      </c>
      <c r="C118">
        <v>2</v>
      </c>
      <c r="D118" t="s">
        <v>324</v>
      </c>
      <c r="E118" s="11">
        <f>+SPECS!I57</f>
        <v>16.491600000000002</v>
      </c>
      <c r="F118" s="106">
        <f t="shared" si="6"/>
        <v>32.983200000000004</v>
      </c>
    </row>
    <row r="119" spans="2:7" x14ac:dyDescent="0.25">
      <c r="B119" s="49" t="str">
        <f>+'HOUSE EST 1'!B119</f>
        <v>Labor</v>
      </c>
      <c r="C119">
        <v>1</v>
      </c>
      <c r="D119" t="s">
        <v>324</v>
      </c>
      <c r="E119" s="11">
        <v>500</v>
      </c>
      <c r="F119" s="106">
        <f t="shared" si="6"/>
        <v>500</v>
      </c>
    </row>
    <row r="120" spans="2:7" x14ac:dyDescent="0.25">
      <c r="B120" s="58" t="str">
        <f>+'HOUSE EST 1'!B120</f>
        <v>TOTAL</v>
      </c>
      <c r="C120" s="58"/>
      <c r="D120" s="58"/>
      <c r="E120" s="58"/>
      <c r="F120" s="62">
        <f>SUM(F3:F119)</f>
        <v>74136.871800000008</v>
      </c>
      <c r="G120">
        <f>+F120/F1</f>
        <v>156.07762484210528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24D27-9A36-4F99-B55B-788B8D73DD92}">
  <dimension ref="B1:G120"/>
  <sheetViews>
    <sheetView showGridLines="0" workbookViewId="0">
      <pane ySplit="2" topLeftCell="A108" activePane="bottomLeft" state="frozen"/>
      <selection pane="bottomLeft" activeCell="H116" sqref="H116"/>
    </sheetView>
    <sheetView workbookViewId="1"/>
  </sheetViews>
  <sheetFormatPr baseColWidth="10" defaultColWidth="11.42578125" defaultRowHeight="15" x14ac:dyDescent="0.25"/>
  <cols>
    <col min="2" max="2" width="46.5703125" bestFit="1" customWidth="1"/>
    <col min="3" max="4" width="9.140625"/>
    <col min="5" max="5" width="12" style="11" bestFit="1" customWidth="1"/>
    <col min="6" max="6" width="11" style="61" customWidth="1"/>
  </cols>
  <sheetData>
    <row r="1" spans="2:6" x14ac:dyDescent="0.25">
      <c r="E1" s="106" t="s">
        <v>321</v>
      </c>
      <c r="F1" s="110">
        <v>625</v>
      </c>
    </row>
    <row r="2" spans="2:6" x14ac:dyDescent="0.25">
      <c r="B2" s="58" t="s">
        <v>322</v>
      </c>
      <c r="C2" s="58" t="s">
        <v>323</v>
      </c>
      <c r="D2" s="58" t="s">
        <v>324</v>
      </c>
      <c r="E2" s="59" t="s">
        <v>325</v>
      </c>
      <c r="F2" s="60" t="s">
        <v>326</v>
      </c>
    </row>
    <row r="3" spans="2:6" x14ac:dyDescent="0.25">
      <c r="B3" s="47" t="str">
        <f>+'HOUSE EST 1'!B3</f>
        <v>Structure</v>
      </c>
      <c r="C3" s="47"/>
      <c r="D3" s="47"/>
      <c r="E3" s="47"/>
      <c r="F3" s="47"/>
    </row>
    <row r="4" spans="2:6" x14ac:dyDescent="0.25">
      <c r="B4" s="48" t="str">
        <f>+'HOUSE EST 1'!B4</f>
        <v>Framing</v>
      </c>
      <c r="C4" s="48"/>
      <c r="D4" s="48"/>
      <c r="E4" s="48"/>
      <c r="F4" s="48"/>
    </row>
    <row r="5" spans="2:6" x14ac:dyDescent="0.25">
      <c r="B5" s="49" t="str">
        <f>+'HOUSE EST 1'!B5</f>
        <v>Framing Material</v>
      </c>
      <c r="C5" s="57">
        <f>+(50+30+30+25+37+13)*10</f>
        <v>1850</v>
      </c>
      <c r="D5" t="s">
        <v>40</v>
      </c>
      <c r="E5" s="11">
        <v>3</v>
      </c>
      <c r="F5" s="106">
        <f>+C5*E5</f>
        <v>5550</v>
      </c>
    </row>
    <row r="6" spans="2:6" x14ac:dyDescent="0.25">
      <c r="B6" s="49" t="str">
        <f>+'HOUSE EST 1'!B6</f>
        <v>Framing Labor</v>
      </c>
      <c r="C6" s="57">
        <f t="shared" ref="C6" si="0">+(50+30+30+25+37+13)*10</f>
        <v>1850</v>
      </c>
      <c r="D6" t="s">
        <v>40</v>
      </c>
      <c r="E6" s="11">
        <v>2</v>
      </c>
      <c r="F6" s="106">
        <f t="shared" ref="F6:F8" si="1">+C6*E6</f>
        <v>3700</v>
      </c>
    </row>
    <row r="7" spans="2:6" x14ac:dyDescent="0.25">
      <c r="B7" s="49" t="str">
        <f>+'HOUSE EST 1'!B7</f>
        <v>Roofing Material</v>
      </c>
      <c r="C7" s="57">
        <f>+F1</f>
        <v>625</v>
      </c>
      <c r="D7" t="s">
        <v>40</v>
      </c>
      <c r="E7" s="11">
        <v>3</v>
      </c>
      <c r="F7" s="106">
        <f t="shared" si="1"/>
        <v>1875</v>
      </c>
    </row>
    <row r="8" spans="2:6" x14ac:dyDescent="0.25">
      <c r="B8" s="49" t="str">
        <f>+'HOUSE EST 1'!B8</f>
        <v>Roofing labor</v>
      </c>
      <c r="C8" s="57">
        <f>+F1</f>
        <v>625</v>
      </c>
      <c r="D8" t="s">
        <v>40</v>
      </c>
      <c r="E8" s="11">
        <v>2</v>
      </c>
      <c r="F8" s="106">
        <f t="shared" si="1"/>
        <v>1250</v>
      </c>
    </row>
    <row r="9" spans="2:6" x14ac:dyDescent="0.25">
      <c r="B9" s="47" t="str">
        <f>+'HOUSE EST 1'!B9</f>
        <v>Exteriors</v>
      </c>
      <c r="C9" s="47"/>
      <c r="D9" s="47"/>
      <c r="E9" s="47"/>
      <c r="F9" s="47"/>
    </row>
    <row r="10" spans="2:6" x14ac:dyDescent="0.25">
      <c r="B10" s="48" t="str">
        <f>+'HOUSE EST 1'!B10</f>
        <v>Roofing Shingles</v>
      </c>
      <c r="C10" s="48"/>
      <c r="D10" s="48"/>
      <c r="E10" s="48"/>
      <c r="F10" s="48"/>
    </row>
    <row r="11" spans="2:6" x14ac:dyDescent="0.25">
      <c r="B11" s="49" t="str">
        <f>+'HOUSE EST 1'!B11</f>
        <v>Architectural 30 year warranty shingles</v>
      </c>
      <c r="C11" s="57">
        <f>+$F$1</f>
        <v>625</v>
      </c>
      <c r="D11" t="s">
        <v>40</v>
      </c>
      <c r="E11" s="11">
        <f>+SPECS!I12</f>
        <v>2</v>
      </c>
      <c r="F11" s="106">
        <f>+C11*E11</f>
        <v>1250</v>
      </c>
    </row>
    <row r="12" spans="2:6" x14ac:dyDescent="0.25">
      <c r="B12" s="49" t="str">
        <f>+'HOUSE EST 1'!B12</f>
        <v>Labor</v>
      </c>
      <c r="C12" s="57">
        <f>+$F$1</f>
        <v>625</v>
      </c>
      <c r="D12" t="s">
        <v>40</v>
      </c>
      <c r="E12" s="11">
        <v>2</v>
      </c>
      <c r="F12" s="106">
        <f>+C12*E12</f>
        <v>1250</v>
      </c>
    </row>
    <row r="13" spans="2:6" x14ac:dyDescent="0.25">
      <c r="B13" s="48" t="str">
        <f>+'HOUSE EST 1'!B13</f>
        <v>Windows</v>
      </c>
      <c r="C13" s="48"/>
      <c r="D13" s="48"/>
      <c r="E13" s="48"/>
      <c r="F13" s="48"/>
    </row>
    <row r="14" spans="2:6" x14ac:dyDescent="0.25">
      <c r="B14" s="49" t="str">
        <f>+'HOUSE EST 1'!B14</f>
        <v>1 wide Single Hung Vinyl window 36" x 61"</v>
      </c>
      <c r="C14">
        <v>5</v>
      </c>
      <c r="D14" s="87" t="s">
        <v>324</v>
      </c>
      <c r="E14" s="11">
        <f>+SPECS!I9</f>
        <v>289</v>
      </c>
      <c r="F14" s="106">
        <f>+C14*E14</f>
        <v>1445</v>
      </c>
    </row>
    <row r="15" spans="2:6" x14ac:dyDescent="0.25">
      <c r="B15" s="49" t="str">
        <f>+'HOUSE EST 1'!B15</f>
        <v>Picture Fixed Vinyl Window 35.5" x 23.5"</v>
      </c>
      <c r="C15">
        <v>2</v>
      </c>
      <c r="D15" s="87" t="s">
        <v>324</v>
      </c>
      <c r="E15" s="11">
        <f>+SPECS!I10</f>
        <v>238</v>
      </c>
      <c r="F15" s="106">
        <f>+C15*E15</f>
        <v>476</v>
      </c>
    </row>
    <row r="16" spans="2:6" x14ac:dyDescent="0.25">
      <c r="B16" s="49" t="str">
        <f>+'HOUSE EST 1'!B16</f>
        <v>Labor</v>
      </c>
      <c r="C16">
        <f>+C14+C15</f>
        <v>7</v>
      </c>
      <c r="D16" s="87" t="s">
        <v>324</v>
      </c>
      <c r="E16" s="11">
        <v>100</v>
      </c>
      <c r="F16" s="106">
        <f>+C16*E16</f>
        <v>700</v>
      </c>
    </row>
    <row r="17" spans="2:7" x14ac:dyDescent="0.25">
      <c r="B17" s="48" t="str">
        <f>+'HOUSE EST 1'!B17</f>
        <v>Siding</v>
      </c>
      <c r="C17" s="48"/>
      <c r="D17" s="48"/>
      <c r="E17" s="48"/>
      <c r="F17" s="48"/>
    </row>
    <row r="18" spans="2:7" x14ac:dyDescent="0.25">
      <c r="B18" s="49" t="str">
        <f>+'HOUSE EST 1'!B18</f>
        <v>House Wrap</v>
      </c>
      <c r="C18" s="87">
        <f>+(50+30+30+25)*10</f>
        <v>1350</v>
      </c>
      <c r="D18" t="s">
        <v>40</v>
      </c>
      <c r="E18" s="109">
        <v>0.27</v>
      </c>
      <c r="F18" s="106">
        <f>+C18*E18</f>
        <v>364.5</v>
      </c>
    </row>
    <row r="19" spans="2:7" x14ac:dyDescent="0.25">
      <c r="B19" s="49" t="str">
        <f>+'HOUSE EST 1'!B19</f>
        <v>HardiePlank fiber cement siding</v>
      </c>
      <c r="C19" s="87">
        <f>+C18</f>
        <v>1350</v>
      </c>
      <c r="D19" t="s">
        <v>40</v>
      </c>
      <c r="E19" s="109">
        <v>2.5</v>
      </c>
      <c r="F19" s="106">
        <f>+C19*E19</f>
        <v>3375</v>
      </c>
      <c r="G19" s="87" t="s">
        <v>339</v>
      </c>
    </row>
    <row r="20" spans="2:7" x14ac:dyDescent="0.25">
      <c r="B20" s="49" t="str">
        <f>+'HOUSE EST 1'!B20</f>
        <v>Labor</v>
      </c>
      <c r="C20" s="87">
        <f>+C18</f>
        <v>1350</v>
      </c>
      <c r="D20" t="s">
        <v>40</v>
      </c>
      <c r="E20" s="11">
        <v>1.5</v>
      </c>
      <c r="F20" s="106">
        <f>+C20*E20</f>
        <v>2025</v>
      </c>
    </row>
    <row r="21" spans="2:7" x14ac:dyDescent="0.25">
      <c r="B21" s="48" t="str">
        <f>+'HOUSE EST 1'!B21</f>
        <v>Exterior Trim</v>
      </c>
      <c r="C21" s="48"/>
      <c r="D21" s="48"/>
      <c r="E21" s="48"/>
      <c r="F21" s="48"/>
    </row>
    <row r="22" spans="2:7" x14ac:dyDescent="0.25">
      <c r="B22" s="49" t="str">
        <f>+'HOUSE EST 1'!B22</f>
        <v>Doors and Windows trim</v>
      </c>
      <c r="C22">
        <f>+(7+7+3)+((3+3+5+5)*5)+((3+3+2+2)*2)</f>
        <v>117</v>
      </c>
      <c r="D22" s="87" t="s">
        <v>163</v>
      </c>
      <c r="E22" s="11">
        <f>+SPECS!I50</f>
        <v>2</v>
      </c>
      <c r="F22" s="106">
        <f>+C22*E22</f>
        <v>234</v>
      </c>
    </row>
    <row r="23" spans="2:7" x14ac:dyDescent="0.25">
      <c r="B23" s="49" t="str">
        <f>+'HOUSE EST 1'!B23</f>
        <v>Soffit and Fascia</v>
      </c>
      <c r="C23">
        <f>80+30+25</f>
        <v>135</v>
      </c>
      <c r="D23" s="87" t="s">
        <v>163</v>
      </c>
      <c r="E23" s="11">
        <v>4</v>
      </c>
      <c r="F23" s="106">
        <f>+C23*E23</f>
        <v>540</v>
      </c>
    </row>
    <row r="24" spans="2:7" x14ac:dyDescent="0.25">
      <c r="B24" s="49" t="str">
        <f>+'HOUSE EST 1'!B24</f>
        <v>Labor</v>
      </c>
      <c r="C24">
        <f>+C22+C23</f>
        <v>252</v>
      </c>
      <c r="D24" s="87" t="s">
        <v>163</v>
      </c>
      <c r="E24" s="11">
        <v>5</v>
      </c>
      <c r="F24" s="106">
        <f>+C24*E24</f>
        <v>1260</v>
      </c>
    </row>
    <row r="25" spans="2:7" x14ac:dyDescent="0.25">
      <c r="B25" s="48" t="str">
        <f>+'HOUSE EST 1'!B25</f>
        <v>Exterior Doors</v>
      </c>
      <c r="C25" s="48"/>
      <c r="D25" s="48"/>
      <c r="E25" s="48"/>
      <c r="F25" s="48"/>
    </row>
    <row r="26" spans="2:7" x14ac:dyDescent="0.25">
      <c r="B26" s="49" t="str">
        <f>+'HOUSE EST 1'!B26</f>
        <v>Front door Single Hinged Steel</v>
      </c>
      <c r="C26">
        <v>1</v>
      </c>
      <c r="D26" s="87" t="s">
        <v>324</v>
      </c>
      <c r="E26" s="11">
        <f>+SPECS!I7</f>
        <v>421.20000000000005</v>
      </c>
      <c r="F26" s="106">
        <f>+C26*E26</f>
        <v>421.20000000000005</v>
      </c>
    </row>
    <row r="27" spans="2:7" x14ac:dyDescent="0.25">
      <c r="B27" s="49" t="str">
        <f>+'HOUSE EST 1'!B27</f>
        <v>Labor</v>
      </c>
      <c r="C27">
        <v>1</v>
      </c>
      <c r="D27" s="87" t="s">
        <v>324</v>
      </c>
      <c r="E27" s="11">
        <v>100</v>
      </c>
      <c r="F27" s="106">
        <f>+C27*E27</f>
        <v>100</v>
      </c>
    </row>
    <row r="28" spans="2:7" x14ac:dyDescent="0.25">
      <c r="B28" s="48" t="str">
        <f>+'HOUSE EST 1'!B28</f>
        <v>Gutters</v>
      </c>
      <c r="C28" s="48"/>
      <c r="D28" s="48"/>
      <c r="E28" s="48"/>
      <c r="F28" s="48"/>
    </row>
    <row r="29" spans="2:7" x14ac:dyDescent="0.25">
      <c r="B29" s="49" t="str">
        <f>+'HOUSE EST 1'!B29</f>
        <v>Black Gutters</v>
      </c>
      <c r="C29">
        <f>+C23</f>
        <v>135</v>
      </c>
      <c r="D29" s="87" t="s">
        <v>163</v>
      </c>
      <c r="E29" s="11">
        <v>5</v>
      </c>
      <c r="F29" s="106">
        <f>+C29*E29</f>
        <v>675</v>
      </c>
    </row>
    <row r="30" spans="2:7" x14ac:dyDescent="0.25">
      <c r="B30" s="49" t="str">
        <f>+'HOUSE EST 1'!B30</f>
        <v>Black Downspots</v>
      </c>
      <c r="C30">
        <f>4*10</f>
        <v>40</v>
      </c>
      <c r="D30" s="87" t="s">
        <v>163</v>
      </c>
      <c r="E30" s="11">
        <v>5</v>
      </c>
      <c r="F30" s="106">
        <f t="shared" ref="F30:F31" si="2">+C30*E30</f>
        <v>200</v>
      </c>
    </row>
    <row r="31" spans="2:7" x14ac:dyDescent="0.25">
      <c r="B31" s="49" t="str">
        <f>+'HOUSE EST 1'!B31</f>
        <v>Labor</v>
      </c>
      <c r="C31">
        <f>+C29+C30</f>
        <v>175</v>
      </c>
      <c r="D31" s="87" t="s">
        <v>163</v>
      </c>
      <c r="E31" s="11">
        <v>2</v>
      </c>
      <c r="F31" s="106">
        <f t="shared" si="2"/>
        <v>350</v>
      </c>
    </row>
    <row r="32" spans="2:7" x14ac:dyDescent="0.25">
      <c r="B32" s="47" t="str">
        <f>+'HOUSE EST 1'!B32</f>
        <v xml:space="preserve">MEP's </v>
      </c>
      <c r="C32" s="47"/>
      <c r="D32" s="47"/>
      <c r="E32" s="47"/>
      <c r="F32" s="47"/>
    </row>
    <row r="33" spans="2:7" x14ac:dyDescent="0.25">
      <c r="B33" s="48" t="str">
        <f>+'HOUSE EST 1'!B33</f>
        <v>Plumbing Roughs</v>
      </c>
      <c r="C33" s="48"/>
      <c r="D33" s="48"/>
      <c r="E33" s="48"/>
      <c r="F33" s="48"/>
    </row>
    <row r="34" spans="2:7" x14ac:dyDescent="0.25">
      <c r="B34" s="49" t="str">
        <f>+'HOUSE EST 1'!B34</f>
        <v>Water lines and materials</v>
      </c>
      <c r="C34" s="57">
        <v>70</v>
      </c>
      <c r="D34" s="87" t="s">
        <v>163</v>
      </c>
      <c r="E34" s="11">
        <v>23</v>
      </c>
      <c r="F34" s="106">
        <f t="shared" ref="F34:F43" si="3">+C34*E34</f>
        <v>1610</v>
      </c>
      <c r="G34" s="13"/>
    </row>
    <row r="35" spans="2:7" x14ac:dyDescent="0.25">
      <c r="B35" s="49" t="str">
        <f>+'HOUSE EST 1'!B35</f>
        <v>House Sewer pipes and materials</v>
      </c>
      <c r="C35" s="57">
        <f>+C34</f>
        <v>70</v>
      </c>
      <c r="D35" s="87" t="s">
        <v>163</v>
      </c>
      <c r="E35" s="11">
        <v>38</v>
      </c>
      <c r="F35" s="106">
        <f t="shared" si="3"/>
        <v>2660</v>
      </c>
      <c r="G35" s="13"/>
    </row>
    <row r="36" spans="2:7" x14ac:dyDescent="0.25">
      <c r="B36" s="49" t="str">
        <f>+'HOUSE EST 1'!B36</f>
        <v>Water heater</v>
      </c>
      <c r="C36">
        <v>1</v>
      </c>
      <c r="D36" s="87" t="s">
        <v>324</v>
      </c>
      <c r="E36" s="11">
        <v>625</v>
      </c>
      <c r="F36" s="106">
        <f t="shared" si="3"/>
        <v>625</v>
      </c>
    </row>
    <row r="37" spans="2:7" x14ac:dyDescent="0.25">
      <c r="B37" s="49" t="str">
        <f>+'HOUSE EST 1'!B37</f>
        <v>Labor</v>
      </c>
      <c r="C37">
        <v>1</v>
      </c>
      <c r="D37" s="87" t="s">
        <v>324</v>
      </c>
      <c r="E37" s="11">
        <v>550</v>
      </c>
      <c r="F37" s="106">
        <f t="shared" si="3"/>
        <v>550</v>
      </c>
    </row>
    <row r="38" spans="2:7" x14ac:dyDescent="0.25">
      <c r="B38" s="48" t="str">
        <f>+'HOUSE EST 1'!B38</f>
        <v>Electrical Roughs</v>
      </c>
      <c r="C38" s="48"/>
      <c r="D38" s="48"/>
      <c r="E38" s="48"/>
      <c r="F38" s="48"/>
    </row>
    <row r="39" spans="2:7" x14ac:dyDescent="0.25">
      <c r="B39" s="49" t="str">
        <f>+'HOUSE EST 1'!B39</f>
        <v>Electrical Roughs Materials</v>
      </c>
      <c r="C39">
        <f>80+30+25</f>
        <v>135</v>
      </c>
      <c r="D39" s="87" t="s">
        <v>163</v>
      </c>
      <c r="E39" s="11">
        <v>23.4375</v>
      </c>
      <c r="F39" s="106">
        <f t="shared" si="3"/>
        <v>3164.0625</v>
      </c>
    </row>
    <row r="40" spans="2:7" x14ac:dyDescent="0.25">
      <c r="B40" s="49" t="str">
        <f>+'HOUSE EST 1'!B40</f>
        <v>Labor</v>
      </c>
      <c r="C40">
        <v>1</v>
      </c>
      <c r="D40" s="87" t="s">
        <v>324</v>
      </c>
      <c r="E40" s="11">
        <v>600</v>
      </c>
      <c r="F40" s="106">
        <f t="shared" si="3"/>
        <v>600</v>
      </c>
    </row>
    <row r="41" spans="2:7" x14ac:dyDescent="0.25">
      <c r="B41" s="48" t="str">
        <f>+'HOUSE EST 1'!B41</f>
        <v>HVAC</v>
      </c>
      <c r="C41" s="48"/>
      <c r="D41" s="48"/>
      <c r="E41" s="48"/>
      <c r="F41" s="48"/>
    </row>
    <row r="42" spans="2:7" x14ac:dyDescent="0.25">
      <c r="B42" s="49" t="str">
        <f>+'HOUSE EST 1'!B42</f>
        <v>HVAC System</v>
      </c>
      <c r="C42">
        <v>1</v>
      </c>
      <c r="D42" s="87" t="s">
        <v>324</v>
      </c>
      <c r="E42" s="11">
        <v>6000</v>
      </c>
      <c r="F42" s="106">
        <f t="shared" si="3"/>
        <v>6000</v>
      </c>
    </row>
    <row r="43" spans="2:7" x14ac:dyDescent="0.25">
      <c r="B43" s="49" t="str">
        <f>+'HOUSE EST 1'!B43</f>
        <v>Labor</v>
      </c>
      <c r="C43">
        <v>1</v>
      </c>
      <c r="D43" s="87" t="s">
        <v>324</v>
      </c>
      <c r="E43" s="11">
        <v>2000</v>
      </c>
      <c r="F43" s="106">
        <f t="shared" si="3"/>
        <v>2000</v>
      </c>
    </row>
    <row r="44" spans="2:7" x14ac:dyDescent="0.25">
      <c r="B44" s="47" t="str">
        <f>+'HOUSE EST 1'!B44</f>
        <v>Finishes</v>
      </c>
      <c r="C44" s="47"/>
      <c r="D44" s="47"/>
      <c r="E44" s="47"/>
      <c r="F44" s="47"/>
    </row>
    <row r="45" spans="2:7" x14ac:dyDescent="0.25">
      <c r="B45" s="48" t="str">
        <f>+'HOUSE EST 1'!B45</f>
        <v>Insulation</v>
      </c>
      <c r="C45" s="48"/>
      <c r="D45" s="48"/>
      <c r="E45" s="48"/>
      <c r="F45" s="48"/>
    </row>
    <row r="46" spans="2:7" x14ac:dyDescent="0.25">
      <c r="B46" s="49" t="str">
        <f>+'HOUSE EST 1'!B46</f>
        <v>Wall insulation</v>
      </c>
      <c r="C46">
        <f>9*(110+25)</f>
        <v>1215</v>
      </c>
      <c r="D46" s="87" t="s">
        <v>40</v>
      </c>
      <c r="E46" s="11">
        <v>2.5</v>
      </c>
      <c r="F46" s="106">
        <f t="shared" ref="F46:F80" si="4">+C46*E46</f>
        <v>3037.5</v>
      </c>
    </row>
    <row r="47" spans="2:7" x14ac:dyDescent="0.25">
      <c r="B47" s="49" t="str">
        <f>+'HOUSE EST 1'!B47</f>
        <v>Attic Insulation</v>
      </c>
      <c r="C47" s="57">
        <f>+$F$1</f>
        <v>625</v>
      </c>
      <c r="D47" s="87" t="s">
        <v>40</v>
      </c>
      <c r="E47" s="11">
        <v>2.5</v>
      </c>
      <c r="F47" s="106">
        <f t="shared" si="4"/>
        <v>1562.5</v>
      </c>
    </row>
    <row r="48" spans="2:7" x14ac:dyDescent="0.25">
      <c r="B48" s="49" t="str">
        <f>+'HOUSE EST 1'!B48</f>
        <v>Labor</v>
      </c>
      <c r="C48" s="57">
        <f>+C46+C47</f>
        <v>1840</v>
      </c>
      <c r="D48" s="87" t="s">
        <v>40</v>
      </c>
      <c r="E48" s="11">
        <v>0.5</v>
      </c>
      <c r="F48" s="106">
        <f t="shared" si="4"/>
        <v>920</v>
      </c>
    </row>
    <row r="49" spans="2:6" x14ac:dyDescent="0.25">
      <c r="B49" s="48" t="str">
        <f>+'HOUSE EST 1'!B49</f>
        <v>Drywall</v>
      </c>
      <c r="C49" s="48"/>
      <c r="D49" s="48"/>
      <c r="E49" s="48"/>
      <c r="F49" s="48"/>
    </row>
    <row r="50" spans="2:6" x14ac:dyDescent="0.25">
      <c r="B50" s="49" t="str">
        <f>+'HOUSE EST 1'!B50</f>
        <v>Drywall and materials</v>
      </c>
      <c r="C50">
        <f>(150+25)*9</f>
        <v>1575</v>
      </c>
      <c r="D50" s="87" t="s">
        <v>40</v>
      </c>
      <c r="E50" s="11">
        <v>2.21</v>
      </c>
      <c r="F50" s="106">
        <f t="shared" si="4"/>
        <v>3480.75</v>
      </c>
    </row>
    <row r="51" spans="2:6" x14ac:dyDescent="0.25">
      <c r="B51" s="49" t="str">
        <f>+'HOUSE EST 1'!B51</f>
        <v>Hang, finish and sand drywall, ready to paint</v>
      </c>
      <c r="C51" s="87">
        <f>+C50</f>
        <v>1575</v>
      </c>
      <c r="D51" s="87" t="s">
        <v>40</v>
      </c>
      <c r="E51" s="11">
        <v>1.1499999999999999</v>
      </c>
      <c r="F51" s="106">
        <f t="shared" si="4"/>
        <v>1811.2499999999998</v>
      </c>
    </row>
    <row r="52" spans="2:6" x14ac:dyDescent="0.25">
      <c r="B52" s="48" t="str">
        <f>+'HOUSE EST 1'!B52</f>
        <v>Interior Doors and Trim</v>
      </c>
      <c r="C52" s="48"/>
      <c r="D52" s="48"/>
      <c r="E52" s="48"/>
      <c r="F52" s="48"/>
    </row>
    <row r="53" spans="2:6" x14ac:dyDescent="0.25">
      <c r="B53" s="49" t="str">
        <f>+'HOUSE EST 1'!B53</f>
        <v>Inswing/Outswing Single Prehung Door</v>
      </c>
      <c r="C53">
        <v>6</v>
      </c>
      <c r="D53" s="87" t="s">
        <v>324</v>
      </c>
      <c r="E53" s="11">
        <f>+SPECS!I37</f>
        <v>141.48000000000002</v>
      </c>
      <c r="F53" s="106">
        <f t="shared" si="4"/>
        <v>848.88000000000011</v>
      </c>
    </row>
    <row r="54" spans="2:6" x14ac:dyDescent="0.25">
      <c r="B54" s="49" t="str">
        <f>+'HOUSE EST 1'!B54</f>
        <v>Bifold</v>
      </c>
      <c r="C54">
        <v>1</v>
      </c>
      <c r="D54" s="87" t="s">
        <v>324</v>
      </c>
      <c r="E54" s="11">
        <f>+SPECS!I38</f>
        <v>109.47960000000002</v>
      </c>
      <c r="F54" s="106">
        <f t="shared" si="4"/>
        <v>109.47960000000002</v>
      </c>
    </row>
    <row r="55" spans="2:6" x14ac:dyDescent="0.25">
      <c r="B55" s="49" t="str">
        <f>+'HOUSE EST 1'!B55</f>
        <v xml:space="preserve">Baseboard 1x6 </v>
      </c>
      <c r="C55">
        <f>150+25</f>
        <v>175</v>
      </c>
      <c r="D55" s="87" t="s">
        <v>163</v>
      </c>
      <c r="E55" s="11">
        <f>+SPECS!I50</f>
        <v>2</v>
      </c>
      <c r="F55" s="106">
        <f t="shared" si="4"/>
        <v>350</v>
      </c>
    </row>
    <row r="56" spans="2:6" x14ac:dyDescent="0.25">
      <c r="B56" s="49" t="str">
        <f>+'HOUSE EST 1'!B56</f>
        <v>Doors and windows trim</v>
      </c>
      <c r="C56">
        <f>+(C53*(7+3))+(C16*(6+10))</f>
        <v>172</v>
      </c>
      <c r="D56" s="87" t="s">
        <v>163</v>
      </c>
      <c r="E56" s="11">
        <f>+E55</f>
        <v>2</v>
      </c>
      <c r="F56" s="106">
        <f t="shared" si="4"/>
        <v>344</v>
      </c>
    </row>
    <row r="57" spans="2:6" x14ac:dyDescent="0.25">
      <c r="B57" s="49" t="str">
        <f>+'HOUSE EST 1'!B57</f>
        <v>Labor</v>
      </c>
      <c r="C57">
        <f>+C53+C54</f>
        <v>7</v>
      </c>
      <c r="D57" s="87" t="s">
        <v>324</v>
      </c>
      <c r="E57" s="11">
        <v>100</v>
      </c>
      <c r="F57" s="106">
        <f t="shared" si="4"/>
        <v>700</v>
      </c>
    </row>
    <row r="58" spans="2:6" x14ac:dyDescent="0.25">
      <c r="B58" s="48" t="str">
        <f>+'HOUSE EST 1'!B58</f>
        <v>Painting</v>
      </c>
      <c r="C58" s="48"/>
      <c r="D58" s="48"/>
      <c r="E58" s="48"/>
      <c r="F58" s="48"/>
    </row>
    <row r="59" spans="2:6" x14ac:dyDescent="0.25">
      <c r="B59" s="49" t="str">
        <f>+'HOUSE EST 1'!B59</f>
        <v>Interior Painting</v>
      </c>
      <c r="C59">
        <f>+C50</f>
        <v>1575</v>
      </c>
      <c r="D59" s="87" t="s">
        <v>40</v>
      </c>
      <c r="E59" s="11">
        <v>2</v>
      </c>
      <c r="F59" s="106">
        <f t="shared" si="4"/>
        <v>3150</v>
      </c>
    </row>
    <row r="60" spans="2:6" x14ac:dyDescent="0.25">
      <c r="B60" s="49" t="str">
        <f>+'HOUSE EST 1'!B60</f>
        <v>Exterior painting</v>
      </c>
      <c r="C60" s="87">
        <f>+C18</f>
        <v>1350</v>
      </c>
      <c r="D60" s="87" t="s">
        <v>40</v>
      </c>
      <c r="E60" s="11">
        <v>3</v>
      </c>
      <c r="F60" s="106">
        <f t="shared" si="4"/>
        <v>4050</v>
      </c>
    </row>
    <row r="61" spans="2:6" x14ac:dyDescent="0.25">
      <c r="B61" s="49" t="str">
        <f>+'HOUSE EST 1'!B61</f>
        <v>Labor</v>
      </c>
      <c r="C61">
        <f>+C59+C60</f>
        <v>2925</v>
      </c>
      <c r="D61" s="87" t="s">
        <v>40</v>
      </c>
      <c r="E61" s="11">
        <v>1</v>
      </c>
      <c r="F61" s="106">
        <f t="shared" si="4"/>
        <v>2925</v>
      </c>
    </row>
    <row r="62" spans="2:6" x14ac:dyDescent="0.25">
      <c r="B62" s="48" t="str">
        <f>+'HOUSE EST 1'!B62</f>
        <v>Flooring</v>
      </c>
      <c r="C62" s="48"/>
      <c r="D62" s="48"/>
      <c r="E62" s="48"/>
      <c r="F62" s="48"/>
    </row>
    <row r="63" spans="2:6" x14ac:dyDescent="0.25">
      <c r="B63" s="49" t="str">
        <f>+'HOUSE EST 1'!B63</f>
        <v>Bedrooms carpet</v>
      </c>
      <c r="C63">
        <f>90+90+90+15</f>
        <v>285</v>
      </c>
      <c r="D63" s="87" t="s">
        <v>40</v>
      </c>
      <c r="E63" s="11">
        <f>+SPECS!I16</f>
        <v>3.0132000000000003</v>
      </c>
      <c r="F63" s="106">
        <f t="shared" si="4"/>
        <v>858.76200000000006</v>
      </c>
    </row>
    <row r="64" spans="2:6" x14ac:dyDescent="0.25">
      <c r="B64" s="49" t="str">
        <f>+'HOUSE EST 1'!B64</f>
        <v>Vynil plank</v>
      </c>
      <c r="C64" s="57">
        <f>+F1-C63-C67</f>
        <v>297</v>
      </c>
      <c r="D64" s="87" t="s">
        <v>40</v>
      </c>
      <c r="E64" s="11">
        <f>+SPECS!I17</f>
        <v>4.4820000000000011</v>
      </c>
      <c r="F64" s="106">
        <f t="shared" si="4"/>
        <v>1331.1540000000002</v>
      </c>
    </row>
    <row r="65" spans="2:6" x14ac:dyDescent="0.25">
      <c r="B65" s="49" t="str">
        <f>+'HOUSE EST 1'!B65</f>
        <v>Labor</v>
      </c>
      <c r="C65" s="57">
        <f>+C63+C64</f>
        <v>582</v>
      </c>
      <c r="D65" s="87" t="s">
        <v>40</v>
      </c>
      <c r="E65" s="11">
        <v>5</v>
      </c>
      <c r="F65" s="106">
        <f t="shared" si="4"/>
        <v>2910</v>
      </c>
    </row>
    <row r="66" spans="2:6" x14ac:dyDescent="0.25">
      <c r="B66" s="48" t="str">
        <f>+'HOUSE EST 1'!B66</f>
        <v>Bathroom Tiling</v>
      </c>
      <c r="C66" s="48"/>
      <c r="D66" s="48"/>
      <c r="E66" s="48"/>
      <c r="F66" s="48"/>
    </row>
    <row r="67" spans="2:6" x14ac:dyDescent="0.25">
      <c r="B67" s="49" t="str">
        <f>+'HOUSE EST 1'!B67</f>
        <v>Floor tile</v>
      </c>
      <c r="C67">
        <f>21+22</f>
        <v>43</v>
      </c>
      <c r="D67" s="87" t="s">
        <v>40</v>
      </c>
      <c r="E67" s="11">
        <f>+SPECS!I59</f>
        <v>4.6100000000000003</v>
      </c>
      <c r="F67" s="106">
        <f t="shared" si="4"/>
        <v>198.23000000000002</v>
      </c>
    </row>
    <row r="68" spans="2:6" x14ac:dyDescent="0.25">
      <c r="B68" s="49" t="str">
        <f>+'HOUSE EST 1'!B68</f>
        <v>Shower Surround Tile</v>
      </c>
      <c r="C68">
        <f>8.5*9*2</f>
        <v>153</v>
      </c>
      <c r="D68" s="87" t="s">
        <v>40</v>
      </c>
      <c r="E68" s="11">
        <f>+SPECS!I61</f>
        <v>4.7300000000000004</v>
      </c>
      <c r="F68" s="106">
        <f t="shared" si="4"/>
        <v>723.69</v>
      </c>
    </row>
    <row r="69" spans="2:6" x14ac:dyDescent="0.25">
      <c r="B69" s="49" t="str">
        <f>+'HOUSE EST 1'!B69</f>
        <v>Shower floor tile</v>
      </c>
      <c r="C69">
        <v>15</v>
      </c>
      <c r="D69" s="87" t="s">
        <v>40</v>
      </c>
      <c r="E69" s="11">
        <f>+SPECS!I60</f>
        <v>4.5599999999999996</v>
      </c>
      <c r="F69" s="106">
        <f t="shared" si="4"/>
        <v>68.399999999999991</v>
      </c>
    </row>
    <row r="70" spans="2:6" x14ac:dyDescent="0.25">
      <c r="B70" s="49" t="str">
        <f>+'HOUSE EST 1'!B70</f>
        <v>Labor</v>
      </c>
      <c r="C70">
        <f>+C67+C68+C69</f>
        <v>211</v>
      </c>
      <c r="D70" s="87" t="s">
        <v>40</v>
      </c>
      <c r="E70" s="11">
        <v>5</v>
      </c>
      <c r="F70" s="106">
        <f t="shared" si="4"/>
        <v>1055</v>
      </c>
    </row>
    <row r="71" spans="2:6" x14ac:dyDescent="0.25">
      <c r="B71" s="48" t="str">
        <f>+'HOUSE EST 1'!B71</f>
        <v>Kitchen Backsplash</v>
      </c>
      <c r="C71" s="48"/>
      <c r="D71" s="48"/>
      <c r="E71" s="48"/>
      <c r="F71" s="48"/>
    </row>
    <row r="72" spans="2:6" x14ac:dyDescent="0.25">
      <c r="B72" s="49" t="str">
        <f>+'HOUSE EST 1'!B72</f>
        <v>3x6 Subway tile</v>
      </c>
      <c r="C72">
        <v>30</v>
      </c>
      <c r="D72" s="87" t="s">
        <v>40</v>
      </c>
      <c r="E72" s="11">
        <f>+SPECS!I58</f>
        <v>4.3</v>
      </c>
      <c r="F72" s="106">
        <f t="shared" si="4"/>
        <v>129</v>
      </c>
    </row>
    <row r="73" spans="2:6" x14ac:dyDescent="0.25">
      <c r="B73" s="49" t="str">
        <f>+'HOUSE EST 1'!B73</f>
        <v>Labor</v>
      </c>
      <c r="C73">
        <f>+C72</f>
        <v>30</v>
      </c>
      <c r="D73" s="87" t="s">
        <v>40</v>
      </c>
      <c r="E73" s="11">
        <v>5</v>
      </c>
      <c r="F73" s="106">
        <f t="shared" si="4"/>
        <v>150</v>
      </c>
    </row>
    <row r="74" spans="2:6" x14ac:dyDescent="0.25">
      <c r="B74" s="48" t="str">
        <f>+'HOUSE EST 1'!B74</f>
        <v>Kitchen Cabinets</v>
      </c>
      <c r="C74" s="48"/>
      <c r="D74" s="48"/>
      <c r="E74" s="48"/>
      <c r="F74" s="48"/>
    </row>
    <row r="75" spans="2:6" x14ac:dyDescent="0.25">
      <c r="B75" s="49" t="str">
        <f>+'HOUSE EST 1'!B75</f>
        <v>Base Cabinets</v>
      </c>
      <c r="C75">
        <v>2</v>
      </c>
      <c r="D75" t="s">
        <v>324</v>
      </c>
      <c r="E75" s="11">
        <v>550</v>
      </c>
      <c r="F75" s="106">
        <f t="shared" si="4"/>
        <v>1100</v>
      </c>
    </row>
    <row r="76" spans="2:6" x14ac:dyDescent="0.25">
      <c r="B76" s="49" t="str">
        <f>+'HOUSE EST 1'!B76</f>
        <v>Uppers 36" Cabinets</v>
      </c>
      <c r="C76">
        <v>2</v>
      </c>
      <c r="D76" t="s">
        <v>324</v>
      </c>
      <c r="E76" s="11">
        <v>450</v>
      </c>
      <c r="F76" s="106">
        <f t="shared" si="4"/>
        <v>900</v>
      </c>
    </row>
    <row r="77" spans="2:6" x14ac:dyDescent="0.25">
      <c r="B77" s="49" t="str">
        <f>+'HOUSE EST 1'!B77</f>
        <v>Labor</v>
      </c>
      <c r="C77">
        <f>+C75+C76</f>
        <v>4</v>
      </c>
      <c r="D77" t="s">
        <v>324</v>
      </c>
      <c r="E77" s="11">
        <v>100</v>
      </c>
      <c r="F77" s="106">
        <f t="shared" si="4"/>
        <v>400</v>
      </c>
    </row>
    <row r="78" spans="2:6" x14ac:dyDescent="0.25">
      <c r="B78" s="48" t="str">
        <f>+'HOUSE EST 1'!B78</f>
        <v>Bathroom Cabinets</v>
      </c>
      <c r="C78" s="48"/>
      <c r="D78" s="48"/>
      <c r="E78" s="48"/>
      <c r="F78" s="48"/>
    </row>
    <row r="79" spans="2:6" x14ac:dyDescent="0.25">
      <c r="B79" s="49" t="str">
        <f>+'HOUSE EST 1'!B79</f>
        <v>Base Single Vanity Cabinets</v>
      </c>
      <c r="C79">
        <v>2</v>
      </c>
      <c r="D79" t="s">
        <v>324</v>
      </c>
      <c r="E79" s="11">
        <v>800</v>
      </c>
      <c r="F79" s="106">
        <f t="shared" si="4"/>
        <v>1600</v>
      </c>
    </row>
    <row r="80" spans="2:6" x14ac:dyDescent="0.25">
      <c r="B80" s="49" t="str">
        <f>+'HOUSE EST 1'!B80</f>
        <v>Labor</v>
      </c>
      <c r="C80">
        <v>1</v>
      </c>
      <c r="D80" t="s">
        <v>324</v>
      </c>
      <c r="E80" s="11">
        <v>100</v>
      </c>
      <c r="F80" s="106">
        <f t="shared" si="4"/>
        <v>100</v>
      </c>
    </row>
    <row r="81" spans="2:6" x14ac:dyDescent="0.25">
      <c r="B81" s="48" t="str">
        <f>+'HOUSE EST 1'!B81</f>
        <v>Countertops</v>
      </c>
      <c r="C81" s="48"/>
      <c r="D81" s="48"/>
      <c r="E81" s="48"/>
      <c r="F81" s="48"/>
    </row>
    <row r="82" spans="2:6" x14ac:dyDescent="0.25">
      <c r="B82" s="49" t="str">
        <f>+'HOUSE EST 1'!B82</f>
        <v>Kitchen Countertop</v>
      </c>
      <c r="C82">
        <v>45</v>
      </c>
      <c r="D82" t="s">
        <v>40</v>
      </c>
      <c r="E82" s="11">
        <f>+SPECS!I22</f>
        <v>52.92</v>
      </c>
      <c r="F82" s="106">
        <f>+C82*E82</f>
        <v>2381.4</v>
      </c>
    </row>
    <row r="83" spans="2:6" x14ac:dyDescent="0.25">
      <c r="B83" s="49" t="str">
        <f>+'HOUSE EST 1'!B83</f>
        <v>Labor</v>
      </c>
      <c r="C83">
        <f>+C82</f>
        <v>45</v>
      </c>
      <c r="D83" t="s">
        <v>40</v>
      </c>
      <c r="E83" s="11">
        <v>5</v>
      </c>
      <c r="F83" s="106">
        <f>+C83*E83</f>
        <v>225</v>
      </c>
    </row>
    <row r="84" spans="2:6" x14ac:dyDescent="0.25">
      <c r="B84" s="48" t="str">
        <f>+'HOUSE EST 1'!B84</f>
        <v>House Hardware</v>
      </c>
      <c r="C84" s="48"/>
      <c r="D84" s="48"/>
      <c r="E84" s="48"/>
      <c r="F84" s="48"/>
    </row>
    <row r="85" spans="2:6" x14ac:dyDescent="0.25">
      <c r="B85" s="49" t="str">
        <f>+'HOUSE EST 1'!B85</f>
        <v>Privacy Doorknob</v>
      </c>
      <c r="C85">
        <v>6</v>
      </c>
      <c r="D85" s="87" t="s">
        <v>324</v>
      </c>
      <c r="E85" s="11">
        <f>+SPECS!I35</f>
        <v>10.8</v>
      </c>
      <c r="F85" s="106">
        <f t="shared" ref="F85:F109" si="5">+C85*E85</f>
        <v>64.800000000000011</v>
      </c>
    </row>
    <row r="86" spans="2:6" x14ac:dyDescent="0.25">
      <c r="B86" s="49" t="str">
        <f>+'HOUSE EST 1'!B86</f>
        <v>Exterior Doorknob</v>
      </c>
      <c r="C86">
        <v>1</v>
      </c>
      <c r="D86" s="87" t="s">
        <v>324</v>
      </c>
      <c r="E86" s="11">
        <f>+SPECS!I36</f>
        <v>38.869200000000006</v>
      </c>
      <c r="F86" s="106">
        <f t="shared" si="5"/>
        <v>38.869200000000006</v>
      </c>
    </row>
    <row r="87" spans="2:6" x14ac:dyDescent="0.25">
      <c r="B87" s="49" t="str">
        <f>+'HOUSE EST 1'!B87</f>
        <v>Cabinet Handles</v>
      </c>
      <c r="C87">
        <v>20</v>
      </c>
      <c r="D87" s="87" t="s">
        <v>324</v>
      </c>
      <c r="E87" s="11">
        <f>+SPECS!I39</f>
        <v>2.1384000000000003</v>
      </c>
      <c r="F87" s="106">
        <f t="shared" si="5"/>
        <v>42.768000000000008</v>
      </c>
    </row>
    <row r="88" spans="2:6" x14ac:dyDescent="0.25">
      <c r="B88" s="49" t="str">
        <f>+'HOUSE EST 1'!B88</f>
        <v>Doorstopper</v>
      </c>
      <c r="C88">
        <f>+C85+C86</f>
        <v>7</v>
      </c>
      <c r="D88" s="87" t="s">
        <v>324</v>
      </c>
      <c r="E88" s="11">
        <f>+SPECS!I55</f>
        <v>0.68310000000000004</v>
      </c>
      <c r="F88" s="106">
        <f t="shared" si="5"/>
        <v>4.7817000000000007</v>
      </c>
    </row>
    <row r="89" spans="2:6" x14ac:dyDescent="0.25">
      <c r="B89" s="49" t="str">
        <f>+'HOUSE EST 1'!B89</f>
        <v>Doorbell Ring</v>
      </c>
      <c r="C89">
        <v>1</v>
      </c>
      <c r="D89" s="87" t="s">
        <v>324</v>
      </c>
      <c r="E89" s="11">
        <f>+SPECS!I14</f>
        <v>32.378399999999999</v>
      </c>
      <c r="F89" s="106">
        <f t="shared" si="5"/>
        <v>32.378399999999999</v>
      </c>
    </row>
    <row r="90" spans="2:6" x14ac:dyDescent="0.25">
      <c r="B90" s="49" t="str">
        <f>+'HOUSE EST 1'!B90</f>
        <v>Door numbers</v>
      </c>
      <c r="C90">
        <v>3</v>
      </c>
      <c r="D90" s="87" t="s">
        <v>324</v>
      </c>
      <c r="E90" s="11">
        <f>+SPECS!I8</f>
        <v>10.797300000000002</v>
      </c>
      <c r="F90" s="106">
        <f t="shared" si="5"/>
        <v>32.391900000000007</v>
      </c>
    </row>
    <row r="91" spans="2:6" x14ac:dyDescent="0.25">
      <c r="B91" s="49" t="str">
        <f>+'HOUSE EST 1'!B91</f>
        <v>Labor</v>
      </c>
      <c r="C91" s="87">
        <v>1</v>
      </c>
      <c r="D91" s="87" t="s">
        <v>324</v>
      </c>
      <c r="E91" s="11">
        <v>100</v>
      </c>
      <c r="F91" s="106">
        <f t="shared" si="5"/>
        <v>100</v>
      </c>
    </row>
    <row r="92" spans="2:6" x14ac:dyDescent="0.25">
      <c r="B92" s="48" t="str">
        <f>+'HOUSE EST 1'!B92</f>
        <v>Appliances</v>
      </c>
      <c r="C92" s="48"/>
      <c r="D92" s="48"/>
      <c r="E92" s="48"/>
      <c r="F92" s="48"/>
    </row>
    <row r="93" spans="2:6" x14ac:dyDescent="0.25">
      <c r="B93" s="49" t="str">
        <f>+'HOUSE EST 1'!B93</f>
        <v>Refrigerator</v>
      </c>
      <c r="C93">
        <v>1</v>
      </c>
      <c r="D93" s="87" t="s">
        <v>324</v>
      </c>
      <c r="E93" s="11">
        <f>+SPECS!I18</f>
        <v>1294.92</v>
      </c>
      <c r="F93" s="106">
        <f t="shared" si="5"/>
        <v>1294.92</v>
      </c>
    </row>
    <row r="94" spans="2:6" x14ac:dyDescent="0.25">
      <c r="B94" s="49" t="str">
        <f>+'HOUSE EST 1'!B94</f>
        <v>Dishwasher</v>
      </c>
      <c r="C94">
        <v>1</v>
      </c>
      <c r="D94" s="87" t="s">
        <v>324</v>
      </c>
      <c r="E94" s="11">
        <f>+SPECS!I19</f>
        <v>538.92000000000007</v>
      </c>
      <c r="F94" s="106">
        <f t="shared" si="5"/>
        <v>538.92000000000007</v>
      </c>
    </row>
    <row r="95" spans="2:6" x14ac:dyDescent="0.25">
      <c r="B95" s="49" t="str">
        <f>+'HOUSE EST 1'!B95</f>
        <v>Stove</v>
      </c>
      <c r="C95">
        <v>1</v>
      </c>
      <c r="D95" s="87" t="s">
        <v>324</v>
      </c>
      <c r="E95" s="11">
        <f>+SPECS!I20</f>
        <v>592.92000000000007</v>
      </c>
      <c r="F95" s="106">
        <f t="shared" si="5"/>
        <v>592.92000000000007</v>
      </c>
    </row>
    <row r="96" spans="2:6" x14ac:dyDescent="0.25">
      <c r="B96" s="49" t="str">
        <f>+'HOUSE EST 1'!B96</f>
        <v>Microwave</v>
      </c>
      <c r="C96">
        <v>1</v>
      </c>
      <c r="D96" s="87" t="s">
        <v>324</v>
      </c>
      <c r="E96" s="11">
        <f>+SPECS!I21</f>
        <v>431.98920000000004</v>
      </c>
      <c r="F96" s="106">
        <f t="shared" si="5"/>
        <v>431.98920000000004</v>
      </c>
    </row>
    <row r="97" spans="2:6" x14ac:dyDescent="0.25">
      <c r="B97" s="49" t="str">
        <f>+'HOUSE EST 1'!B97</f>
        <v>Labor</v>
      </c>
      <c r="C97">
        <v>1</v>
      </c>
      <c r="D97" s="87" t="s">
        <v>324</v>
      </c>
      <c r="E97" s="11">
        <v>500</v>
      </c>
      <c r="F97" s="106">
        <f t="shared" si="5"/>
        <v>500</v>
      </c>
    </row>
    <row r="98" spans="2:6" x14ac:dyDescent="0.25">
      <c r="B98" s="48" t="str">
        <f>+'HOUSE EST 1'!B98</f>
        <v>Plumbing Fixtures</v>
      </c>
      <c r="C98" s="48"/>
      <c r="D98" s="48"/>
      <c r="E98" s="48"/>
      <c r="F98" s="48"/>
    </row>
    <row r="99" spans="2:6" x14ac:dyDescent="0.25">
      <c r="B99" s="49" t="str">
        <f>+'HOUSE EST 1'!B99</f>
        <v>Kitchen Sink</v>
      </c>
      <c r="C99">
        <v>1</v>
      </c>
      <c r="D99" s="87" t="s">
        <v>324</v>
      </c>
      <c r="E99" s="11">
        <f>+SPECS!I41</f>
        <v>432.30239999999998</v>
      </c>
      <c r="F99" s="106">
        <f t="shared" si="5"/>
        <v>432.30239999999998</v>
      </c>
    </row>
    <row r="100" spans="2:6" x14ac:dyDescent="0.25">
      <c r="B100" s="49" t="str">
        <f>+'HOUSE EST 1'!B100</f>
        <v>Garbage Disposal</v>
      </c>
      <c r="C100">
        <v>1</v>
      </c>
      <c r="D100" s="87" t="s">
        <v>324</v>
      </c>
      <c r="E100" s="11">
        <f>+SPECS!I42</f>
        <v>139.61160000000001</v>
      </c>
      <c r="F100" s="106">
        <f t="shared" si="5"/>
        <v>139.61160000000001</v>
      </c>
    </row>
    <row r="101" spans="2:6" x14ac:dyDescent="0.25">
      <c r="B101" s="49" t="str">
        <f>+'HOUSE EST 1'!B101</f>
        <v>Kitchen Faucet</v>
      </c>
      <c r="C101">
        <v>1</v>
      </c>
      <c r="D101" s="87" t="s">
        <v>324</v>
      </c>
      <c r="E101" s="11">
        <f>+SPECS!I40</f>
        <v>187.0128</v>
      </c>
      <c r="F101" s="106">
        <f t="shared" si="5"/>
        <v>187.0128</v>
      </c>
    </row>
    <row r="102" spans="2:6" x14ac:dyDescent="0.25">
      <c r="B102" s="49" t="str">
        <f>+'HOUSE EST 1'!B102</f>
        <v>Bathroom Sink</v>
      </c>
      <c r="C102">
        <v>2</v>
      </c>
      <c r="D102" s="87" t="s">
        <v>324</v>
      </c>
      <c r="E102" s="11">
        <f>+SPECS!I43</f>
        <v>108.6156</v>
      </c>
      <c r="F102" s="106">
        <f t="shared" si="5"/>
        <v>217.2312</v>
      </c>
    </row>
    <row r="103" spans="2:6" x14ac:dyDescent="0.25">
      <c r="B103" s="49" t="str">
        <f>+'HOUSE EST 1'!B103</f>
        <v>Shower Faucet</v>
      </c>
      <c r="C103">
        <v>2</v>
      </c>
      <c r="D103" s="87" t="s">
        <v>324</v>
      </c>
      <c r="E103" s="11">
        <f>+SPECS!I46</f>
        <v>87.469200000000001</v>
      </c>
      <c r="F103" s="106">
        <f t="shared" si="5"/>
        <v>174.9384</v>
      </c>
    </row>
    <row r="104" spans="2:6" x14ac:dyDescent="0.25">
      <c r="B104" s="49" t="str">
        <f>+'HOUSE EST 1'!B104</f>
        <v>Mirror</v>
      </c>
      <c r="C104">
        <v>2</v>
      </c>
      <c r="D104" s="87" t="s">
        <v>324</v>
      </c>
      <c r="E104" s="11">
        <f>+SPECS!I44</f>
        <v>64.800000000000011</v>
      </c>
      <c r="F104" s="106">
        <f t="shared" si="5"/>
        <v>129.60000000000002</v>
      </c>
    </row>
    <row r="105" spans="2:6" x14ac:dyDescent="0.25">
      <c r="B105" s="49" t="str">
        <f>+'HOUSE EST 1'!B105</f>
        <v>Vanity Faucet</v>
      </c>
      <c r="C105">
        <v>2</v>
      </c>
      <c r="D105" s="87" t="s">
        <v>324</v>
      </c>
      <c r="E105" s="11">
        <f>+SPECS!I45</f>
        <v>38.577600000000004</v>
      </c>
      <c r="F105" s="106">
        <f t="shared" si="5"/>
        <v>77.155200000000008</v>
      </c>
    </row>
    <row r="106" spans="2:6" x14ac:dyDescent="0.25">
      <c r="B106" s="49" t="str">
        <f>+'HOUSE EST 1'!B106</f>
        <v>Towel Kit</v>
      </c>
      <c r="C106">
        <v>2</v>
      </c>
      <c r="D106" s="87" t="s">
        <v>324</v>
      </c>
      <c r="E106" s="11">
        <f>+SPECS!I47</f>
        <v>28.069199999999999</v>
      </c>
      <c r="F106" s="106">
        <f t="shared" si="5"/>
        <v>56.138399999999997</v>
      </c>
    </row>
    <row r="107" spans="2:6" x14ac:dyDescent="0.25">
      <c r="B107" s="49" t="str">
        <f>+'HOUSE EST 1'!B107</f>
        <v>Soap Hardware</v>
      </c>
      <c r="C107">
        <v>2</v>
      </c>
      <c r="D107" s="87" t="s">
        <v>324</v>
      </c>
      <c r="E107" s="11">
        <f>+SPECS!I48</f>
        <v>51.224400000000003</v>
      </c>
      <c r="F107" s="106">
        <f t="shared" si="5"/>
        <v>102.44880000000001</v>
      </c>
    </row>
    <row r="108" spans="2:6" x14ac:dyDescent="0.25">
      <c r="B108" s="49" t="str">
        <f>+'HOUSE EST 1'!B108</f>
        <v>Toilet</v>
      </c>
      <c r="C108">
        <v>2</v>
      </c>
      <c r="D108" s="87" t="s">
        <v>324</v>
      </c>
      <c r="E108" s="11">
        <f>+SPECS!I49</f>
        <v>204.17400000000004</v>
      </c>
      <c r="F108" s="106">
        <f t="shared" si="5"/>
        <v>408.34800000000007</v>
      </c>
    </row>
    <row r="109" spans="2:6" x14ac:dyDescent="0.25">
      <c r="B109" s="49" t="str">
        <f>+'HOUSE EST 1'!B109</f>
        <v>Labor</v>
      </c>
      <c r="C109">
        <v>2</v>
      </c>
      <c r="D109" s="87" t="s">
        <v>324</v>
      </c>
      <c r="E109" s="11">
        <v>500</v>
      </c>
      <c r="F109" s="106">
        <f t="shared" si="5"/>
        <v>1000</v>
      </c>
    </row>
    <row r="110" spans="2:6" x14ac:dyDescent="0.25">
      <c r="B110" s="48" t="str">
        <f>+'HOUSE EST 1'!B110</f>
        <v>Electrical Fixtures</v>
      </c>
      <c r="C110" s="48"/>
      <c r="D110" s="48"/>
      <c r="E110" s="48"/>
      <c r="F110" s="48"/>
    </row>
    <row r="111" spans="2:6" x14ac:dyDescent="0.25">
      <c r="B111" s="49" t="str">
        <f>+'HOUSE EST 1'!B111</f>
        <v>Led - Flush Mount</v>
      </c>
      <c r="C111">
        <v>3</v>
      </c>
      <c r="D111" t="s">
        <v>324</v>
      </c>
      <c r="E111" s="11">
        <f>+SPECS!I31</f>
        <v>41.040000000000006</v>
      </c>
      <c r="F111" s="106">
        <f t="shared" ref="F111:F119" si="6">+C111*E111</f>
        <v>123.12000000000002</v>
      </c>
    </row>
    <row r="112" spans="2:6" x14ac:dyDescent="0.25">
      <c r="B112" s="49" t="str">
        <f>+'HOUSE EST 1'!B112</f>
        <v>Recessed Down Light 6"</v>
      </c>
      <c r="C112">
        <v>16</v>
      </c>
      <c r="D112" t="s">
        <v>324</v>
      </c>
      <c r="E112" s="11">
        <f>+SPECS!I33</f>
        <v>17.917200000000001</v>
      </c>
      <c r="F112" s="106">
        <f t="shared" si="6"/>
        <v>286.67520000000002</v>
      </c>
    </row>
    <row r="113" spans="2:7" x14ac:dyDescent="0.25">
      <c r="B113" s="49" t="str">
        <f>+'HOUSE EST 1'!B113</f>
        <v>Fan and light</v>
      </c>
      <c r="C113">
        <v>2</v>
      </c>
      <c r="D113" t="s">
        <v>324</v>
      </c>
      <c r="E113" s="11">
        <f>+SPECS!I34</f>
        <v>81.183600000000013</v>
      </c>
      <c r="F113" s="106">
        <f t="shared" si="6"/>
        <v>162.36720000000003</v>
      </c>
    </row>
    <row r="114" spans="2:7" x14ac:dyDescent="0.25">
      <c r="B114" s="49" t="str">
        <f>+'HOUSE EST 1'!B114</f>
        <v>Exterior light</v>
      </c>
      <c r="C114">
        <v>1</v>
      </c>
      <c r="D114" t="s">
        <v>324</v>
      </c>
      <c r="E114" s="11">
        <f>+SPECS!I32</f>
        <v>21.578400000000002</v>
      </c>
      <c r="F114" s="106">
        <f t="shared" si="6"/>
        <v>21.578400000000002</v>
      </c>
    </row>
    <row r="115" spans="2:7" x14ac:dyDescent="0.25">
      <c r="B115" s="49" t="str">
        <f>+'HOUSE EST 1'!B115</f>
        <v>Exhaust</v>
      </c>
      <c r="C115">
        <v>2</v>
      </c>
      <c r="D115" t="s">
        <v>324</v>
      </c>
      <c r="E115" s="11">
        <f>+SPECS!I56</f>
        <v>25.92</v>
      </c>
      <c r="F115" s="106">
        <f t="shared" si="6"/>
        <v>51.84</v>
      </c>
    </row>
    <row r="116" spans="2:7" x14ac:dyDescent="0.25">
      <c r="B116" s="49" t="str">
        <f>+'HOUSE EST 1'!B116</f>
        <v>Switch</v>
      </c>
      <c r="C116">
        <v>14</v>
      </c>
      <c r="D116" t="s">
        <v>324</v>
      </c>
      <c r="E116" s="11">
        <f>+SPECS!I51</f>
        <v>2.4084000000000003</v>
      </c>
      <c r="F116" s="106">
        <f t="shared" si="6"/>
        <v>33.717600000000004</v>
      </c>
    </row>
    <row r="117" spans="2:7" x14ac:dyDescent="0.25">
      <c r="B117" s="49" t="str">
        <f>+'HOUSE EST 1'!B117</f>
        <v>Gang wall plate</v>
      </c>
      <c r="C117">
        <f>+C116</f>
        <v>14</v>
      </c>
      <c r="D117" t="s">
        <v>324</v>
      </c>
      <c r="E117" s="11">
        <f>+SPECS!I52</f>
        <v>2.5099999999999998</v>
      </c>
      <c r="F117" s="106">
        <f t="shared" si="6"/>
        <v>35.14</v>
      </c>
    </row>
    <row r="118" spans="2:7" x14ac:dyDescent="0.25">
      <c r="B118" s="49" t="str">
        <f>+'HOUSE EST 1'!B118</f>
        <v>Smoke detector</v>
      </c>
      <c r="C118">
        <v>2</v>
      </c>
      <c r="D118" t="s">
        <v>324</v>
      </c>
      <c r="E118" s="11">
        <f>+SPECS!I57</f>
        <v>16.491600000000002</v>
      </c>
      <c r="F118" s="106">
        <f t="shared" si="6"/>
        <v>32.983200000000004</v>
      </c>
    </row>
    <row r="119" spans="2:7" x14ac:dyDescent="0.25">
      <c r="B119" s="49" t="str">
        <f>+'HOUSE EST 1'!B119</f>
        <v>Labor</v>
      </c>
      <c r="C119">
        <v>1</v>
      </c>
      <c r="D119" t="s">
        <v>324</v>
      </c>
      <c r="E119" s="11">
        <v>500</v>
      </c>
      <c r="F119" s="106">
        <f t="shared" si="6"/>
        <v>500</v>
      </c>
    </row>
    <row r="120" spans="2:7" x14ac:dyDescent="0.25">
      <c r="B120" s="58" t="str">
        <f>+'HOUSE EST 1'!B120</f>
        <v>TOTAL</v>
      </c>
      <c r="C120" s="58"/>
      <c r="D120" s="58"/>
      <c r="E120" s="58"/>
      <c r="F120" s="62">
        <f>SUM(F3:F119)</f>
        <v>89516.704899999953</v>
      </c>
      <c r="G120">
        <f>+F120/F1</f>
        <v>143.22672783999994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83E59-874D-4932-9AC4-F8886D428238}">
  <dimension ref="B1:T83"/>
  <sheetViews>
    <sheetView showGridLines="0" tabSelected="1" topLeftCell="C1" workbookViewId="0">
      <pane ySplit="2" topLeftCell="A68" activePane="bottomLeft" state="frozen"/>
      <selection pane="bottomLeft" activeCell="P78" sqref="P78"/>
    </sheetView>
    <sheetView workbookViewId="1"/>
  </sheetViews>
  <sheetFormatPr baseColWidth="10" defaultColWidth="11.42578125" defaultRowHeight="15" x14ac:dyDescent="0.25"/>
  <cols>
    <col min="2" max="2" width="48.85546875" bestFit="1" customWidth="1"/>
    <col min="3" max="4" width="9.140625"/>
    <col min="5" max="5" width="19.28515625" bestFit="1" customWidth="1"/>
    <col min="6" max="6" width="9.42578125" customWidth="1"/>
    <col min="7" max="7" width="14.7109375" bestFit="1" customWidth="1"/>
    <col min="8" max="8" width="18.42578125" style="11" bestFit="1" customWidth="1"/>
    <col min="9" max="9" width="7.140625" style="77" bestFit="1" customWidth="1"/>
    <col min="10" max="10" width="7.85546875" style="77" bestFit="1" customWidth="1"/>
    <col min="11" max="11" width="15.7109375" style="77" customWidth="1"/>
    <col min="12" max="12" width="13.85546875" style="63" customWidth="1"/>
    <col min="13" max="13" width="9.140625"/>
  </cols>
  <sheetData>
    <row r="1" spans="2:20" x14ac:dyDescent="0.25">
      <c r="E1">
        <v>1000</v>
      </c>
      <c r="G1">
        <f>+L1</f>
        <v>375</v>
      </c>
      <c r="H1" s="106" t="s">
        <v>321</v>
      </c>
      <c r="I1" s="107"/>
      <c r="J1" s="107"/>
      <c r="K1" s="107"/>
      <c r="L1" s="107">
        <v>375</v>
      </c>
    </row>
    <row r="2" spans="2:20" x14ac:dyDescent="0.25">
      <c r="B2" s="58" t="s">
        <v>322</v>
      </c>
      <c r="C2" s="58" t="s">
        <v>323</v>
      </c>
      <c r="D2" s="58" t="s">
        <v>324</v>
      </c>
      <c r="E2" s="58" t="s">
        <v>411</v>
      </c>
      <c r="F2" s="58" t="s">
        <v>412</v>
      </c>
      <c r="G2" s="58" t="s">
        <v>413</v>
      </c>
      <c r="H2" s="59" t="s">
        <v>414</v>
      </c>
      <c r="I2" s="76" t="s">
        <v>415</v>
      </c>
      <c r="J2" s="76" t="s">
        <v>416</v>
      </c>
      <c r="K2" s="76" t="s">
        <v>417</v>
      </c>
      <c r="L2" s="64" t="s">
        <v>326</v>
      </c>
      <c r="N2">
        <v>1000</v>
      </c>
      <c r="O2" t="s">
        <v>40</v>
      </c>
    </row>
    <row r="3" spans="2:20" x14ac:dyDescent="0.25">
      <c r="B3" s="47" t="s">
        <v>217</v>
      </c>
      <c r="C3" s="47"/>
      <c r="D3" s="47"/>
      <c r="E3" s="47"/>
      <c r="F3" s="47"/>
      <c r="G3" s="47"/>
      <c r="H3" s="47"/>
      <c r="I3" s="47"/>
      <c r="J3" s="47"/>
      <c r="K3" s="47"/>
      <c r="L3" s="65"/>
      <c r="N3" t="s">
        <v>418</v>
      </c>
    </row>
    <row r="4" spans="2:20" x14ac:dyDescent="0.25">
      <c r="B4" s="48" t="s">
        <v>221</v>
      </c>
      <c r="C4" s="48"/>
      <c r="D4" s="48"/>
      <c r="E4" s="48"/>
      <c r="F4" s="48"/>
      <c r="G4" s="48"/>
      <c r="H4" s="48"/>
      <c r="I4" s="48"/>
      <c r="J4" s="48"/>
      <c r="K4" s="48"/>
      <c r="L4" s="66">
        <f>+SUM(L6:L10)</f>
        <v>4357.8599999999997</v>
      </c>
      <c r="N4" t="s">
        <v>419</v>
      </c>
    </row>
    <row r="5" spans="2:20" x14ac:dyDescent="0.25">
      <c r="B5" s="73" t="s">
        <v>328</v>
      </c>
      <c r="C5" s="46">
        <f>+'HOUSE EST MODEL 1'!$C$5</f>
        <v>1170</v>
      </c>
      <c r="D5" s="46" t="s">
        <v>40</v>
      </c>
      <c r="E5" s="46"/>
      <c r="F5" s="46"/>
      <c r="G5" s="111"/>
      <c r="H5" s="112"/>
      <c r="I5" s="107"/>
      <c r="J5" s="107"/>
      <c r="K5" s="107"/>
      <c r="L5" s="108"/>
      <c r="N5">
        <v>15</v>
      </c>
    </row>
    <row r="6" spans="2:20" x14ac:dyDescent="0.25">
      <c r="B6" s="74" t="s">
        <v>420</v>
      </c>
      <c r="C6" s="87">
        <f>+C5</f>
        <v>1170</v>
      </c>
      <c r="D6" t="s">
        <v>40</v>
      </c>
      <c r="E6" s="82">
        <v>69.25</v>
      </c>
      <c r="F6" s="84">
        <f>+E6/1000</f>
        <v>6.9250000000000006E-2</v>
      </c>
      <c r="G6" s="57">
        <f>+F6*C6</f>
        <v>81.022500000000008</v>
      </c>
      <c r="H6" s="80">
        <v>16</v>
      </c>
      <c r="I6" s="81">
        <v>1</v>
      </c>
      <c r="J6" s="79">
        <f>+G6/I6</f>
        <v>81.022500000000008</v>
      </c>
      <c r="K6" s="78">
        <f>+J6/160</f>
        <v>0.50639062500000009</v>
      </c>
      <c r="L6" s="75">
        <f>+H6*G6*I6</f>
        <v>1296.3600000000001</v>
      </c>
      <c r="N6">
        <v>16.5</v>
      </c>
    </row>
    <row r="7" spans="2:20" x14ac:dyDescent="0.25">
      <c r="B7" s="74" t="s">
        <v>421</v>
      </c>
      <c r="C7" s="87">
        <f>+C5</f>
        <v>1170</v>
      </c>
      <c r="D7" t="s">
        <v>40</v>
      </c>
      <c r="E7">
        <f>+E6</f>
        <v>69.25</v>
      </c>
      <c r="F7" s="84">
        <f>+E7/1000</f>
        <v>6.9250000000000006E-2</v>
      </c>
      <c r="G7" s="57">
        <f>+F7*C7</f>
        <v>81.022500000000008</v>
      </c>
      <c r="H7" s="80">
        <v>10</v>
      </c>
      <c r="I7" s="81">
        <v>1</v>
      </c>
      <c r="J7" s="79">
        <f>+G7/I7</f>
        <v>81.022500000000008</v>
      </c>
      <c r="K7" s="78">
        <f>+J7/160</f>
        <v>0.50639062500000009</v>
      </c>
      <c r="L7" s="75">
        <f>+H7*G7*I7</f>
        <v>810.22500000000014</v>
      </c>
      <c r="N7">
        <v>12.75</v>
      </c>
    </row>
    <row r="8" spans="2:20" x14ac:dyDescent="0.25">
      <c r="B8" s="73" t="s">
        <v>330</v>
      </c>
      <c r="C8" s="46">
        <f>+'HOUSE EST MODEL 1'!$C$6</f>
        <v>375</v>
      </c>
      <c r="D8" s="46" t="s">
        <v>40</v>
      </c>
      <c r="F8" s="71"/>
      <c r="L8" s="108"/>
      <c r="N8">
        <v>15</v>
      </c>
    </row>
    <row r="9" spans="2:20" x14ac:dyDescent="0.25">
      <c r="B9" s="74" t="s">
        <v>422</v>
      </c>
      <c r="C9" s="87">
        <f>+C8</f>
        <v>375</v>
      </c>
      <c r="D9" t="s">
        <v>40</v>
      </c>
      <c r="E9" s="82">
        <f>12.6+48+28.8+33+45+45.5+9+9</f>
        <v>230.9</v>
      </c>
      <c r="F9" s="84">
        <f>+E9/1000</f>
        <v>0.23089999999999999</v>
      </c>
      <c r="G9" s="57">
        <f t="shared" ref="G9:G10" si="0">+F9*C9</f>
        <v>86.587499999999991</v>
      </c>
      <c r="H9" s="80">
        <v>16</v>
      </c>
      <c r="I9" s="81">
        <v>1</v>
      </c>
      <c r="J9" s="79">
        <f t="shared" ref="J9:J10" si="1">+G9/I9</f>
        <v>86.587499999999991</v>
      </c>
      <c r="K9" s="78">
        <f t="shared" ref="K9:K10" si="2">+J9/160</f>
        <v>0.54117187499999997</v>
      </c>
      <c r="L9" s="75">
        <f t="shared" ref="L9:L10" si="3">+H9*G9*I9</f>
        <v>1385.3999999999999</v>
      </c>
    </row>
    <row r="10" spans="2:20" x14ac:dyDescent="0.25">
      <c r="B10" s="74" t="s">
        <v>421</v>
      </c>
      <c r="C10" s="87">
        <f>+C8</f>
        <v>375</v>
      </c>
      <c r="D10" t="s">
        <v>40</v>
      </c>
      <c r="E10">
        <f>+E9</f>
        <v>230.9</v>
      </c>
      <c r="F10" s="84">
        <f>+E10/1000</f>
        <v>0.23089999999999999</v>
      </c>
      <c r="G10" s="57">
        <f t="shared" si="0"/>
        <v>86.587499999999991</v>
      </c>
      <c r="H10" s="80">
        <v>10</v>
      </c>
      <c r="I10" s="81">
        <v>1</v>
      </c>
      <c r="J10" s="79">
        <f t="shared" si="1"/>
        <v>86.587499999999991</v>
      </c>
      <c r="K10" s="78">
        <f t="shared" si="2"/>
        <v>0.54117187499999997</v>
      </c>
      <c r="L10" s="75">
        <f t="shared" si="3"/>
        <v>865.87499999999989</v>
      </c>
    </row>
    <row r="11" spans="2:20" x14ac:dyDescent="0.25">
      <c r="B11" s="47" t="s">
        <v>331</v>
      </c>
      <c r="C11" s="47"/>
      <c r="D11" s="47"/>
      <c r="E11" s="47"/>
      <c r="F11" s="85"/>
      <c r="G11" s="47"/>
      <c r="H11" s="47"/>
      <c r="I11" s="47"/>
      <c r="J11" s="47"/>
      <c r="K11" s="47"/>
      <c r="L11" s="65"/>
      <c r="N11">
        <f>1000/100</f>
        <v>10</v>
      </c>
    </row>
    <row r="12" spans="2:20" x14ac:dyDescent="0.25">
      <c r="B12" s="48" t="s">
        <v>332</v>
      </c>
      <c r="C12" s="48"/>
      <c r="D12" s="48"/>
      <c r="E12" s="48"/>
      <c r="F12" s="86"/>
      <c r="G12" s="48"/>
      <c r="H12" s="48"/>
      <c r="I12" s="48"/>
      <c r="J12" s="48"/>
      <c r="K12" s="48"/>
      <c r="L12" s="66">
        <f>+L13+L14</f>
        <v>272.99999999999994</v>
      </c>
      <c r="N12" s="113">
        <f>SUM(N5:N11)</f>
        <v>69.25</v>
      </c>
      <c r="P12" t="s">
        <v>423</v>
      </c>
      <c r="R12" t="s">
        <v>424</v>
      </c>
      <c r="T12" t="s">
        <v>425</v>
      </c>
    </row>
    <row r="13" spans="2:20" x14ac:dyDescent="0.25">
      <c r="B13" s="74" t="s">
        <v>426</v>
      </c>
      <c r="C13" s="57">
        <f>+'HOUSE EST MODEL 1'!$C$9</f>
        <v>375</v>
      </c>
      <c r="D13" t="s">
        <v>40</v>
      </c>
      <c r="E13" s="82">
        <v>2.8</v>
      </c>
      <c r="F13" s="84">
        <f>+E13/100</f>
        <v>2.7999999999999997E-2</v>
      </c>
      <c r="G13" s="57">
        <f t="shared" ref="G13:G14" si="4">+F13*C13</f>
        <v>10.499999999999998</v>
      </c>
      <c r="H13" s="80">
        <v>16</v>
      </c>
      <c r="I13" s="81">
        <v>1</v>
      </c>
      <c r="J13" s="79">
        <f>+G13/I13</f>
        <v>10.499999999999998</v>
      </c>
      <c r="K13" s="78">
        <f>+J13/160</f>
        <v>6.5624999999999989E-2</v>
      </c>
      <c r="L13" s="75">
        <f>+H13*G13*I13</f>
        <v>167.99999999999997</v>
      </c>
      <c r="N13" s="113">
        <f>+(N12/N2)*C5</f>
        <v>81.022500000000008</v>
      </c>
      <c r="P13">
        <v>9</v>
      </c>
      <c r="R13" s="57">
        <f>+N13*P13</f>
        <v>729.2025000000001</v>
      </c>
      <c r="T13" s="72">
        <f>+R13/160</f>
        <v>4.5575156250000006</v>
      </c>
    </row>
    <row r="14" spans="2:20" x14ac:dyDescent="0.25">
      <c r="B14" s="74" t="s">
        <v>427</v>
      </c>
      <c r="C14" s="57">
        <f>+C13</f>
        <v>375</v>
      </c>
      <c r="D14" t="s">
        <v>40</v>
      </c>
      <c r="E14" s="83">
        <f>+E13</f>
        <v>2.8</v>
      </c>
      <c r="F14" s="84">
        <f>+E14/100</f>
        <v>2.7999999999999997E-2</v>
      </c>
      <c r="G14" s="57">
        <f t="shared" si="4"/>
        <v>10.499999999999998</v>
      </c>
      <c r="H14" s="80">
        <v>10</v>
      </c>
      <c r="I14" s="81">
        <v>1</v>
      </c>
      <c r="J14" s="79">
        <f>+G14/I14</f>
        <v>10.499999999999998</v>
      </c>
      <c r="K14" s="78">
        <f>+J14/160</f>
        <v>6.5624999999999989E-2</v>
      </c>
      <c r="L14" s="75">
        <f>+H14*G14*I14</f>
        <v>104.99999999999999</v>
      </c>
    </row>
    <row r="15" spans="2:20" x14ac:dyDescent="0.25">
      <c r="B15" s="48" t="s">
        <v>231</v>
      </c>
      <c r="C15" s="48"/>
      <c r="D15" s="48"/>
      <c r="E15" s="48"/>
      <c r="F15" s="48"/>
      <c r="G15" s="48"/>
      <c r="H15" s="48"/>
      <c r="I15" s="48"/>
      <c r="J15" s="48"/>
      <c r="K15" s="48"/>
      <c r="L15" s="66">
        <f>+L16+L17</f>
        <v>104</v>
      </c>
    </row>
    <row r="16" spans="2:20" x14ac:dyDescent="0.25">
      <c r="B16" s="74" t="s">
        <v>421</v>
      </c>
      <c r="C16">
        <f>+'HOUSE EST MODEL 1'!$C$11+'HOUSE EST MODEL 1'!$C$12</f>
        <v>4</v>
      </c>
      <c r="D16" s="87" t="s">
        <v>324</v>
      </c>
      <c r="E16" s="87"/>
      <c r="F16" s="87">
        <v>1</v>
      </c>
      <c r="G16" s="57">
        <f t="shared" ref="G16" si="5">+F16*C16</f>
        <v>4</v>
      </c>
      <c r="H16" s="80">
        <v>16</v>
      </c>
      <c r="I16" s="81">
        <v>1</v>
      </c>
      <c r="J16" s="79">
        <f>+G16/I16</f>
        <v>4</v>
      </c>
      <c r="K16" s="78">
        <f>+J16/160</f>
        <v>2.5000000000000001E-2</v>
      </c>
      <c r="L16" s="75">
        <f>+H16*G16*I16</f>
        <v>64</v>
      </c>
    </row>
    <row r="17" spans="2:13" x14ac:dyDescent="0.25">
      <c r="B17" s="74" t="s">
        <v>427</v>
      </c>
      <c r="C17">
        <f>+C16</f>
        <v>4</v>
      </c>
      <c r="D17" s="87" t="s">
        <v>324</v>
      </c>
      <c r="E17" s="87"/>
      <c r="F17" s="87">
        <v>1</v>
      </c>
      <c r="G17" s="57">
        <f t="shared" ref="G17" si="6">+F17*C17</f>
        <v>4</v>
      </c>
      <c r="H17" s="80">
        <v>10</v>
      </c>
      <c r="I17" s="81">
        <v>1</v>
      </c>
      <c r="J17" s="79">
        <f>+G17/I17</f>
        <v>4</v>
      </c>
      <c r="K17" s="78">
        <f>+J17/160</f>
        <v>2.5000000000000001E-2</v>
      </c>
      <c r="L17" s="75">
        <f>+H17*G17*I17</f>
        <v>40</v>
      </c>
    </row>
    <row r="18" spans="2:13" x14ac:dyDescent="0.25">
      <c r="B18" s="48" t="s">
        <v>234</v>
      </c>
      <c r="C18" s="48"/>
      <c r="D18" s="48"/>
      <c r="E18" s="48"/>
      <c r="F18" s="48"/>
      <c r="G18" s="48"/>
      <c r="H18" s="48"/>
      <c r="I18" s="48"/>
      <c r="J18" s="48"/>
      <c r="K18" s="48"/>
      <c r="L18" s="66">
        <f>+L19+L20</f>
        <v>873.6</v>
      </c>
    </row>
    <row r="19" spans="2:13" x14ac:dyDescent="0.25">
      <c r="B19" s="74" t="s">
        <v>421</v>
      </c>
      <c r="C19" s="57">
        <f>+'HOUSE EST MODEL 1'!$C$14</f>
        <v>800</v>
      </c>
      <c r="D19" t="s">
        <v>40</v>
      </c>
      <c r="E19" s="82">
        <v>4.2</v>
      </c>
      <c r="F19" s="84">
        <f>+E19/100</f>
        <v>4.2000000000000003E-2</v>
      </c>
      <c r="G19" s="57">
        <f t="shared" ref="G19:G20" si="7">+F19*C19</f>
        <v>33.6</v>
      </c>
      <c r="H19" s="80">
        <v>16</v>
      </c>
      <c r="I19" s="81">
        <v>1</v>
      </c>
      <c r="J19" s="79">
        <f>+G19/I19</f>
        <v>33.6</v>
      </c>
      <c r="K19" s="78">
        <f>+J19/160</f>
        <v>0.21000000000000002</v>
      </c>
      <c r="L19" s="75">
        <f>+H19*G19*I19</f>
        <v>537.6</v>
      </c>
    </row>
    <row r="20" spans="2:13" x14ac:dyDescent="0.25">
      <c r="B20" s="74" t="s">
        <v>427</v>
      </c>
      <c r="C20" s="57">
        <f>+C19</f>
        <v>800</v>
      </c>
      <c r="D20" t="s">
        <v>40</v>
      </c>
      <c r="E20" s="83">
        <f>+E19</f>
        <v>4.2</v>
      </c>
      <c r="F20" s="84">
        <f>+E20/100</f>
        <v>4.2000000000000003E-2</v>
      </c>
      <c r="G20" s="57">
        <f t="shared" si="7"/>
        <v>33.6</v>
      </c>
      <c r="H20" s="80">
        <v>10</v>
      </c>
      <c r="I20" s="81">
        <v>1</v>
      </c>
      <c r="J20" s="79">
        <f>+G20/I20</f>
        <v>33.6</v>
      </c>
      <c r="K20" s="78">
        <f>+J20/160</f>
        <v>0.21000000000000002</v>
      </c>
      <c r="L20" s="75">
        <f>+H20*G20*I20</f>
        <v>336</v>
      </c>
      <c r="M20" s="87" t="s">
        <v>339</v>
      </c>
    </row>
    <row r="21" spans="2:13" x14ac:dyDescent="0.25">
      <c r="B21" s="48" t="s">
        <v>340</v>
      </c>
      <c r="C21" s="48"/>
      <c r="D21" s="48"/>
      <c r="E21" s="48"/>
      <c r="F21" s="48"/>
      <c r="G21" s="48"/>
      <c r="H21" s="48"/>
      <c r="I21" s="48"/>
      <c r="J21" s="48"/>
      <c r="K21" s="48"/>
      <c r="L21" s="66">
        <f>+L22+L23</f>
        <v>274.04000000000002</v>
      </c>
    </row>
    <row r="22" spans="2:13" x14ac:dyDescent="0.25">
      <c r="B22" s="74" t="s">
        <v>421</v>
      </c>
      <c r="C22">
        <f>+'HOUSE EST MODEL 1'!$C$17+'HOUSE EST MODEL 1'!$C$18</f>
        <v>155</v>
      </c>
      <c r="D22" s="87" t="s">
        <v>163</v>
      </c>
      <c r="E22" s="82">
        <v>6.8</v>
      </c>
      <c r="F22" s="84">
        <f>+E22/100</f>
        <v>6.8000000000000005E-2</v>
      </c>
      <c r="G22" s="57">
        <f t="shared" ref="G22:G23" si="8">+F22*C22</f>
        <v>10.540000000000001</v>
      </c>
      <c r="H22" s="80">
        <v>16</v>
      </c>
      <c r="I22" s="81">
        <v>1</v>
      </c>
      <c r="J22" s="79">
        <f>+G22/I22</f>
        <v>10.540000000000001</v>
      </c>
      <c r="K22" s="78">
        <f>+J22/160</f>
        <v>6.5875000000000003E-2</v>
      </c>
      <c r="L22" s="75">
        <f>+H22*G22*I22</f>
        <v>168.64000000000001</v>
      </c>
    </row>
    <row r="23" spans="2:13" x14ac:dyDescent="0.25">
      <c r="B23" s="74" t="s">
        <v>427</v>
      </c>
      <c r="C23">
        <f>+C22</f>
        <v>155</v>
      </c>
      <c r="D23" s="87" t="s">
        <v>163</v>
      </c>
      <c r="E23" s="83">
        <f>+E22</f>
        <v>6.8</v>
      </c>
      <c r="F23" s="84">
        <f>+E23/100</f>
        <v>6.8000000000000005E-2</v>
      </c>
      <c r="G23" s="57">
        <f t="shared" si="8"/>
        <v>10.540000000000001</v>
      </c>
      <c r="H23" s="80">
        <v>10</v>
      </c>
      <c r="I23" s="81">
        <v>1</v>
      </c>
      <c r="J23" s="79">
        <f>+G23/I23</f>
        <v>10.540000000000001</v>
      </c>
      <c r="K23" s="78">
        <f>+J23/160</f>
        <v>6.5875000000000003E-2</v>
      </c>
      <c r="L23" s="75">
        <f>+H23*G23*I23</f>
        <v>105.4</v>
      </c>
    </row>
    <row r="24" spans="2:13" x14ac:dyDescent="0.25">
      <c r="B24" s="48" t="s">
        <v>343</v>
      </c>
      <c r="C24" s="48"/>
      <c r="D24" s="48"/>
      <c r="E24" s="48"/>
      <c r="F24" s="48"/>
      <c r="G24" s="48"/>
      <c r="H24" s="48"/>
      <c r="I24" s="48"/>
      <c r="J24" s="48"/>
      <c r="K24" s="48"/>
      <c r="L24" s="66">
        <f>+L25+L26</f>
        <v>72.8</v>
      </c>
    </row>
    <row r="25" spans="2:13" x14ac:dyDescent="0.25">
      <c r="B25" s="74" t="s">
        <v>421</v>
      </c>
      <c r="C25">
        <f>+'HOUSE EST MODEL 1'!$C$20</f>
        <v>1</v>
      </c>
      <c r="D25" s="87" t="s">
        <v>324</v>
      </c>
      <c r="E25" s="87"/>
      <c r="F25" s="87">
        <v>2.8</v>
      </c>
      <c r="G25" s="57">
        <f t="shared" ref="G25:G26" si="9">+F25*C25</f>
        <v>2.8</v>
      </c>
      <c r="H25" s="80">
        <v>16</v>
      </c>
      <c r="I25" s="81">
        <v>1</v>
      </c>
      <c r="J25" s="79">
        <f>+G25/I25</f>
        <v>2.8</v>
      </c>
      <c r="K25" s="78">
        <f>+J25/160</f>
        <v>1.7499999999999998E-2</v>
      </c>
      <c r="L25" s="75">
        <f>+H25*G25*I25</f>
        <v>44.8</v>
      </c>
    </row>
    <row r="26" spans="2:13" x14ac:dyDescent="0.25">
      <c r="B26" s="74" t="s">
        <v>427</v>
      </c>
      <c r="C26">
        <f>+C25</f>
        <v>1</v>
      </c>
      <c r="D26" s="87" t="s">
        <v>324</v>
      </c>
      <c r="E26" s="87"/>
      <c r="F26" s="87">
        <f>+F25</f>
        <v>2.8</v>
      </c>
      <c r="G26" s="57">
        <f t="shared" si="9"/>
        <v>2.8</v>
      </c>
      <c r="H26" s="80">
        <v>10</v>
      </c>
      <c r="I26" s="81">
        <v>1</v>
      </c>
      <c r="J26" s="79">
        <f>+G26/I26</f>
        <v>2.8</v>
      </c>
      <c r="K26" s="78">
        <f>+J26/160</f>
        <v>1.7499999999999998E-2</v>
      </c>
      <c r="L26" s="75">
        <f>+H26*G26*I26</f>
        <v>28</v>
      </c>
    </row>
    <row r="27" spans="2:13" x14ac:dyDescent="0.25">
      <c r="B27" s="48" t="s">
        <v>242</v>
      </c>
      <c r="C27" s="48"/>
      <c r="D27" s="48"/>
      <c r="E27" s="48"/>
      <c r="F27" s="48"/>
      <c r="G27" s="48"/>
      <c r="H27" s="48"/>
      <c r="I27" s="48"/>
      <c r="J27" s="48"/>
      <c r="K27" s="48"/>
      <c r="L27" s="66">
        <f>+L28+L29</f>
        <v>104</v>
      </c>
    </row>
    <row r="28" spans="2:13" x14ac:dyDescent="0.25">
      <c r="B28" s="74" t="s">
        <v>421</v>
      </c>
      <c r="C28">
        <f>+'HOUSE EST MODEL 1'!$C$22+'HOUSE EST MODEL 1'!$C$23</f>
        <v>120</v>
      </c>
      <c r="D28" s="87" t="s">
        <v>163</v>
      </c>
      <c r="E28" s="87"/>
      <c r="F28" s="114">
        <f>1/30</f>
        <v>3.3333333333333333E-2</v>
      </c>
      <c r="G28" s="57">
        <f t="shared" ref="G28:G29" si="10">+F28*C28</f>
        <v>4</v>
      </c>
      <c r="H28" s="80">
        <v>16</v>
      </c>
      <c r="I28" s="81">
        <v>1</v>
      </c>
      <c r="J28" s="79">
        <f>+G28/I28</f>
        <v>4</v>
      </c>
      <c r="K28" s="78">
        <f>+J28/160</f>
        <v>2.5000000000000001E-2</v>
      </c>
      <c r="L28" s="75">
        <f>+H28*G28*I28</f>
        <v>64</v>
      </c>
    </row>
    <row r="29" spans="2:13" x14ac:dyDescent="0.25">
      <c r="B29" s="74" t="s">
        <v>427</v>
      </c>
      <c r="C29">
        <f>+C28</f>
        <v>120</v>
      </c>
      <c r="D29" s="87" t="s">
        <v>163</v>
      </c>
      <c r="E29" s="87"/>
      <c r="F29" s="114">
        <f>+F28</f>
        <v>3.3333333333333333E-2</v>
      </c>
      <c r="G29" s="57">
        <f t="shared" si="10"/>
        <v>4</v>
      </c>
      <c r="H29" s="80">
        <v>10</v>
      </c>
      <c r="I29" s="81">
        <v>1</v>
      </c>
      <c r="J29" s="79">
        <f>+G29/I29</f>
        <v>4</v>
      </c>
      <c r="K29" s="78">
        <f>+J29/160</f>
        <v>2.5000000000000001E-2</v>
      </c>
      <c r="L29" s="75">
        <f>+H29*G29*I29</f>
        <v>40</v>
      </c>
    </row>
    <row r="30" spans="2:13" x14ac:dyDescent="0.25">
      <c r="B30" s="47" t="s">
        <v>347</v>
      </c>
      <c r="C30" s="47"/>
      <c r="D30" s="47"/>
      <c r="E30" s="47"/>
      <c r="F30" s="47"/>
      <c r="G30" s="47"/>
      <c r="H30" s="47"/>
      <c r="I30" s="47"/>
      <c r="J30" s="47"/>
      <c r="K30" s="47"/>
      <c r="L30" s="65"/>
    </row>
    <row r="31" spans="2:13" x14ac:dyDescent="0.25">
      <c r="B31" s="48" t="s">
        <v>348</v>
      </c>
      <c r="C31" s="48"/>
      <c r="D31" s="48"/>
      <c r="E31" s="48"/>
      <c r="F31" s="48"/>
      <c r="G31" s="48"/>
      <c r="H31" s="48"/>
      <c r="I31" s="48"/>
      <c r="J31" s="48"/>
      <c r="K31" s="48"/>
      <c r="L31" s="66">
        <f>+L32+L33</f>
        <v>364.00000000000006</v>
      </c>
    </row>
    <row r="32" spans="2:13" x14ac:dyDescent="0.25">
      <c r="B32" s="74" t="s">
        <v>428</v>
      </c>
      <c r="C32" s="57">
        <f>+'HOUSE EST MODEL 1'!$C$26+'HOUSE EST MODEL 1'!$C$27</f>
        <v>100</v>
      </c>
      <c r="D32" s="87" t="s">
        <v>163</v>
      </c>
      <c r="E32" s="87"/>
      <c r="F32" s="87">
        <v>0.14000000000000001</v>
      </c>
      <c r="G32" s="57">
        <f t="shared" ref="G32" si="11">+F32*C32</f>
        <v>14.000000000000002</v>
      </c>
      <c r="H32" s="80">
        <v>16</v>
      </c>
      <c r="I32" s="81">
        <v>1</v>
      </c>
      <c r="J32" s="79">
        <f>+G32/I32</f>
        <v>14.000000000000002</v>
      </c>
      <c r="K32" s="78">
        <f>+J32/160</f>
        <v>8.7500000000000008E-2</v>
      </c>
      <c r="L32" s="75">
        <f>+H32*G32*I32</f>
        <v>224.00000000000003</v>
      </c>
      <c r="M32" s="13"/>
    </row>
    <row r="33" spans="2:13" x14ac:dyDescent="0.25">
      <c r="B33" s="74" t="s">
        <v>427</v>
      </c>
      <c r="C33" s="57">
        <f>+C32</f>
        <v>100</v>
      </c>
      <c r="D33" s="87" t="s">
        <v>163</v>
      </c>
      <c r="E33" s="87"/>
      <c r="F33" s="87">
        <f>+F32</f>
        <v>0.14000000000000001</v>
      </c>
      <c r="G33" s="57">
        <f t="shared" ref="G33" si="12">+F33*C33</f>
        <v>14.000000000000002</v>
      </c>
      <c r="H33" s="80">
        <v>10</v>
      </c>
      <c r="I33" s="81">
        <v>1</v>
      </c>
      <c r="J33" s="79">
        <f>+G33/I33</f>
        <v>14.000000000000002</v>
      </c>
      <c r="K33" s="78">
        <f>+J33/160</f>
        <v>8.7500000000000008E-2</v>
      </c>
      <c r="L33" s="75">
        <f>+H33*G33*I33</f>
        <v>140.00000000000003</v>
      </c>
      <c r="M33" s="13"/>
    </row>
    <row r="34" spans="2:13" x14ac:dyDescent="0.25">
      <c r="B34" s="48" t="s">
        <v>352</v>
      </c>
      <c r="C34" s="48"/>
      <c r="D34" s="48"/>
      <c r="E34" s="48"/>
      <c r="F34" s="48"/>
      <c r="G34" s="48"/>
      <c r="H34" s="48"/>
      <c r="I34" s="48"/>
      <c r="J34" s="48"/>
      <c r="K34" s="48"/>
      <c r="L34" s="66">
        <f>+L35+L36</f>
        <v>1040</v>
      </c>
    </row>
    <row r="35" spans="2:13" x14ac:dyDescent="0.25">
      <c r="B35" s="49" t="s">
        <v>429</v>
      </c>
      <c r="C35">
        <f>+'HOUSE EST MODEL 1'!$C$30</f>
        <v>80</v>
      </c>
      <c r="D35" s="87" t="s">
        <v>163</v>
      </c>
      <c r="E35" s="87"/>
      <c r="F35" s="87">
        <v>0.5</v>
      </c>
      <c r="G35" s="57">
        <f t="shared" ref="G35:G36" si="13">+F35*C35</f>
        <v>40</v>
      </c>
      <c r="H35" s="80">
        <v>16</v>
      </c>
      <c r="I35" s="81">
        <v>1</v>
      </c>
      <c r="J35" s="79">
        <f>+G35/I35</f>
        <v>40</v>
      </c>
      <c r="K35" s="78">
        <f>+J35/160</f>
        <v>0.25</v>
      </c>
      <c r="L35" s="75">
        <f>+H35*G35*I35</f>
        <v>640</v>
      </c>
    </row>
    <row r="36" spans="2:13" x14ac:dyDescent="0.25">
      <c r="B36" s="49" t="s">
        <v>427</v>
      </c>
      <c r="C36">
        <f>+C35</f>
        <v>80</v>
      </c>
      <c r="D36" s="87" t="s">
        <v>163</v>
      </c>
      <c r="E36" s="87"/>
      <c r="F36" s="87">
        <f>+F35</f>
        <v>0.5</v>
      </c>
      <c r="G36" s="57">
        <f t="shared" si="13"/>
        <v>40</v>
      </c>
      <c r="H36" s="80">
        <v>10</v>
      </c>
      <c r="I36" s="81">
        <v>1</v>
      </c>
      <c r="J36" s="79">
        <f>+G36/I36</f>
        <v>40</v>
      </c>
      <c r="K36" s="78">
        <f>+J36/160</f>
        <v>0.25</v>
      </c>
      <c r="L36" s="75">
        <f>+H36*G36*I36</f>
        <v>400</v>
      </c>
    </row>
    <row r="37" spans="2:13" x14ac:dyDescent="0.25">
      <c r="B37" s="48" t="s">
        <v>258</v>
      </c>
      <c r="C37" s="48"/>
      <c r="D37" s="48"/>
      <c r="E37" s="48"/>
      <c r="F37" s="48"/>
      <c r="G37" s="48"/>
      <c r="H37" s="48"/>
      <c r="I37" s="48"/>
      <c r="J37" s="48"/>
      <c r="K37" s="48"/>
      <c r="L37" s="66">
        <f>+L38+L39</f>
        <v>1440</v>
      </c>
    </row>
    <row r="38" spans="2:13" x14ac:dyDescent="0.25">
      <c r="B38" s="74" t="s">
        <v>421</v>
      </c>
      <c r="C38">
        <f>+'HOUSE EST MODEL 1'!$C$32</f>
        <v>1</v>
      </c>
      <c r="D38" s="87" t="s">
        <v>324</v>
      </c>
      <c r="E38" s="87"/>
      <c r="F38" s="87">
        <v>24</v>
      </c>
      <c r="G38" s="57">
        <f t="shared" ref="G38:G39" si="14">+F38*C38</f>
        <v>24</v>
      </c>
      <c r="H38" s="80">
        <v>30</v>
      </c>
      <c r="I38" s="81">
        <v>1</v>
      </c>
      <c r="J38" s="79">
        <f>+G38/I38</f>
        <v>24</v>
      </c>
      <c r="K38" s="78">
        <f>+J38/160</f>
        <v>0.15</v>
      </c>
      <c r="L38" s="75">
        <f>+H38*G38*I38</f>
        <v>720</v>
      </c>
    </row>
    <row r="39" spans="2:13" x14ac:dyDescent="0.25">
      <c r="B39" s="74" t="s">
        <v>421</v>
      </c>
      <c r="C39">
        <v>1</v>
      </c>
      <c r="D39" s="87" t="s">
        <v>324</v>
      </c>
      <c r="E39" s="87"/>
      <c r="F39" s="87">
        <f>+F38</f>
        <v>24</v>
      </c>
      <c r="G39" s="57">
        <f t="shared" si="14"/>
        <v>24</v>
      </c>
      <c r="H39" s="80">
        <v>30</v>
      </c>
      <c r="I39" s="81">
        <v>1</v>
      </c>
      <c r="J39" s="79">
        <f>+G39/I39</f>
        <v>24</v>
      </c>
      <c r="K39" s="78">
        <f>+J39/160</f>
        <v>0.15</v>
      </c>
      <c r="L39" s="75">
        <f>+H39*G39*I39</f>
        <v>720</v>
      </c>
    </row>
    <row r="40" spans="2:13" x14ac:dyDescent="0.25">
      <c r="B40" s="47" t="s">
        <v>263</v>
      </c>
      <c r="C40" s="47"/>
      <c r="D40" s="47"/>
      <c r="E40" s="47"/>
      <c r="F40" s="47"/>
      <c r="G40" s="47"/>
      <c r="H40" s="47"/>
      <c r="I40" s="47"/>
      <c r="J40" s="47"/>
      <c r="K40" s="47"/>
      <c r="L40" s="65"/>
    </row>
    <row r="41" spans="2:13" x14ac:dyDescent="0.25">
      <c r="B41" s="48" t="s">
        <v>264</v>
      </c>
      <c r="C41" s="48"/>
      <c r="D41" s="48"/>
      <c r="E41" s="48"/>
      <c r="F41" s="48"/>
      <c r="G41" s="48"/>
      <c r="H41" s="48"/>
      <c r="I41" s="48"/>
      <c r="J41" s="48"/>
      <c r="K41" s="48"/>
      <c r="L41" s="66">
        <f>+L42+L43</f>
        <v>427.05</v>
      </c>
    </row>
    <row r="42" spans="2:13" x14ac:dyDescent="0.25">
      <c r="B42" s="74" t="s">
        <v>421</v>
      </c>
      <c r="C42" s="57">
        <f>+'HOUSE EST MODEL 1'!$C$35+'HOUSE EST MODEL 1'!$C$36</f>
        <v>1095</v>
      </c>
      <c r="D42" s="87" t="s">
        <v>40</v>
      </c>
      <c r="E42" s="87">
        <v>1.5</v>
      </c>
      <c r="F42" s="87">
        <f>+E42/100</f>
        <v>1.4999999999999999E-2</v>
      </c>
      <c r="G42" s="57">
        <f t="shared" ref="G42:G43" si="15">+F42*C42</f>
        <v>16.425000000000001</v>
      </c>
      <c r="H42" s="80">
        <v>16</v>
      </c>
      <c r="I42" s="81">
        <v>1</v>
      </c>
      <c r="J42" s="79">
        <f>+G42/I42</f>
        <v>16.425000000000001</v>
      </c>
      <c r="K42" s="78">
        <f>+J42/160</f>
        <v>0.10265625</v>
      </c>
      <c r="L42" s="75">
        <f>+H42*G42*I42</f>
        <v>262.8</v>
      </c>
    </row>
    <row r="43" spans="2:13" x14ac:dyDescent="0.25">
      <c r="B43" s="74" t="s">
        <v>427</v>
      </c>
      <c r="C43" s="57">
        <f>+C42</f>
        <v>1095</v>
      </c>
      <c r="D43" s="87" t="s">
        <v>40</v>
      </c>
      <c r="E43" s="87">
        <f>+E42</f>
        <v>1.5</v>
      </c>
      <c r="F43" s="87">
        <f>+F42</f>
        <v>1.4999999999999999E-2</v>
      </c>
      <c r="G43" s="57">
        <f t="shared" si="15"/>
        <v>16.425000000000001</v>
      </c>
      <c r="H43" s="80">
        <v>10</v>
      </c>
      <c r="I43" s="81">
        <v>1</v>
      </c>
      <c r="J43" s="79">
        <f>+G43/I43</f>
        <v>16.425000000000001</v>
      </c>
      <c r="K43" s="78">
        <f>+J43/160</f>
        <v>0.10265625</v>
      </c>
      <c r="L43" s="75">
        <f>+H43*G43*I43</f>
        <v>164.25</v>
      </c>
    </row>
    <row r="44" spans="2:13" x14ac:dyDescent="0.25">
      <c r="B44" s="48" t="s">
        <v>266</v>
      </c>
      <c r="C44" s="48"/>
      <c r="D44" s="48"/>
      <c r="E44" s="48"/>
      <c r="F44" s="48"/>
      <c r="G44" s="48"/>
      <c r="H44" s="48"/>
      <c r="I44" s="48"/>
      <c r="J44" s="48"/>
      <c r="K44" s="48"/>
      <c r="L44" s="66">
        <f>+L45+L46</f>
        <v>1038.9600000000003</v>
      </c>
    </row>
    <row r="45" spans="2:13" x14ac:dyDescent="0.25">
      <c r="B45" s="74" t="s">
        <v>421</v>
      </c>
      <c r="C45">
        <f>+'HOUSE EST MODEL 1'!$C$38</f>
        <v>1080</v>
      </c>
      <c r="D45" s="87" t="s">
        <v>40</v>
      </c>
      <c r="E45" s="87">
        <v>3.7</v>
      </c>
      <c r="F45" s="87">
        <f>+E45/100</f>
        <v>3.7000000000000005E-2</v>
      </c>
      <c r="G45" s="57">
        <f t="shared" ref="G45:G46" si="16">+F45*C45</f>
        <v>39.960000000000008</v>
      </c>
      <c r="H45" s="80">
        <v>16</v>
      </c>
      <c r="I45" s="81">
        <v>1</v>
      </c>
      <c r="J45" s="79">
        <f>+G45/I45</f>
        <v>39.960000000000008</v>
      </c>
      <c r="K45" s="78">
        <f>+J45/160</f>
        <v>0.24975000000000006</v>
      </c>
      <c r="L45" s="75">
        <f>+H45*G45*I45</f>
        <v>639.36000000000013</v>
      </c>
    </row>
    <row r="46" spans="2:13" x14ac:dyDescent="0.25">
      <c r="B46" s="74" t="s">
        <v>427</v>
      </c>
      <c r="C46" s="87">
        <f>+C45</f>
        <v>1080</v>
      </c>
      <c r="D46" s="87" t="s">
        <v>40</v>
      </c>
      <c r="E46" s="87">
        <f>+E45</f>
        <v>3.7</v>
      </c>
      <c r="F46" s="87">
        <f>+F45</f>
        <v>3.7000000000000005E-2</v>
      </c>
      <c r="G46" s="57">
        <f t="shared" si="16"/>
        <v>39.960000000000008</v>
      </c>
      <c r="H46" s="80">
        <v>10</v>
      </c>
      <c r="I46" s="81">
        <v>1</v>
      </c>
      <c r="J46" s="79">
        <f>+G46/I46</f>
        <v>39.960000000000008</v>
      </c>
      <c r="K46" s="78">
        <f>+J46/160</f>
        <v>0.24975000000000006</v>
      </c>
      <c r="L46" s="75">
        <f>+H46*G46*I46</f>
        <v>399.60000000000008</v>
      </c>
    </row>
    <row r="47" spans="2:13" x14ac:dyDescent="0.25">
      <c r="B47" s="48" t="s">
        <v>359</v>
      </c>
      <c r="C47" s="48"/>
      <c r="D47" s="48"/>
      <c r="E47" s="48"/>
      <c r="F47" s="48"/>
      <c r="G47" s="48"/>
      <c r="H47" s="48"/>
      <c r="I47" s="48"/>
      <c r="J47" s="48"/>
      <c r="K47" s="48"/>
      <c r="L47" s="66">
        <f>+L48+L49</f>
        <v>364</v>
      </c>
    </row>
    <row r="48" spans="2:13" x14ac:dyDescent="0.25">
      <c r="B48" s="74" t="s">
        <v>421</v>
      </c>
      <c r="C48">
        <f>+'HOUSE EST MODEL 1'!$C$40+'HOUSE EST MODEL 1'!$C$41</f>
        <v>5</v>
      </c>
      <c r="D48" s="87" t="s">
        <v>324</v>
      </c>
      <c r="E48" s="87">
        <v>3.7</v>
      </c>
      <c r="F48" s="87">
        <v>2.8</v>
      </c>
      <c r="G48" s="57">
        <f t="shared" ref="G48:G49" si="17">+F48*C48</f>
        <v>14</v>
      </c>
      <c r="H48" s="80">
        <v>16</v>
      </c>
      <c r="I48" s="81">
        <v>1</v>
      </c>
      <c r="J48" s="79">
        <f>+G48/I48</f>
        <v>14</v>
      </c>
      <c r="K48" s="78">
        <f>+J48/160</f>
        <v>8.7499999999999994E-2</v>
      </c>
      <c r="L48" s="75">
        <f>+H48*G48*I48</f>
        <v>224</v>
      </c>
    </row>
    <row r="49" spans="2:12" x14ac:dyDescent="0.25">
      <c r="B49" s="74" t="s">
        <v>427</v>
      </c>
      <c r="C49" s="87">
        <f>+C48</f>
        <v>5</v>
      </c>
      <c r="D49" s="87" t="s">
        <v>324</v>
      </c>
      <c r="E49" s="87">
        <f>+E48</f>
        <v>3.7</v>
      </c>
      <c r="F49" s="87">
        <f>+F48</f>
        <v>2.8</v>
      </c>
      <c r="G49" s="57">
        <f t="shared" si="17"/>
        <v>14</v>
      </c>
      <c r="H49" s="80">
        <v>10</v>
      </c>
      <c r="I49" s="81">
        <v>1</v>
      </c>
      <c r="J49" s="79">
        <f>+G49/I49</f>
        <v>14</v>
      </c>
      <c r="K49" s="78">
        <f>+J49/160</f>
        <v>8.7499999999999994E-2</v>
      </c>
      <c r="L49" s="75">
        <f>+H49*G49*I49</f>
        <v>140</v>
      </c>
    </row>
    <row r="50" spans="2:12" x14ac:dyDescent="0.25">
      <c r="B50" s="48" t="s">
        <v>364</v>
      </c>
      <c r="C50" s="48"/>
      <c r="D50" s="48"/>
      <c r="E50" s="48"/>
      <c r="F50" s="48"/>
      <c r="G50" s="48"/>
      <c r="H50" s="48"/>
      <c r="I50" s="48"/>
      <c r="J50" s="48"/>
      <c r="K50" s="48"/>
      <c r="L50" s="66">
        <f>+L51+L52</f>
        <v>830.96</v>
      </c>
    </row>
    <row r="51" spans="2:12" x14ac:dyDescent="0.25">
      <c r="B51" s="74" t="s">
        <v>421</v>
      </c>
      <c r="C51">
        <f>+'HOUSE EST MODEL 1'!$C$45+'HOUSE EST MODEL 1'!$C$46</f>
        <v>1880</v>
      </c>
      <c r="D51" s="87" t="s">
        <v>40</v>
      </c>
      <c r="E51" s="87">
        <v>1.7</v>
      </c>
      <c r="F51" s="87">
        <f>+E51/100</f>
        <v>1.7000000000000001E-2</v>
      </c>
      <c r="G51" s="57">
        <f t="shared" ref="G51:G52" si="18">+F51*C51</f>
        <v>31.96</v>
      </c>
      <c r="H51" s="80">
        <v>16</v>
      </c>
      <c r="I51" s="81">
        <v>1</v>
      </c>
      <c r="J51" s="79">
        <f>+G51/I51</f>
        <v>31.96</v>
      </c>
      <c r="K51" s="78">
        <f>+J51/160</f>
        <v>0.19975000000000001</v>
      </c>
      <c r="L51" s="75">
        <f>+H51*G51*I51</f>
        <v>511.36</v>
      </c>
    </row>
    <row r="52" spans="2:12" x14ac:dyDescent="0.25">
      <c r="B52" s="74" t="s">
        <v>427</v>
      </c>
      <c r="C52" s="87">
        <f>+C51</f>
        <v>1880</v>
      </c>
      <c r="D52" s="87" t="s">
        <v>40</v>
      </c>
      <c r="E52" s="87">
        <f>+E51</f>
        <v>1.7</v>
      </c>
      <c r="F52" s="87">
        <f>+F51</f>
        <v>1.7000000000000001E-2</v>
      </c>
      <c r="G52" s="57">
        <f t="shared" si="18"/>
        <v>31.96</v>
      </c>
      <c r="H52" s="80">
        <v>10</v>
      </c>
      <c r="I52" s="81">
        <v>1</v>
      </c>
      <c r="J52" s="79">
        <f>+G52/I52</f>
        <v>31.96</v>
      </c>
      <c r="K52" s="78">
        <f>+J52/160</f>
        <v>0.19975000000000001</v>
      </c>
      <c r="L52" s="75">
        <f>+H52*G52*I52</f>
        <v>319.60000000000002</v>
      </c>
    </row>
    <row r="53" spans="2:12" x14ac:dyDescent="0.25">
      <c r="B53" s="48" t="s">
        <v>279</v>
      </c>
      <c r="C53" s="48"/>
      <c r="D53" s="48"/>
      <c r="E53" s="48"/>
      <c r="F53" s="48"/>
      <c r="G53" s="48"/>
      <c r="H53" s="48"/>
      <c r="I53" s="48"/>
      <c r="J53" s="48"/>
      <c r="K53" s="48"/>
      <c r="L53" s="66">
        <f>+L54+L55</f>
        <v>625.87200000000007</v>
      </c>
    </row>
    <row r="54" spans="2:12" x14ac:dyDescent="0.25">
      <c r="B54" s="74" t="s">
        <v>421</v>
      </c>
      <c r="C54" s="57">
        <f>+'HOUSE EST MODEL 1'!$C$48+'HOUSE EST MODEL 1'!$C$49</f>
        <v>354</v>
      </c>
      <c r="D54" s="87" t="s">
        <v>40</v>
      </c>
      <c r="E54" s="87">
        <v>6.8</v>
      </c>
      <c r="F54" s="87">
        <f>+E54/100</f>
        <v>6.8000000000000005E-2</v>
      </c>
      <c r="G54" s="57">
        <f t="shared" ref="G54:G55" si="19">+F54*C54</f>
        <v>24.072000000000003</v>
      </c>
      <c r="H54" s="80">
        <v>16</v>
      </c>
      <c r="I54" s="81">
        <v>1</v>
      </c>
      <c r="J54" s="79">
        <f>+G54/I54</f>
        <v>24.072000000000003</v>
      </c>
      <c r="K54" s="78">
        <f>+J54/160</f>
        <v>0.15045000000000003</v>
      </c>
      <c r="L54" s="75">
        <f>+H54*G54*I54</f>
        <v>385.15200000000004</v>
      </c>
    </row>
    <row r="55" spans="2:12" x14ac:dyDescent="0.25">
      <c r="B55" s="74" t="s">
        <v>427</v>
      </c>
      <c r="C55" s="87">
        <f>+C54</f>
        <v>354</v>
      </c>
      <c r="D55" s="87" t="s">
        <v>40</v>
      </c>
      <c r="E55" s="87">
        <f>+E54</f>
        <v>6.8</v>
      </c>
      <c r="F55" s="87">
        <f>+F54</f>
        <v>6.8000000000000005E-2</v>
      </c>
      <c r="G55" s="57">
        <f t="shared" si="19"/>
        <v>24.072000000000003</v>
      </c>
      <c r="H55" s="80">
        <v>10</v>
      </c>
      <c r="I55" s="81">
        <v>1</v>
      </c>
      <c r="J55" s="79">
        <f>+G55/I55</f>
        <v>24.072000000000003</v>
      </c>
      <c r="K55" s="78">
        <f>+J55/160</f>
        <v>0.15045000000000003</v>
      </c>
      <c r="L55" s="75">
        <f>+H55*G55*I55</f>
        <v>240.72000000000003</v>
      </c>
    </row>
    <row r="56" spans="2:12" x14ac:dyDescent="0.25">
      <c r="B56" s="48" t="s">
        <v>282</v>
      </c>
      <c r="C56" s="48"/>
      <c r="D56" s="48"/>
      <c r="E56" s="48"/>
      <c r="F56" s="48"/>
      <c r="G56" s="48"/>
      <c r="H56" s="48"/>
      <c r="I56" s="48"/>
      <c r="J56" s="48"/>
      <c r="K56" s="48"/>
      <c r="L56" s="66">
        <f>+L57+L58</f>
        <v>214.64299999999997</v>
      </c>
    </row>
    <row r="57" spans="2:12" x14ac:dyDescent="0.25">
      <c r="B57" s="74" t="s">
        <v>421</v>
      </c>
      <c r="C57" s="57">
        <f>+'HOUSE EST MODEL 1'!$C$51+'HOUSE EST MODEL 1'!$C$52+'HOUSE EST MODEL 1'!$C$53</f>
        <v>104.5</v>
      </c>
      <c r="D57" s="87" t="s">
        <v>40</v>
      </c>
      <c r="E57" s="87">
        <v>7.9</v>
      </c>
      <c r="F57" s="87">
        <f>+E57/100</f>
        <v>7.9000000000000001E-2</v>
      </c>
      <c r="G57" s="57">
        <f t="shared" ref="G57:G58" si="20">+F57*C57</f>
        <v>8.2554999999999996</v>
      </c>
      <c r="H57" s="80">
        <v>16</v>
      </c>
      <c r="I57" s="81">
        <v>1</v>
      </c>
      <c r="J57" s="79">
        <f>+G57/I57</f>
        <v>8.2554999999999996</v>
      </c>
      <c r="K57" s="78">
        <f>+J57/160</f>
        <v>5.1596875E-2</v>
      </c>
      <c r="L57" s="75">
        <f>+H57*G57*I57</f>
        <v>132.08799999999999</v>
      </c>
    </row>
    <row r="58" spans="2:12" x14ac:dyDescent="0.25">
      <c r="B58" s="74" t="s">
        <v>427</v>
      </c>
      <c r="C58" s="115">
        <f>+C57</f>
        <v>104.5</v>
      </c>
      <c r="D58" s="87" t="s">
        <v>40</v>
      </c>
      <c r="E58" s="87">
        <f>+E57</f>
        <v>7.9</v>
      </c>
      <c r="F58" s="87">
        <f>+F57</f>
        <v>7.9000000000000001E-2</v>
      </c>
      <c r="G58" s="57">
        <f t="shared" si="20"/>
        <v>8.2554999999999996</v>
      </c>
      <c r="H58" s="80">
        <v>10</v>
      </c>
      <c r="I58" s="81">
        <v>1</v>
      </c>
      <c r="J58" s="79">
        <f>+G58/I58</f>
        <v>8.2554999999999996</v>
      </c>
      <c r="K58" s="78">
        <f>+J58/160</f>
        <v>5.1596875E-2</v>
      </c>
      <c r="L58" s="75">
        <f>+H58*G58*I58</f>
        <v>82.554999999999993</v>
      </c>
    </row>
    <row r="59" spans="2:12" x14ac:dyDescent="0.25">
      <c r="B59" s="48" t="s">
        <v>371</v>
      </c>
      <c r="C59" s="48"/>
      <c r="D59" s="48"/>
      <c r="E59" s="48"/>
      <c r="F59" s="48"/>
      <c r="G59" s="48"/>
      <c r="H59" s="48"/>
      <c r="I59" s="48"/>
      <c r="J59" s="48"/>
      <c r="K59" s="48"/>
      <c r="L59" s="66">
        <f>+L60+L61</f>
        <v>61.620000000000005</v>
      </c>
    </row>
    <row r="60" spans="2:12" x14ac:dyDescent="0.25">
      <c r="B60" s="74" t="s">
        <v>421</v>
      </c>
      <c r="C60" s="57">
        <f>+'HOUSE EST MODEL 1'!$C$55</f>
        <v>30</v>
      </c>
      <c r="D60" s="87" t="s">
        <v>40</v>
      </c>
      <c r="E60" s="87">
        <v>7.9</v>
      </c>
      <c r="F60" s="87">
        <f>+E60/100</f>
        <v>7.9000000000000001E-2</v>
      </c>
      <c r="G60" s="57">
        <f t="shared" ref="G60:G61" si="21">+F60*C60</f>
        <v>2.37</v>
      </c>
      <c r="H60" s="80">
        <v>16</v>
      </c>
      <c r="I60" s="81">
        <v>1</v>
      </c>
      <c r="J60" s="79">
        <f>+G60/I60</f>
        <v>2.37</v>
      </c>
      <c r="K60" s="78">
        <f>+J60/160</f>
        <v>1.4812500000000001E-2</v>
      </c>
      <c r="L60" s="75">
        <f>+H60*G60*I60</f>
        <v>37.92</v>
      </c>
    </row>
    <row r="61" spans="2:12" x14ac:dyDescent="0.25">
      <c r="B61" s="74" t="s">
        <v>427</v>
      </c>
      <c r="C61" s="115">
        <f>+C60</f>
        <v>30</v>
      </c>
      <c r="D61" s="87" t="s">
        <v>40</v>
      </c>
      <c r="E61" s="87">
        <f>+E60</f>
        <v>7.9</v>
      </c>
      <c r="F61" s="87">
        <f>+F60</f>
        <v>7.9000000000000001E-2</v>
      </c>
      <c r="G61" s="57">
        <f t="shared" si="21"/>
        <v>2.37</v>
      </c>
      <c r="H61" s="80">
        <v>10</v>
      </c>
      <c r="I61" s="81">
        <v>1</v>
      </c>
      <c r="J61" s="79">
        <f>+G61/I61</f>
        <v>2.37</v>
      </c>
      <c r="K61" s="78">
        <f>+J61/160</f>
        <v>1.4812500000000001E-2</v>
      </c>
      <c r="L61" s="75">
        <f>+H61*G61*I61</f>
        <v>23.700000000000003</v>
      </c>
    </row>
    <row r="62" spans="2:12" x14ac:dyDescent="0.25">
      <c r="B62" s="48" t="s">
        <v>373</v>
      </c>
      <c r="C62" s="48"/>
      <c r="D62" s="48"/>
      <c r="E62" s="48"/>
      <c r="F62" s="48"/>
      <c r="G62" s="48"/>
      <c r="H62" s="48"/>
      <c r="I62" s="48"/>
      <c r="J62" s="48"/>
      <c r="K62" s="48"/>
      <c r="L62" s="66">
        <f>+L63+L64</f>
        <v>156</v>
      </c>
    </row>
    <row r="63" spans="2:12" x14ac:dyDescent="0.25">
      <c r="B63" s="74" t="s">
        <v>421</v>
      </c>
      <c r="C63" s="57">
        <f>+'HOUSE EST MODEL 1'!$C$57</f>
        <v>2</v>
      </c>
      <c r="D63" t="s">
        <v>324</v>
      </c>
      <c r="E63" s="87"/>
      <c r="F63" s="87">
        <v>3</v>
      </c>
      <c r="G63" s="57">
        <f t="shared" ref="G63:G64" si="22">+F63*C63</f>
        <v>6</v>
      </c>
      <c r="H63" s="80">
        <v>16</v>
      </c>
      <c r="I63" s="81">
        <v>1</v>
      </c>
      <c r="J63" s="79">
        <f>+G63/I63</f>
        <v>6</v>
      </c>
      <c r="K63" s="78">
        <f>+J63/160</f>
        <v>3.7499999999999999E-2</v>
      </c>
      <c r="L63" s="75">
        <f>+H63*G63*I63</f>
        <v>96</v>
      </c>
    </row>
    <row r="64" spans="2:12" x14ac:dyDescent="0.25">
      <c r="B64" s="74" t="s">
        <v>427</v>
      </c>
      <c r="C64" s="115">
        <f>+C63</f>
        <v>2</v>
      </c>
      <c r="D64" t="s">
        <v>324</v>
      </c>
      <c r="E64" s="87"/>
      <c r="F64" s="87">
        <f>+F63</f>
        <v>3</v>
      </c>
      <c r="G64" s="57">
        <f t="shared" si="22"/>
        <v>6</v>
      </c>
      <c r="H64" s="80">
        <v>10</v>
      </c>
      <c r="I64" s="81">
        <v>1</v>
      </c>
      <c r="J64" s="79">
        <f>+G64/I64</f>
        <v>6</v>
      </c>
      <c r="K64" s="78">
        <f>+J64/160</f>
        <v>3.7499999999999999E-2</v>
      </c>
      <c r="L64" s="75">
        <f>+H64*G64*I64</f>
        <v>60</v>
      </c>
    </row>
    <row r="65" spans="2:12" x14ac:dyDescent="0.25">
      <c r="B65" s="48" t="s">
        <v>376</v>
      </c>
      <c r="C65" s="48"/>
      <c r="D65" s="48"/>
      <c r="E65" s="48"/>
      <c r="F65" s="48"/>
      <c r="G65" s="48"/>
      <c r="H65" s="48"/>
      <c r="I65" s="48"/>
      <c r="J65" s="48"/>
      <c r="K65" s="48"/>
      <c r="L65" s="66">
        <f>+L66+L67</f>
        <v>78</v>
      </c>
    </row>
    <row r="66" spans="2:12" x14ac:dyDescent="0.25">
      <c r="B66" s="74" t="s">
        <v>421</v>
      </c>
      <c r="C66" s="57">
        <f>+'HOUSE EST MODEL 1'!$C$60</f>
        <v>1</v>
      </c>
      <c r="D66" t="s">
        <v>324</v>
      </c>
      <c r="E66" s="87"/>
      <c r="F66" s="87">
        <v>3</v>
      </c>
      <c r="G66" s="57">
        <f t="shared" ref="G66:G67" si="23">+F66*C66</f>
        <v>3</v>
      </c>
      <c r="H66" s="80">
        <v>16</v>
      </c>
      <c r="I66" s="81">
        <v>1</v>
      </c>
      <c r="J66" s="79">
        <f>+G66/I66</f>
        <v>3</v>
      </c>
      <c r="K66" s="78">
        <f>+J66/160</f>
        <v>1.8749999999999999E-2</v>
      </c>
      <c r="L66" s="75">
        <f>+H66*G66*I66</f>
        <v>48</v>
      </c>
    </row>
    <row r="67" spans="2:12" x14ac:dyDescent="0.25">
      <c r="B67" s="74" t="s">
        <v>427</v>
      </c>
      <c r="C67" s="115">
        <f>+C66</f>
        <v>1</v>
      </c>
      <c r="D67" t="s">
        <v>324</v>
      </c>
      <c r="E67" s="87"/>
      <c r="F67" s="87">
        <f>+F66</f>
        <v>3</v>
      </c>
      <c r="G67" s="57">
        <f t="shared" si="23"/>
        <v>3</v>
      </c>
      <c r="H67" s="80">
        <v>10</v>
      </c>
      <c r="I67" s="81">
        <v>1</v>
      </c>
      <c r="J67" s="79">
        <f>+G67/I67</f>
        <v>3</v>
      </c>
      <c r="K67" s="78">
        <f>+J67/160</f>
        <v>1.8749999999999999E-2</v>
      </c>
      <c r="L67" s="75">
        <f>+H67*G67*I67</f>
        <v>30</v>
      </c>
    </row>
    <row r="68" spans="2:12" x14ac:dyDescent="0.25">
      <c r="B68" s="48" t="s">
        <v>378</v>
      </c>
      <c r="C68" s="48"/>
      <c r="D68" s="48"/>
      <c r="E68" s="48"/>
      <c r="F68" s="48"/>
      <c r="G68" s="48"/>
      <c r="H68" s="48"/>
      <c r="I68" s="48"/>
      <c r="J68" s="48"/>
      <c r="K68" s="48"/>
      <c r="L68" s="66">
        <f>+L69+L70</f>
        <v>58.5</v>
      </c>
    </row>
    <row r="69" spans="2:12" x14ac:dyDescent="0.25">
      <c r="B69" s="74" t="s">
        <v>421</v>
      </c>
      <c r="C69">
        <f>+'HOUSE EST MODEL 1'!$C$62</f>
        <v>45</v>
      </c>
      <c r="D69" t="s">
        <v>40</v>
      </c>
      <c r="F69" s="87">
        <v>0.05</v>
      </c>
      <c r="G69" s="57">
        <f t="shared" ref="G69:G70" si="24">+F69*C69</f>
        <v>2.25</v>
      </c>
      <c r="H69" s="80">
        <v>16</v>
      </c>
      <c r="I69" s="81">
        <v>1</v>
      </c>
      <c r="J69" s="79">
        <f>+G69/I69</f>
        <v>2.25</v>
      </c>
      <c r="K69" s="78">
        <f>+J69/160</f>
        <v>1.40625E-2</v>
      </c>
      <c r="L69" s="75">
        <f>+H69*G69*I69</f>
        <v>36</v>
      </c>
    </row>
    <row r="70" spans="2:12" x14ac:dyDescent="0.25">
      <c r="B70" s="74" t="s">
        <v>427</v>
      </c>
      <c r="C70">
        <f>+C69</f>
        <v>45</v>
      </c>
      <c r="D70" t="s">
        <v>40</v>
      </c>
      <c r="F70" s="87">
        <f>+F69</f>
        <v>0.05</v>
      </c>
      <c r="G70" s="57">
        <f t="shared" si="24"/>
        <v>2.25</v>
      </c>
      <c r="H70" s="80">
        <v>10</v>
      </c>
      <c r="I70" s="81">
        <v>1</v>
      </c>
      <c r="J70" s="79">
        <f>+G70/I70</f>
        <v>2.25</v>
      </c>
      <c r="K70" s="78">
        <f>+J70/160</f>
        <v>1.40625E-2</v>
      </c>
      <c r="L70" s="75">
        <f>+H70*G70*I70</f>
        <v>22.5</v>
      </c>
    </row>
    <row r="71" spans="2:12" x14ac:dyDescent="0.25">
      <c r="B71" s="48" t="s">
        <v>380</v>
      </c>
      <c r="C71" s="48"/>
      <c r="D71" s="48"/>
      <c r="E71" s="48"/>
      <c r="F71" s="48"/>
      <c r="G71" s="48"/>
      <c r="H71" s="48"/>
      <c r="I71" s="48"/>
      <c r="J71" s="48"/>
      <c r="K71" s="48"/>
      <c r="L71" s="66">
        <f>+L72+L73</f>
        <v>208</v>
      </c>
    </row>
    <row r="72" spans="2:12" x14ac:dyDescent="0.25">
      <c r="B72" s="74" t="s">
        <v>421</v>
      </c>
      <c r="C72">
        <f>+SUM('HOUSE EST MODEL 1'!$C$64:$C$69)</f>
        <v>32</v>
      </c>
      <c r="D72" t="s">
        <v>324</v>
      </c>
      <c r="F72" s="87">
        <f>15/60</f>
        <v>0.25</v>
      </c>
      <c r="G72" s="57">
        <f t="shared" ref="G72:G73" si="25">+F72*C72</f>
        <v>8</v>
      </c>
      <c r="H72" s="80">
        <v>16</v>
      </c>
      <c r="I72" s="81">
        <v>1</v>
      </c>
      <c r="J72" s="79">
        <f>+G72/I72</f>
        <v>8</v>
      </c>
      <c r="K72" s="78">
        <f>+J72/160</f>
        <v>0.05</v>
      </c>
      <c r="L72" s="75">
        <f>+H72*G72*I72</f>
        <v>128</v>
      </c>
    </row>
    <row r="73" spans="2:12" x14ac:dyDescent="0.25">
      <c r="B73" s="74" t="s">
        <v>427</v>
      </c>
      <c r="C73">
        <f>+C72</f>
        <v>32</v>
      </c>
      <c r="D73" t="s">
        <v>324</v>
      </c>
      <c r="F73" s="87">
        <f>+F72</f>
        <v>0.25</v>
      </c>
      <c r="G73" s="57">
        <f t="shared" si="25"/>
        <v>8</v>
      </c>
      <c r="H73" s="80">
        <v>10</v>
      </c>
      <c r="I73" s="81">
        <v>1</v>
      </c>
      <c r="J73" s="79">
        <f>+G73/I73</f>
        <v>8</v>
      </c>
      <c r="K73" s="78">
        <f>+J73/160</f>
        <v>0.05</v>
      </c>
      <c r="L73" s="75">
        <f>+H73*G73*I73</f>
        <v>80</v>
      </c>
    </row>
    <row r="74" spans="2:12" x14ac:dyDescent="0.25">
      <c r="B74" s="48" t="s">
        <v>304</v>
      </c>
      <c r="C74" s="48"/>
      <c r="D74" s="48"/>
      <c r="E74" s="48"/>
      <c r="F74" s="48"/>
      <c r="G74" s="48"/>
      <c r="H74" s="48"/>
      <c r="I74" s="48"/>
      <c r="J74" s="48"/>
      <c r="K74" s="48"/>
      <c r="L74" s="66">
        <f>+L75+L76</f>
        <v>104</v>
      </c>
    </row>
    <row r="75" spans="2:12" x14ac:dyDescent="0.25">
      <c r="B75" s="74" t="s">
        <v>421</v>
      </c>
      <c r="C75">
        <f>+SUM('HOUSE EST MODEL 1'!$C$71:$C$74)</f>
        <v>4</v>
      </c>
      <c r="D75" t="s">
        <v>324</v>
      </c>
      <c r="F75" s="87">
        <v>1</v>
      </c>
      <c r="G75" s="57">
        <f t="shared" ref="G75:G76" si="26">+F75*C75</f>
        <v>4</v>
      </c>
      <c r="H75" s="80">
        <v>16</v>
      </c>
      <c r="I75" s="81">
        <v>1</v>
      </c>
      <c r="J75" s="79">
        <f>+G75/I75</f>
        <v>4</v>
      </c>
      <c r="K75" s="78">
        <f>+J75/160</f>
        <v>2.5000000000000001E-2</v>
      </c>
      <c r="L75" s="75">
        <f>+H75*G75*I75</f>
        <v>64</v>
      </c>
    </row>
    <row r="76" spans="2:12" x14ac:dyDescent="0.25">
      <c r="B76" s="74" t="s">
        <v>427</v>
      </c>
      <c r="C76">
        <f>+C75</f>
        <v>4</v>
      </c>
      <c r="D76" t="s">
        <v>324</v>
      </c>
      <c r="F76" s="87">
        <f>+F75</f>
        <v>1</v>
      </c>
      <c r="G76" s="57">
        <f t="shared" si="26"/>
        <v>4</v>
      </c>
      <c r="H76" s="80">
        <v>10</v>
      </c>
      <c r="I76" s="81">
        <v>1</v>
      </c>
      <c r="J76" s="79">
        <f>+G76/I76</f>
        <v>4</v>
      </c>
      <c r="K76" s="78">
        <f>+J76/160</f>
        <v>2.5000000000000001E-2</v>
      </c>
      <c r="L76" s="75">
        <f>+H76*G76*I76</f>
        <v>40</v>
      </c>
    </row>
    <row r="77" spans="2:12" x14ac:dyDescent="0.25">
      <c r="B77" s="48" t="s">
        <v>391</v>
      </c>
      <c r="C77" s="48"/>
      <c r="D77" s="48"/>
      <c r="E77" s="48"/>
      <c r="F77" s="48"/>
      <c r="G77" s="48"/>
      <c r="H77" s="48"/>
      <c r="I77" s="48"/>
      <c r="J77" s="48"/>
      <c r="K77" s="48"/>
      <c r="L77" s="66">
        <f>+L78+L79</f>
        <v>130</v>
      </c>
    </row>
    <row r="78" spans="2:12" x14ac:dyDescent="0.25">
      <c r="B78" s="74" t="s">
        <v>421</v>
      </c>
      <c r="C78">
        <f>+SUM('HOUSE EST MODEL 1'!$C$76:$C$85)</f>
        <v>10</v>
      </c>
      <c r="D78" t="s">
        <v>324</v>
      </c>
      <c r="F78" s="87">
        <v>0.5</v>
      </c>
      <c r="G78" s="57">
        <f t="shared" ref="G78:G79" si="27">+F78*C78</f>
        <v>5</v>
      </c>
      <c r="H78" s="80">
        <v>16</v>
      </c>
      <c r="I78" s="81">
        <v>1</v>
      </c>
      <c r="J78" s="79">
        <f>+G78/I78</f>
        <v>5</v>
      </c>
      <c r="K78" s="78">
        <f>+J78/160</f>
        <v>3.125E-2</v>
      </c>
      <c r="L78" s="75">
        <f>+H78*G78*I78</f>
        <v>80</v>
      </c>
    </row>
    <row r="79" spans="2:12" x14ac:dyDescent="0.25">
      <c r="B79" s="74" t="s">
        <v>427</v>
      </c>
      <c r="C79">
        <f>+C78</f>
        <v>10</v>
      </c>
      <c r="D79" t="s">
        <v>324</v>
      </c>
      <c r="F79" s="87">
        <f>+F78</f>
        <v>0.5</v>
      </c>
      <c r="G79" s="57">
        <f t="shared" si="27"/>
        <v>5</v>
      </c>
      <c r="H79" s="80">
        <v>10</v>
      </c>
      <c r="I79" s="81">
        <v>1</v>
      </c>
      <c r="J79" s="79">
        <f>+G79/I79</f>
        <v>5</v>
      </c>
      <c r="K79" s="78">
        <f>+J79/160</f>
        <v>3.125E-2</v>
      </c>
      <c r="L79" s="75">
        <f>+H79*G79*I79</f>
        <v>50</v>
      </c>
    </row>
    <row r="80" spans="2:12" x14ac:dyDescent="0.25">
      <c r="B80" s="48" t="s">
        <v>402</v>
      </c>
      <c r="C80" s="48"/>
      <c r="D80" s="48"/>
      <c r="E80" s="48"/>
      <c r="F80" s="48"/>
      <c r="G80" s="48"/>
      <c r="H80" s="48"/>
      <c r="I80" s="48"/>
      <c r="J80" s="48"/>
      <c r="K80" s="48"/>
      <c r="L80" s="66">
        <f>+L81+L82</f>
        <v>455</v>
      </c>
    </row>
    <row r="81" spans="2:12" x14ac:dyDescent="0.25">
      <c r="B81" s="74" t="s">
        <v>421</v>
      </c>
      <c r="C81">
        <f>+SUM('HOUSE EST MODEL 1'!$C$87:$C$94)</f>
        <v>35</v>
      </c>
      <c r="D81" t="s">
        <v>324</v>
      </c>
      <c r="F81" s="87">
        <v>0.5</v>
      </c>
      <c r="G81" s="57">
        <f t="shared" ref="G81:G82" si="28">+F81*C81</f>
        <v>17.5</v>
      </c>
      <c r="H81" s="80">
        <v>16</v>
      </c>
      <c r="I81" s="81">
        <v>1</v>
      </c>
      <c r="J81" s="79">
        <f>+G81/I81</f>
        <v>17.5</v>
      </c>
      <c r="K81" s="78">
        <f>+J81/160</f>
        <v>0.109375</v>
      </c>
      <c r="L81" s="75">
        <f>+H81*G81*I81</f>
        <v>280</v>
      </c>
    </row>
    <row r="82" spans="2:12" x14ac:dyDescent="0.25">
      <c r="B82" s="74" t="s">
        <v>427</v>
      </c>
      <c r="C82">
        <f>+C81</f>
        <v>35</v>
      </c>
      <c r="D82" t="s">
        <v>324</v>
      </c>
      <c r="F82" s="87">
        <f>+F81</f>
        <v>0.5</v>
      </c>
      <c r="G82" s="57">
        <f t="shared" si="28"/>
        <v>17.5</v>
      </c>
      <c r="H82" s="80">
        <v>10</v>
      </c>
      <c r="I82" s="81">
        <v>1</v>
      </c>
      <c r="J82" s="79">
        <f>+G82/I82</f>
        <v>17.5</v>
      </c>
      <c r="K82" s="78">
        <f>+J82/160</f>
        <v>0.109375</v>
      </c>
      <c r="L82" s="75">
        <f>+H82*G82*I82</f>
        <v>175</v>
      </c>
    </row>
    <row r="83" spans="2:12" x14ac:dyDescent="0.25">
      <c r="B83" s="58" t="s">
        <v>318</v>
      </c>
      <c r="C83" s="58"/>
      <c r="D83" s="58"/>
      <c r="E83" s="58"/>
      <c r="F83" s="58"/>
      <c r="G83" s="58"/>
      <c r="H83" s="58"/>
      <c r="I83" s="58"/>
      <c r="J83" s="58"/>
      <c r="K83" s="58"/>
      <c r="L83" s="67">
        <f>+L4+L12+L15+L18+L21+L24+L27+L31+L34+L37+L41+L44+L47+L50+L53+L59+L56+L62+L65+L68+L71+L74+L77+L80</f>
        <v>13655.905000000001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1A49A-8F68-45DA-8BD4-C539C561D44E}">
  <dimension ref="B1:V95"/>
  <sheetViews>
    <sheetView showGridLines="0" workbookViewId="0">
      <pane ySplit="2" topLeftCell="A3" activePane="bottomLeft" state="frozen"/>
      <selection pane="bottomLeft" activeCell="I5" sqref="I5"/>
    </sheetView>
    <sheetView topLeftCell="A67" workbookViewId="1">
      <selection activeCell="I87" sqref="I87"/>
    </sheetView>
  </sheetViews>
  <sheetFormatPr baseColWidth="10" defaultColWidth="11.42578125" defaultRowHeight="15" x14ac:dyDescent="0.25"/>
  <cols>
    <col min="2" max="2" width="46.5703125" bestFit="1" customWidth="1"/>
    <col min="3" max="4" width="9.140625"/>
    <col min="5" max="5" width="12" style="11" bestFit="1" customWidth="1"/>
    <col min="6" max="6" width="11.85546875" style="63" bestFit="1" customWidth="1"/>
    <col min="7" max="7" width="9.140625"/>
    <col min="8" max="8" width="28.85546875" bestFit="1" customWidth="1"/>
    <col min="9" max="9" width="9.140625" bestFit="1" customWidth="1"/>
    <col min="10" max="10" width="4.5703125" bestFit="1" customWidth="1"/>
    <col min="11" max="11" width="7.28515625" hidden="1" customWidth="1"/>
    <col min="12" max="12" width="6.42578125" customWidth="1"/>
    <col min="13" max="13" width="7.85546875" customWidth="1"/>
    <col min="14" max="14" width="12.42578125" customWidth="1"/>
    <col min="15" max="15" width="7.140625" customWidth="1"/>
    <col min="16" max="16" width="7.85546875" bestFit="1" customWidth="1"/>
    <col min="17" max="17" width="10.140625" customWidth="1"/>
    <col min="18" max="18" width="13" customWidth="1"/>
    <col min="20" max="20" width="19.28515625" bestFit="1" customWidth="1"/>
    <col min="21" max="21" width="11.42578125" style="57"/>
  </cols>
  <sheetData>
    <row r="1" spans="2:22" x14ac:dyDescent="0.25">
      <c r="E1" s="106" t="s">
        <v>321</v>
      </c>
      <c r="F1" s="107">
        <v>375</v>
      </c>
      <c r="H1" s="116"/>
      <c r="I1" s="116"/>
      <c r="J1" s="116"/>
      <c r="K1" s="116" t="s">
        <v>430</v>
      </c>
      <c r="L1" s="116"/>
      <c r="M1" s="116"/>
      <c r="N1" s="117"/>
      <c r="O1" s="118"/>
      <c r="P1" s="118"/>
      <c r="Q1" s="118"/>
      <c r="R1" s="118"/>
      <c r="T1" s="87" t="s">
        <v>431</v>
      </c>
      <c r="U1" s="57">
        <v>9</v>
      </c>
    </row>
    <row r="2" spans="2:22" ht="24.75" x14ac:dyDescent="0.25">
      <c r="B2" s="58" t="s">
        <v>322</v>
      </c>
      <c r="C2" s="58" t="s">
        <v>323</v>
      </c>
      <c r="D2" s="58" t="s">
        <v>324</v>
      </c>
      <c r="E2" s="59" t="s">
        <v>325</v>
      </c>
      <c r="F2" s="64" t="s">
        <v>326</v>
      </c>
      <c r="H2" s="119" t="s">
        <v>322</v>
      </c>
      <c r="I2" s="119" t="s">
        <v>323</v>
      </c>
      <c r="J2" s="119" t="s">
        <v>324</v>
      </c>
      <c r="K2" s="119" t="s">
        <v>432</v>
      </c>
      <c r="L2" s="119" t="s">
        <v>412</v>
      </c>
      <c r="M2" s="119" t="s">
        <v>433</v>
      </c>
      <c r="N2" s="120" t="s">
        <v>414</v>
      </c>
      <c r="O2" s="121" t="s">
        <v>415</v>
      </c>
      <c r="P2" s="121" t="s">
        <v>416</v>
      </c>
      <c r="Q2" s="121" t="s">
        <v>417</v>
      </c>
      <c r="R2" s="122" t="s">
        <v>326</v>
      </c>
    </row>
    <row r="3" spans="2:22" x14ac:dyDescent="0.25">
      <c r="B3" s="47" t="s">
        <v>217</v>
      </c>
      <c r="C3" s="47"/>
      <c r="D3" s="47"/>
      <c r="E3" s="47"/>
      <c r="F3" s="65"/>
      <c r="H3" s="160" t="s">
        <v>217</v>
      </c>
      <c r="I3" s="160"/>
      <c r="J3" s="160"/>
      <c r="K3" s="160"/>
      <c r="L3" s="160"/>
      <c r="M3" s="160"/>
      <c r="N3" s="160"/>
      <c r="O3" s="160"/>
      <c r="P3" s="160"/>
      <c r="Q3" s="160"/>
      <c r="R3" s="124"/>
    </row>
    <row r="4" spans="2:22" x14ac:dyDescent="0.25">
      <c r="B4" s="48" t="s">
        <v>221</v>
      </c>
      <c r="C4" s="48"/>
      <c r="D4" s="48"/>
      <c r="E4" s="48"/>
      <c r="F4" s="66"/>
      <c r="H4" s="159" t="s">
        <v>221</v>
      </c>
      <c r="I4" s="159"/>
      <c r="J4" s="159"/>
      <c r="K4" s="159"/>
      <c r="L4" s="159"/>
      <c r="M4" s="159"/>
      <c r="N4" s="159"/>
      <c r="O4" s="159"/>
      <c r="P4" s="159"/>
      <c r="Q4" s="159"/>
      <c r="R4" s="126">
        <f>+SUM(R6:R10)</f>
        <v>4357.8599999999997</v>
      </c>
      <c r="U4" s="91" t="s">
        <v>434</v>
      </c>
      <c r="V4" s="92" t="s">
        <v>435</v>
      </c>
    </row>
    <row r="5" spans="2:22" x14ac:dyDescent="0.25">
      <c r="B5" s="49" t="s">
        <v>327</v>
      </c>
      <c r="C5" s="87">
        <f>+(50+30+37)*10</f>
        <v>1170</v>
      </c>
      <c r="D5" t="s">
        <v>40</v>
      </c>
      <c r="E5" s="11">
        <v>3</v>
      </c>
      <c r="F5" s="108">
        <f>+C5*E5</f>
        <v>3510</v>
      </c>
      <c r="H5" s="127" t="s">
        <v>328</v>
      </c>
      <c r="I5" s="128">
        <f>+'HOUSE EST MODEL 1'!$C$5</f>
        <v>1170</v>
      </c>
      <c r="J5" s="128" t="s">
        <v>40</v>
      </c>
      <c r="K5" s="128"/>
      <c r="L5" s="128"/>
      <c r="M5" s="129"/>
      <c r="N5" s="130"/>
      <c r="O5" s="118"/>
      <c r="P5" s="118"/>
      <c r="Q5" s="118"/>
      <c r="R5" s="131"/>
      <c r="T5" s="88" t="str">
        <f>+H5</f>
        <v>Framing Labor</v>
      </c>
    </row>
    <row r="6" spans="2:22" x14ac:dyDescent="0.25">
      <c r="B6" s="49" t="s">
        <v>329</v>
      </c>
      <c r="C6" s="87">
        <f>+F1</f>
        <v>375</v>
      </c>
      <c r="D6" t="s">
        <v>40</v>
      </c>
      <c r="E6" s="11">
        <v>3</v>
      </c>
      <c r="F6" s="108">
        <f t="shared" ref="F6" si="0">+C6*E6</f>
        <v>1125</v>
      </c>
      <c r="H6" s="132" t="s">
        <v>420</v>
      </c>
      <c r="I6" s="133">
        <f>+I5</f>
        <v>1170</v>
      </c>
      <c r="J6" s="116" t="s">
        <v>40</v>
      </c>
      <c r="K6" s="134">
        <v>69.25</v>
      </c>
      <c r="L6" s="135">
        <f>+K6/1000</f>
        <v>6.9250000000000006E-2</v>
      </c>
      <c r="M6" s="136">
        <f>+L6*I6</f>
        <v>81.022500000000008</v>
      </c>
      <c r="N6" s="137">
        <v>16</v>
      </c>
      <c r="O6" s="138">
        <v>1</v>
      </c>
      <c r="P6" s="139">
        <f>+M6/O6</f>
        <v>81.022500000000008</v>
      </c>
      <c r="Q6" s="140">
        <f>+P6/160</f>
        <v>0.50639062500000009</v>
      </c>
      <c r="R6" s="141">
        <f>+N6*M6*O6</f>
        <v>1296.3600000000001</v>
      </c>
      <c r="T6" t="str">
        <f>+H6</f>
        <v>Carpenter - Armador</v>
      </c>
      <c r="U6" s="57">
        <f>+P6*$U$1</f>
        <v>729.2025000000001</v>
      </c>
      <c r="V6" s="72">
        <f>+Q6*$U$1</f>
        <v>4.5575156250000006</v>
      </c>
    </row>
    <row r="7" spans="2:22" x14ac:dyDescent="0.25">
      <c r="B7" s="47" t="s">
        <v>331</v>
      </c>
      <c r="C7" s="47"/>
      <c r="D7" s="47"/>
      <c r="E7" s="47"/>
      <c r="F7" s="65"/>
      <c r="H7" s="132" t="s">
        <v>427</v>
      </c>
      <c r="I7" s="133">
        <f>+I5</f>
        <v>1170</v>
      </c>
      <c r="J7" s="116" t="s">
        <v>40</v>
      </c>
      <c r="K7" s="116">
        <f>+K6</f>
        <v>69.25</v>
      </c>
      <c r="L7" s="135">
        <f>+K7/1000</f>
        <v>6.9250000000000006E-2</v>
      </c>
      <c r="M7" s="136">
        <f>+L7*I7</f>
        <v>81.022500000000008</v>
      </c>
      <c r="N7" s="137">
        <v>10</v>
      </c>
      <c r="O7" s="138">
        <v>1</v>
      </c>
      <c r="P7" s="139">
        <f>+M7/O7</f>
        <v>81.022500000000008</v>
      </c>
      <c r="Q7" s="140">
        <f>+P7/160</f>
        <v>0.50639062500000009</v>
      </c>
      <c r="R7" s="141">
        <f>+N7*M7*O7</f>
        <v>810.22500000000014</v>
      </c>
      <c r="T7" t="str">
        <f t="shared" ref="T7:T70" si="1">+H7</f>
        <v>Helper</v>
      </c>
      <c r="U7" s="57">
        <f>+P7*$U$1</f>
        <v>729.2025000000001</v>
      </c>
      <c r="V7" s="72">
        <f t="shared" ref="V7:V70" si="2">+Q7*$U$1</f>
        <v>4.5575156250000006</v>
      </c>
    </row>
    <row r="8" spans="2:22" x14ac:dyDescent="0.25">
      <c r="B8" s="48" t="s">
        <v>332</v>
      </c>
      <c r="C8" s="48"/>
      <c r="D8" s="48"/>
      <c r="E8" s="48"/>
      <c r="F8" s="66"/>
      <c r="H8" s="127" t="s">
        <v>330</v>
      </c>
      <c r="I8" s="128">
        <f>+'HOUSE EST MODEL 1'!$C$6</f>
        <v>375</v>
      </c>
      <c r="J8" s="128" t="s">
        <v>40</v>
      </c>
      <c r="K8" s="116"/>
      <c r="L8" s="142"/>
      <c r="M8" s="116"/>
      <c r="N8" s="143"/>
      <c r="O8" s="144"/>
      <c r="P8" s="144"/>
      <c r="Q8" s="144"/>
      <c r="R8" s="131"/>
      <c r="T8" s="88" t="str">
        <f t="shared" si="1"/>
        <v>Roofing labor</v>
      </c>
      <c r="U8" s="57">
        <f t="shared" ref="U8:U71" si="3">+P8*$U$1</f>
        <v>0</v>
      </c>
      <c r="V8" s="72">
        <f t="shared" si="2"/>
        <v>0</v>
      </c>
    </row>
    <row r="9" spans="2:22" x14ac:dyDescent="0.25">
      <c r="B9" s="49" t="s">
        <v>333</v>
      </c>
      <c r="C9" s="57">
        <f>+$F$1</f>
        <v>375</v>
      </c>
      <c r="D9" t="s">
        <v>40</v>
      </c>
      <c r="E9" s="11">
        <f>+SPECS!I12</f>
        <v>2</v>
      </c>
      <c r="F9" s="108">
        <f>+C9*E9</f>
        <v>750</v>
      </c>
      <c r="H9" s="132" t="s">
        <v>422</v>
      </c>
      <c r="I9" s="133">
        <f>+I8</f>
        <v>375</v>
      </c>
      <c r="J9" s="116" t="s">
        <v>40</v>
      </c>
      <c r="K9" s="134">
        <f>12.6+48+28.8+33+45+45.5+9+9</f>
        <v>230.9</v>
      </c>
      <c r="L9" s="135">
        <f>+K9/1000</f>
        <v>0.23089999999999999</v>
      </c>
      <c r="M9" s="136">
        <f t="shared" ref="M9:M10" si="4">+L9*I9</f>
        <v>86.587499999999991</v>
      </c>
      <c r="N9" s="137">
        <v>16</v>
      </c>
      <c r="O9" s="138">
        <v>1</v>
      </c>
      <c r="P9" s="139">
        <f t="shared" ref="P9:P10" si="5">+M9/O9</f>
        <v>86.587499999999991</v>
      </c>
      <c r="Q9" s="140">
        <f t="shared" ref="Q9:Q10" si="6">+P9/160</f>
        <v>0.54117187499999997</v>
      </c>
      <c r="R9" s="141">
        <f t="shared" ref="R9:R10" si="7">+N9*M9*O9</f>
        <v>1385.3999999999999</v>
      </c>
      <c r="T9" t="str">
        <f t="shared" si="1"/>
        <v>Carpenter</v>
      </c>
      <c r="U9" s="57">
        <f t="shared" si="3"/>
        <v>779.28749999999991</v>
      </c>
      <c r="V9" s="72">
        <f t="shared" si="2"/>
        <v>4.8705468749999996</v>
      </c>
    </row>
    <row r="10" spans="2:22" x14ac:dyDescent="0.25">
      <c r="B10" s="48" t="s">
        <v>231</v>
      </c>
      <c r="C10" s="48"/>
      <c r="D10" s="48"/>
      <c r="E10" s="48"/>
      <c r="F10" s="66"/>
      <c r="H10" s="132" t="s">
        <v>427</v>
      </c>
      <c r="I10" s="133">
        <f>+I8</f>
        <v>375</v>
      </c>
      <c r="J10" s="116" t="s">
        <v>40</v>
      </c>
      <c r="K10" s="116">
        <f>+K9</f>
        <v>230.9</v>
      </c>
      <c r="L10" s="135">
        <f>+K10/1000</f>
        <v>0.23089999999999999</v>
      </c>
      <c r="M10" s="136">
        <f t="shared" si="4"/>
        <v>86.587499999999991</v>
      </c>
      <c r="N10" s="137">
        <v>10</v>
      </c>
      <c r="O10" s="138">
        <v>1</v>
      </c>
      <c r="P10" s="139">
        <f t="shared" si="5"/>
        <v>86.587499999999991</v>
      </c>
      <c r="Q10" s="140">
        <f t="shared" si="6"/>
        <v>0.54117187499999997</v>
      </c>
      <c r="R10" s="141">
        <f t="shared" si="7"/>
        <v>865.87499999999989</v>
      </c>
      <c r="T10" t="str">
        <f t="shared" si="1"/>
        <v>Helper</v>
      </c>
      <c r="U10" s="57">
        <f t="shared" si="3"/>
        <v>779.28749999999991</v>
      </c>
      <c r="V10" s="72">
        <f t="shared" si="2"/>
        <v>4.8705468749999996</v>
      </c>
    </row>
    <row r="11" spans="2:22" x14ac:dyDescent="0.25">
      <c r="B11" s="49" t="s">
        <v>335</v>
      </c>
      <c r="C11">
        <v>3</v>
      </c>
      <c r="D11" s="87" t="s">
        <v>324</v>
      </c>
      <c r="E11" s="11">
        <f>+SPECS!I9</f>
        <v>289</v>
      </c>
      <c r="F11" s="108">
        <f>+C11*E11</f>
        <v>867</v>
      </c>
      <c r="H11" s="160" t="s">
        <v>331</v>
      </c>
      <c r="I11" s="160"/>
      <c r="J11" s="160"/>
      <c r="K11" s="160"/>
      <c r="L11" s="160"/>
      <c r="M11" s="160"/>
      <c r="N11" s="160"/>
      <c r="O11" s="160"/>
      <c r="P11" s="160"/>
      <c r="Q11" s="160"/>
      <c r="R11" s="124"/>
      <c r="T11" s="90" t="str">
        <f t="shared" si="1"/>
        <v>Exteriors</v>
      </c>
      <c r="U11" s="57">
        <f t="shared" si="3"/>
        <v>0</v>
      </c>
      <c r="V11" s="72">
        <f t="shared" si="2"/>
        <v>0</v>
      </c>
    </row>
    <row r="12" spans="2:22" x14ac:dyDescent="0.25">
      <c r="B12" s="49" t="s">
        <v>336</v>
      </c>
      <c r="C12">
        <v>1</v>
      </c>
      <c r="D12" s="87" t="s">
        <v>324</v>
      </c>
      <c r="E12" s="11">
        <f>+SPECS!I10</f>
        <v>238</v>
      </c>
      <c r="F12" s="108">
        <f>+C12*E12</f>
        <v>238</v>
      </c>
      <c r="H12" s="159" t="s">
        <v>332</v>
      </c>
      <c r="I12" s="159"/>
      <c r="J12" s="159"/>
      <c r="K12" s="159"/>
      <c r="L12" s="159"/>
      <c r="M12" s="159"/>
      <c r="N12" s="159"/>
      <c r="O12" s="159"/>
      <c r="P12" s="159"/>
      <c r="Q12" s="159"/>
      <c r="R12" s="126">
        <f>+R13+R14</f>
        <v>272.99999999999994</v>
      </c>
      <c r="T12" s="89" t="str">
        <f t="shared" si="1"/>
        <v>Roofing Shingles</v>
      </c>
      <c r="U12" s="57">
        <f t="shared" si="3"/>
        <v>0</v>
      </c>
      <c r="V12" s="72">
        <f t="shared" si="2"/>
        <v>0</v>
      </c>
    </row>
    <row r="13" spans="2:22" x14ac:dyDescent="0.25">
      <c r="B13" s="48" t="s">
        <v>234</v>
      </c>
      <c r="C13" s="48"/>
      <c r="D13" s="48"/>
      <c r="E13" s="48"/>
      <c r="F13" s="66"/>
      <c r="H13" s="132" t="s">
        <v>426</v>
      </c>
      <c r="I13" s="136">
        <f>+'HOUSE EST MODEL 1'!$C$9</f>
        <v>375</v>
      </c>
      <c r="J13" s="116" t="s">
        <v>40</v>
      </c>
      <c r="K13" s="134">
        <v>2.8</v>
      </c>
      <c r="L13" s="135">
        <f>+K13/100</f>
        <v>2.7999999999999997E-2</v>
      </c>
      <c r="M13" s="136">
        <f t="shared" ref="M13:M14" si="8">+L13*I13</f>
        <v>10.499999999999998</v>
      </c>
      <c r="N13" s="137">
        <v>16</v>
      </c>
      <c r="O13" s="138">
        <v>1</v>
      </c>
      <c r="P13" s="139">
        <f>+M13/O13</f>
        <v>10.499999999999998</v>
      </c>
      <c r="Q13" s="140">
        <f>+P13/160</f>
        <v>6.5624999999999989E-2</v>
      </c>
      <c r="R13" s="141">
        <f>+N13*M13*O13</f>
        <v>167.99999999999997</v>
      </c>
      <c r="T13" t="str">
        <f t="shared" si="1"/>
        <v>Roofer</v>
      </c>
      <c r="U13" s="57">
        <f t="shared" si="3"/>
        <v>94.499999999999986</v>
      </c>
      <c r="V13" s="72">
        <f t="shared" si="2"/>
        <v>0.59062499999999996</v>
      </c>
    </row>
    <row r="14" spans="2:22" x14ac:dyDescent="0.25">
      <c r="B14" s="49" t="s">
        <v>337</v>
      </c>
      <c r="C14" s="87">
        <f>+(50+30)*10</f>
        <v>800</v>
      </c>
      <c r="D14" t="s">
        <v>40</v>
      </c>
      <c r="E14" s="109">
        <v>0.27</v>
      </c>
      <c r="F14" s="108">
        <f>+C14*E14</f>
        <v>216</v>
      </c>
      <c r="H14" s="132" t="s">
        <v>427</v>
      </c>
      <c r="I14" s="136">
        <f>+I13</f>
        <v>375</v>
      </c>
      <c r="J14" s="116" t="s">
        <v>40</v>
      </c>
      <c r="K14" s="145">
        <f>+K13</f>
        <v>2.8</v>
      </c>
      <c r="L14" s="135">
        <f>+K14/100</f>
        <v>2.7999999999999997E-2</v>
      </c>
      <c r="M14" s="136">
        <f t="shared" si="8"/>
        <v>10.499999999999998</v>
      </c>
      <c r="N14" s="137">
        <v>10</v>
      </c>
      <c r="O14" s="138">
        <v>1</v>
      </c>
      <c r="P14" s="139">
        <f>+M14/O14</f>
        <v>10.499999999999998</v>
      </c>
      <c r="Q14" s="140">
        <f>+P14/160</f>
        <v>6.5624999999999989E-2</v>
      </c>
      <c r="R14" s="141">
        <f>+N14*M14*O14</f>
        <v>104.99999999999999</v>
      </c>
      <c r="T14" t="str">
        <f t="shared" si="1"/>
        <v>Helper</v>
      </c>
      <c r="U14" s="57">
        <f t="shared" si="3"/>
        <v>94.499999999999986</v>
      </c>
      <c r="V14" s="72">
        <f t="shared" si="2"/>
        <v>0.59062499999999996</v>
      </c>
    </row>
    <row r="15" spans="2:22" x14ac:dyDescent="0.25">
      <c r="B15" s="49" t="s">
        <v>338</v>
      </c>
      <c r="C15" s="87">
        <f>+(50+30)*10</f>
        <v>800</v>
      </c>
      <c r="D15" t="s">
        <v>40</v>
      </c>
      <c r="E15" s="109">
        <v>2.5</v>
      </c>
      <c r="F15" s="108">
        <f>+C15*E15</f>
        <v>2000</v>
      </c>
      <c r="G15" s="87" t="s">
        <v>339</v>
      </c>
      <c r="H15" s="159" t="s">
        <v>231</v>
      </c>
      <c r="I15" s="159"/>
      <c r="J15" s="159"/>
      <c r="K15" s="159"/>
      <c r="L15" s="159"/>
      <c r="M15" s="159"/>
      <c r="N15" s="159"/>
      <c r="O15" s="159"/>
      <c r="P15" s="159"/>
      <c r="Q15" s="159"/>
      <c r="R15" s="126">
        <f>+R16+R17</f>
        <v>104</v>
      </c>
      <c r="T15" s="89" t="str">
        <f t="shared" si="1"/>
        <v>Windows</v>
      </c>
      <c r="U15" s="57">
        <f t="shared" si="3"/>
        <v>0</v>
      </c>
      <c r="V15" s="72">
        <f t="shared" si="2"/>
        <v>0</v>
      </c>
    </row>
    <row r="16" spans="2:22" x14ac:dyDescent="0.25">
      <c r="B16" s="48" t="s">
        <v>340</v>
      </c>
      <c r="C16" s="48"/>
      <c r="D16" s="48"/>
      <c r="E16" s="48"/>
      <c r="F16" s="66"/>
      <c r="H16" s="132" t="s">
        <v>421</v>
      </c>
      <c r="I16" s="116">
        <f>+'HOUSE EST MODEL 1'!$C$11+'HOUSE EST MODEL 1'!$C$12</f>
        <v>4</v>
      </c>
      <c r="J16" s="133" t="s">
        <v>324</v>
      </c>
      <c r="K16" s="133"/>
      <c r="L16" s="133">
        <v>1</v>
      </c>
      <c r="M16" s="136">
        <f t="shared" ref="M16:M17" si="9">+L16*I16</f>
        <v>4</v>
      </c>
      <c r="N16" s="137">
        <v>16</v>
      </c>
      <c r="O16" s="138">
        <v>1</v>
      </c>
      <c r="P16" s="139">
        <f>+M16/O16</f>
        <v>4</v>
      </c>
      <c r="Q16" s="140">
        <f>+P16/160</f>
        <v>2.5000000000000001E-2</v>
      </c>
      <c r="R16" s="141">
        <f>+N16*M16*O16</f>
        <v>64</v>
      </c>
      <c r="T16" t="str">
        <f t="shared" si="1"/>
        <v>Laborer</v>
      </c>
      <c r="U16" s="57">
        <f t="shared" si="3"/>
        <v>36</v>
      </c>
      <c r="V16" s="72">
        <f t="shared" si="2"/>
        <v>0.22500000000000001</v>
      </c>
    </row>
    <row r="17" spans="2:22" x14ac:dyDescent="0.25">
      <c r="B17" s="49" t="s">
        <v>341</v>
      </c>
      <c r="C17">
        <f>+(7+7+3)+((3+3+5+5)*3)+(3+3+2+2)</f>
        <v>75</v>
      </c>
      <c r="D17" s="87" t="s">
        <v>163</v>
      </c>
      <c r="E17" s="11">
        <f>+SPECS!I50</f>
        <v>2</v>
      </c>
      <c r="F17" s="108">
        <f>+C17*E17</f>
        <v>150</v>
      </c>
      <c r="H17" s="132" t="s">
        <v>427</v>
      </c>
      <c r="I17" s="116">
        <f>+I16</f>
        <v>4</v>
      </c>
      <c r="J17" s="133" t="s">
        <v>324</v>
      </c>
      <c r="K17" s="133"/>
      <c r="L17" s="133">
        <v>1</v>
      </c>
      <c r="M17" s="136">
        <f t="shared" si="9"/>
        <v>4</v>
      </c>
      <c r="N17" s="137">
        <v>10</v>
      </c>
      <c r="O17" s="138">
        <v>1</v>
      </c>
      <c r="P17" s="139">
        <f>+M17/O17</f>
        <v>4</v>
      </c>
      <c r="Q17" s="140">
        <f>+P17/160</f>
        <v>2.5000000000000001E-2</v>
      </c>
      <c r="R17" s="141">
        <f>+N17*M17*O17</f>
        <v>40</v>
      </c>
      <c r="T17" t="str">
        <f t="shared" si="1"/>
        <v>Helper</v>
      </c>
      <c r="U17" s="57">
        <f t="shared" si="3"/>
        <v>36</v>
      </c>
      <c r="V17" s="72">
        <f t="shared" si="2"/>
        <v>0.22500000000000001</v>
      </c>
    </row>
    <row r="18" spans="2:22" x14ac:dyDescent="0.25">
      <c r="B18" s="49" t="s">
        <v>342</v>
      </c>
      <c r="C18">
        <v>80</v>
      </c>
      <c r="D18" s="87" t="s">
        <v>163</v>
      </c>
      <c r="E18" s="11">
        <v>4</v>
      </c>
      <c r="F18" s="108">
        <f>+C18*E18</f>
        <v>320</v>
      </c>
      <c r="H18" s="159" t="s">
        <v>234</v>
      </c>
      <c r="I18" s="159"/>
      <c r="J18" s="159"/>
      <c r="K18" s="159"/>
      <c r="L18" s="159"/>
      <c r="M18" s="159"/>
      <c r="N18" s="159"/>
      <c r="O18" s="159"/>
      <c r="P18" s="159"/>
      <c r="Q18" s="159"/>
      <c r="R18" s="126">
        <f>+R19+R20</f>
        <v>873.6</v>
      </c>
      <c r="T18" s="89" t="str">
        <f t="shared" si="1"/>
        <v>Siding</v>
      </c>
      <c r="U18" s="57">
        <f t="shared" si="3"/>
        <v>0</v>
      </c>
      <c r="V18" s="72">
        <f t="shared" si="2"/>
        <v>0</v>
      </c>
    </row>
    <row r="19" spans="2:22" x14ac:dyDescent="0.25">
      <c r="B19" s="48" t="s">
        <v>343</v>
      </c>
      <c r="C19" s="48"/>
      <c r="D19" s="48"/>
      <c r="E19" s="48"/>
      <c r="F19" s="66"/>
      <c r="H19" s="132" t="s">
        <v>421</v>
      </c>
      <c r="I19" s="136">
        <f>+'HOUSE EST MODEL 1'!$C$14</f>
        <v>800</v>
      </c>
      <c r="J19" s="116" t="s">
        <v>40</v>
      </c>
      <c r="K19" s="134">
        <v>4.2</v>
      </c>
      <c r="L19" s="135">
        <f>+K19/100</f>
        <v>4.2000000000000003E-2</v>
      </c>
      <c r="M19" s="136">
        <f t="shared" ref="M19:M20" si="10">+L19*I19</f>
        <v>33.6</v>
      </c>
      <c r="N19" s="137">
        <v>16</v>
      </c>
      <c r="O19" s="138">
        <v>1</v>
      </c>
      <c r="P19" s="139">
        <f>+M19/O19</f>
        <v>33.6</v>
      </c>
      <c r="Q19" s="140">
        <f>+P19/160</f>
        <v>0.21000000000000002</v>
      </c>
      <c r="R19" s="141">
        <f>+N19*M19*O19</f>
        <v>537.6</v>
      </c>
      <c r="T19" t="str">
        <f t="shared" si="1"/>
        <v>Laborer</v>
      </c>
      <c r="U19" s="57">
        <f t="shared" si="3"/>
        <v>302.40000000000003</v>
      </c>
      <c r="V19" s="72">
        <f t="shared" si="2"/>
        <v>1.8900000000000001</v>
      </c>
    </row>
    <row r="20" spans="2:22" x14ac:dyDescent="0.25">
      <c r="B20" s="49" t="s">
        <v>344</v>
      </c>
      <c r="C20">
        <v>1</v>
      </c>
      <c r="D20" s="87" t="s">
        <v>324</v>
      </c>
      <c r="E20" s="11">
        <f>+SPECS!I7</f>
        <v>421.20000000000005</v>
      </c>
      <c r="F20" s="108">
        <f>+C20*E20</f>
        <v>421.20000000000005</v>
      </c>
      <c r="H20" s="132" t="s">
        <v>427</v>
      </c>
      <c r="I20" s="136">
        <f>+I19</f>
        <v>800</v>
      </c>
      <c r="J20" s="116" t="s">
        <v>40</v>
      </c>
      <c r="K20" s="145">
        <f>+K19</f>
        <v>4.2</v>
      </c>
      <c r="L20" s="135">
        <f>+K20/100</f>
        <v>4.2000000000000003E-2</v>
      </c>
      <c r="M20" s="136">
        <f t="shared" si="10"/>
        <v>33.6</v>
      </c>
      <c r="N20" s="137">
        <v>10</v>
      </c>
      <c r="O20" s="138">
        <v>1</v>
      </c>
      <c r="P20" s="139">
        <f>+M20/O20</f>
        <v>33.6</v>
      </c>
      <c r="Q20" s="140">
        <f>+P20/160</f>
        <v>0.21000000000000002</v>
      </c>
      <c r="R20" s="141">
        <f>+N20*M20*O20</f>
        <v>336</v>
      </c>
      <c r="T20" t="str">
        <f t="shared" si="1"/>
        <v>Helper</v>
      </c>
      <c r="U20" s="57">
        <f t="shared" si="3"/>
        <v>302.40000000000003</v>
      </c>
      <c r="V20" s="72">
        <f t="shared" si="2"/>
        <v>1.8900000000000001</v>
      </c>
    </row>
    <row r="21" spans="2:22" x14ac:dyDescent="0.25">
      <c r="B21" s="48" t="s">
        <v>242</v>
      </c>
      <c r="C21" s="48"/>
      <c r="D21" s="48"/>
      <c r="E21" s="48"/>
      <c r="F21" s="66"/>
      <c r="H21" s="159" t="s">
        <v>340</v>
      </c>
      <c r="I21" s="159"/>
      <c r="J21" s="159"/>
      <c r="K21" s="159"/>
      <c r="L21" s="159"/>
      <c r="M21" s="159"/>
      <c r="N21" s="159"/>
      <c r="O21" s="159"/>
      <c r="P21" s="159"/>
      <c r="Q21" s="159"/>
      <c r="R21" s="126">
        <f>+R22+R23</f>
        <v>274.04000000000002</v>
      </c>
      <c r="T21" s="89" t="str">
        <f t="shared" si="1"/>
        <v>Exterior Trim</v>
      </c>
      <c r="U21" s="57">
        <f t="shared" si="3"/>
        <v>0</v>
      </c>
      <c r="V21" s="72">
        <f t="shared" si="2"/>
        <v>0</v>
      </c>
    </row>
    <row r="22" spans="2:22" x14ac:dyDescent="0.25">
      <c r="B22" s="49" t="s">
        <v>345</v>
      </c>
      <c r="C22">
        <f>+C18</f>
        <v>80</v>
      </c>
      <c r="D22" s="87" t="s">
        <v>163</v>
      </c>
      <c r="E22" s="11">
        <v>5</v>
      </c>
      <c r="F22" s="108">
        <f>+C22*E22</f>
        <v>400</v>
      </c>
      <c r="H22" s="132" t="s">
        <v>421</v>
      </c>
      <c r="I22" s="116">
        <f>+'HOUSE EST MODEL 1'!$C$17+'HOUSE EST MODEL 1'!$C$18</f>
        <v>155</v>
      </c>
      <c r="J22" s="133" t="s">
        <v>163</v>
      </c>
      <c r="K22" s="134">
        <v>6.8</v>
      </c>
      <c r="L22" s="135">
        <f>+K22/100</f>
        <v>6.8000000000000005E-2</v>
      </c>
      <c r="M22" s="136">
        <f t="shared" ref="M22:M23" si="11">+L22*I22</f>
        <v>10.540000000000001</v>
      </c>
      <c r="N22" s="137">
        <v>16</v>
      </c>
      <c r="O22" s="138">
        <v>1</v>
      </c>
      <c r="P22" s="139">
        <f>+M22/O22</f>
        <v>10.540000000000001</v>
      </c>
      <c r="Q22" s="140">
        <f>+P22/160</f>
        <v>6.5875000000000003E-2</v>
      </c>
      <c r="R22" s="141">
        <f>+N22*M22*O22</f>
        <v>168.64000000000001</v>
      </c>
      <c r="T22" t="str">
        <f t="shared" si="1"/>
        <v>Laborer</v>
      </c>
      <c r="U22" s="57">
        <f t="shared" si="3"/>
        <v>94.860000000000014</v>
      </c>
      <c r="V22" s="72">
        <f t="shared" si="2"/>
        <v>0.59287500000000004</v>
      </c>
    </row>
    <row r="23" spans="2:22" x14ac:dyDescent="0.25">
      <c r="B23" s="49" t="s">
        <v>346</v>
      </c>
      <c r="C23">
        <f>4*10</f>
        <v>40</v>
      </c>
      <c r="D23" s="87" t="s">
        <v>163</v>
      </c>
      <c r="E23" s="11">
        <v>5</v>
      </c>
      <c r="F23" s="108">
        <f t="shared" ref="F23" si="12">+C23*E23</f>
        <v>200</v>
      </c>
      <c r="H23" s="132" t="s">
        <v>427</v>
      </c>
      <c r="I23" s="116">
        <f>+I22</f>
        <v>155</v>
      </c>
      <c r="J23" s="133" t="s">
        <v>163</v>
      </c>
      <c r="K23" s="145">
        <f>+K22</f>
        <v>6.8</v>
      </c>
      <c r="L23" s="135">
        <f>+K23/100</f>
        <v>6.8000000000000005E-2</v>
      </c>
      <c r="M23" s="136">
        <f t="shared" si="11"/>
        <v>10.540000000000001</v>
      </c>
      <c r="N23" s="137">
        <v>10</v>
      </c>
      <c r="O23" s="138">
        <v>1</v>
      </c>
      <c r="P23" s="139">
        <f>+M23/O23</f>
        <v>10.540000000000001</v>
      </c>
      <c r="Q23" s="140">
        <f>+P23/160</f>
        <v>6.5875000000000003E-2</v>
      </c>
      <c r="R23" s="141">
        <f>+N23*M23*O23</f>
        <v>105.4</v>
      </c>
      <c r="T23" t="str">
        <f t="shared" si="1"/>
        <v>Helper</v>
      </c>
      <c r="U23" s="57">
        <f t="shared" si="3"/>
        <v>94.860000000000014</v>
      </c>
      <c r="V23" s="72">
        <f t="shared" si="2"/>
        <v>0.59287500000000004</v>
      </c>
    </row>
    <row r="24" spans="2:22" x14ac:dyDescent="0.25">
      <c r="B24" s="47" t="s">
        <v>347</v>
      </c>
      <c r="C24" s="47"/>
      <c r="D24" s="47"/>
      <c r="E24" s="47"/>
      <c r="F24" s="65"/>
      <c r="H24" s="159" t="s">
        <v>343</v>
      </c>
      <c r="I24" s="159"/>
      <c r="J24" s="159"/>
      <c r="K24" s="159"/>
      <c r="L24" s="159"/>
      <c r="M24" s="159"/>
      <c r="N24" s="159"/>
      <c r="O24" s="159"/>
      <c r="P24" s="159"/>
      <c r="Q24" s="159"/>
      <c r="R24" s="126">
        <f>+R25+R26</f>
        <v>72.8</v>
      </c>
      <c r="T24" s="89" t="str">
        <f t="shared" si="1"/>
        <v>Exterior Doors</v>
      </c>
      <c r="U24" s="57">
        <f t="shared" si="3"/>
        <v>0</v>
      </c>
      <c r="V24" s="72">
        <f t="shared" si="2"/>
        <v>0</v>
      </c>
    </row>
    <row r="25" spans="2:22" x14ac:dyDescent="0.25">
      <c r="B25" s="48" t="s">
        <v>348</v>
      </c>
      <c r="C25" s="48"/>
      <c r="D25" s="48"/>
      <c r="E25" s="48"/>
      <c r="F25" s="66"/>
      <c r="H25" s="132" t="s">
        <v>421</v>
      </c>
      <c r="I25" s="116">
        <f>+'HOUSE EST MODEL 1'!$C$20</f>
        <v>1</v>
      </c>
      <c r="J25" s="133" t="s">
        <v>324</v>
      </c>
      <c r="K25" s="133"/>
      <c r="L25" s="133">
        <v>2.8</v>
      </c>
      <c r="M25" s="136">
        <f t="shared" ref="M25:M26" si="13">+L25*I25</f>
        <v>2.8</v>
      </c>
      <c r="N25" s="137">
        <v>16</v>
      </c>
      <c r="O25" s="138">
        <v>1</v>
      </c>
      <c r="P25" s="139">
        <f>+M25/O25</f>
        <v>2.8</v>
      </c>
      <c r="Q25" s="140">
        <f>+P25/160</f>
        <v>1.7499999999999998E-2</v>
      </c>
      <c r="R25" s="141">
        <f>+N25*M25*O25</f>
        <v>44.8</v>
      </c>
      <c r="T25" t="str">
        <f t="shared" si="1"/>
        <v>Laborer</v>
      </c>
      <c r="U25" s="57">
        <f t="shared" si="3"/>
        <v>25.2</v>
      </c>
      <c r="V25" s="72">
        <f t="shared" si="2"/>
        <v>0.15749999999999997</v>
      </c>
    </row>
    <row r="26" spans="2:22" x14ac:dyDescent="0.25">
      <c r="B26" s="49" t="s">
        <v>349</v>
      </c>
      <c r="C26" s="57">
        <v>50</v>
      </c>
      <c r="D26" s="87" t="s">
        <v>163</v>
      </c>
      <c r="E26" s="11">
        <v>23</v>
      </c>
      <c r="F26" s="108">
        <f t="shared" ref="F26:F32" si="14">+C26*E26</f>
        <v>1150</v>
      </c>
      <c r="G26" s="13"/>
      <c r="H26" s="132" t="s">
        <v>427</v>
      </c>
      <c r="I26" s="116">
        <f>+I25</f>
        <v>1</v>
      </c>
      <c r="J26" s="133" t="s">
        <v>324</v>
      </c>
      <c r="K26" s="133"/>
      <c r="L26" s="133">
        <f>+L25</f>
        <v>2.8</v>
      </c>
      <c r="M26" s="136">
        <f t="shared" si="13"/>
        <v>2.8</v>
      </c>
      <c r="N26" s="137">
        <v>10</v>
      </c>
      <c r="O26" s="138">
        <v>1</v>
      </c>
      <c r="P26" s="139">
        <f>+M26/O26</f>
        <v>2.8</v>
      </c>
      <c r="Q26" s="140">
        <f>+P26/160</f>
        <v>1.7499999999999998E-2</v>
      </c>
      <c r="R26" s="141">
        <f>+N26*M26*O26</f>
        <v>28</v>
      </c>
      <c r="T26" t="str">
        <f t="shared" si="1"/>
        <v>Helper</v>
      </c>
      <c r="U26" s="57">
        <f t="shared" si="3"/>
        <v>25.2</v>
      </c>
      <c r="V26" s="72">
        <f t="shared" si="2"/>
        <v>0.15749999999999997</v>
      </c>
    </row>
    <row r="27" spans="2:22" x14ac:dyDescent="0.25">
      <c r="B27" s="49" t="s">
        <v>350</v>
      </c>
      <c r="C27" s="57">
        <v>50</v>
      </c>
      <c r="D27" s="87" t="s">
        <v>163</v>
      </c>
      <c r="E27" s="11">
        <v>38</v>
      </c>
      <c r="F27" s="108">
        <f t="shared" si="14"/>
        <v>1900</v>
      </c>
      <c r="G27" s="13"/>
      <c r="H27" s="159" t="s">
        <v>242</v>
      </c>
      <c r="I27" s="159"/>
      <c r="J27" s="159"/>
      <c r="K27" s="159"/>
      <c r="L27" s="159"/>
      <c r="M27" s="159"/>
      <c r="N27" s="159"/>
      <c r="O27" s="159"/>
      <c r="P27" s="159"/>
      <c r="Q27" s="159"/>
      <c r="R27" s="126">
        <f>+R28+R29</f>
        <v>104</v>
      </c>
      <c r="T27" s="89" t="str">
        <f t="shared" si="1"/>
        <v>Gutters</v>
      </c>
      <c r="U27" s="57">
        <f t="shared" si="3"/>
        <v>0</v>
      </c>
      <c r="V27" s="72">
        <f t="shared" si="2"/>
        <v>0</v>
      </c>
    </row>
    <row r="28" spans="2:22" x14ac:dyDescent="0.25">
      <c r="B28" s="49" t="s">
        <v>351</v>
      </c>
      <c r="C28">
        <v>1</v>
      </c>
      <c r="D28" s="87" t="s">
        <v>324</v>
      </c>
      <c r="E28" s="11">
        <v>625</v>
      </c>
      <c r="F28" s="108">
        <f t="shared" si="14"/>
        <v>625</v>
      </c>
      <c r="H28" s="132" t="s">
        <v>421</v>
      </c>
      <c r="I28" s="116">
        <f>+'HOUSE EST MODEL 1'!$C$22+'HOUSE EST MODEL 1'!$C$23</f>
        <v>120</v>
      </c>
      <c r="J28" s="133" t="s">
        <v>163</v>
      </c>
      <c r="K28" s="133"/>
      <c r="L28" s="146">
        <f>1/30</f>
        <v>3.3333333333333333E-2</v>
      </c>
      <c r="M28" s="136">
        <f t="shared" ref="M28:M29" si="15">+L28*I28</f>
        <v>4</v>
      </c>
      <c r="N28" s="137">
        <v>16</v>
      </c>
      <c r="O28" s="138">
        <v>1</v>
      </c>
      <c r="P28" s="139">
        <f>+M28/O28</f>
        <v>4</v>
      </c>
      <c r="Q28" s="140">
        <f>+P28/160</f>
        <v>2.5000000000000001E-2</v>
      </c>
      <c r="R28" s="141">
        <f>+N28*M28*O28</f>
        <v>64</v>
      </c>
      <c r="T28" t="str">
        <f t="shared" si="1"/>
        <v>Laborer</v>
      </c>
      <c r="U28" s="57">
        <f t="shared" si="3"/>
        <v>36</v>
      </c>
      <c r="V28" s="72">
        <f t="shared" si="2"/>
        <v>0.22500000000000001</v>
      </c>
    </row>
    <row r="29" spans="2:22" x14ac:dyDescent="0.25">
      <c r="B29" s="48" t="s">
        <v>352</v>
      </c>
      <c r="C29" s="48"/>
      <c r="D29" s="48"/>
      <c r="E29" s="48"/>
      <c r="F29" s="66"/>
      <c r="H29" s="132" t="s">
        <v>427</v>
      </c>
      <c r="I29" s="116">
        <f>+I28</f>
        <v>120</v>
      </c>
      <c r="J29" s="133" t="s">
        <v>163</v>
      </c>
      <c r="K29" s="133"/>
      <c r="L29" s="146">
        <f>+L28</f>
        <v>3.3333333333333333E-2</v>
      </c>
      <c r="M29" s="136">
        <f t="shared" si="15"/>
        <v>4</v>
      </c>
      <c r="N29" s="137">
        <v>10</v>
      </c>
      <c r="O29" s="138">
        <v>1</v>
      </c>
      <c r="P29" s="139">
        <f>+M29/O29</f>
        <v>4</v>
      </c>
      <c r="Q29" s="140">
        <f>+P29/160</f>
        <v>2.5000000000000001E-2</v>
      </c>
      <c r="R29" s="141">
        <f>+N29*M29*O29</f>
        <v>40</v>
      </c>
      <c r="T29" t="str">
        <f t="shared" si="1"/>
        <v>Helper</v>
      </c>
      <c r="U29" s="57">
        <f t="shared" si="3"/>
        <v>36</v>
      </c>
      <c r="V29" s="72">
        <f t="shared" si="2"/>
        <v>0.22500000000000001</v>
      </c>
    </row>
    <row r="30" spans="2:22" x14ac:dyDescent="0.25">
      <c r="B30" s="49" t="s">
        <v>353</v>
      </c>
      <c r="C30">
        <v>80</v>
      </c>
      <c r="D30" s="87" t="s">
        <v>163</v>
      </c>
      <c r="E30" s="11">
        <v>23.4375</v>
      </c>
      <c r="F30" s="108">
        <f t="shared" si="14"/>
        <v>1875</v>
      </c>
      <c r="H30" s="160" t="s">
        <v>347</v>
      </c>
      <c r="I30" s="160"/>
      <c r="J30" s="160"/>
      <c r="K30" s="160"/>
      <c r="L30" s="160"/>
      <c r="M30" s="160"/>
      <c r="N30" s="160"/>
      <c r="O30" s="160"/>
      <c r="P30" s="160"/>
      <c r="Q30" s="160"/>
      <c r="R30" s="124"/>
      <c r="T30" s="90" t="str">
        <f t="shared" si="1"/>
        <v xml:space="preserve">MEP's </v>
      </c>
      <c r="U30" s="57">
        <f t="shared" si="3"/>
        <v>0</v>
      </c>
      <c r="V30" s="72">
        <f t="shared" si="2"/>
        <v>0</v>
      </c>
    </row>
    <row r="31" spans="2:22" x14ac:dyDescent="0.25">
      <c r="B31" s="48" t="s">
        <v>258</v>
      </c>
      <c r="C31" s="48"/>
      <c r="D31" s="48"/>
      <c r="E31" s="48"/>
      <c r="F31" s="66"/>
      <c r="H31" s="159" t="s">
        <v>348</v>
      </c>
      <c r="I31" s="159"/>
      <c r="J31" s="159"/>
      <c r="K31" s="159"/>
      <c r="L31" s="159"/>
      <c r="M31" s="159"/>
      <c r="N31" s="159"/>
      <c r="O31" s="159"/>
      <c r="P31" s="159"/>
      <c r="Q31" s="159"/>
      <c r="R31" s="126">
        <f>+R32+R33</f>
        <v>364.00000000000006</v>
      </c>
      <c r="T31" s="89" t="str">
        <f t="shared" si="1"/>
        <v>Plumbing Roughs</v>
      </c>
      <c r="U31" s="57">
        <f t="shared" si="3"/>
        <v>0</v>
      </c>
      <c r="V31" s="72">
        <f t="shared" si="2"/>
        <v>0</v>
      </c>
    </row>
    <row r="32" spans="2:22" x14ac:dyDescent="0.25">
      <c r="B32" s="49" t="s">
        <v>354</v>
      </c>
      <c r="C32">
        <v>1</v>
      </c>
      <c r="D32" s="87" t="s">
        <v>324</v>
      </c>
      <c r="E32" s="11">
        <v>6000</v>
      </c>
      <c r="F32" s="108">
        <f t="shared" si="14"/>
        <v>6000</v>
      </c>
      <c r="H32" s="132" t="s">
        <v>428</v>
      </c>
      <c r="I32" s="136">
        <f>+'HOUSE EST MODEL 1'!$C$26+'HOUSE EST MODEL 1'!$C$27</f>
        <v>100</v>
      </c>
      <c r="J32" s="133" t="s">
        <v>163</v>
      </c>
      <c r="K32" s="133"/>
      <c r="L32" s="133">
        <v>0.14000000000000001</v>
      </c>
      <c r="M32" s="136">
        <f t="shared" ref="M32:M33" si="16">+L32*I32</f>
        <v>14.000000000000002</v>
      </c>
      <c r="N32" s="137">
        <v>16</v>
      </c>
      <c r="O32" s="138">
        <v>1</v>
      </c>
      <c r="P32" s="139">
        <f>+M32/O32</f>
        <v>14.000000000000002</v>
      </c>
      <c r="Q32" s="140">
        <f>+P32/160</f>
        <v>8.7500000000000008E-2</v>
      </c>
      <c r="R32" s="141">
        <f>+N32*M32*O32</f>
        <v>224.00000000000003</v>
      </c>
      <c r="T32" t="str">
        <f t="shared" si="1"/>
        <v>Plumber</v>
      </c>
      <c r="U32" s="57">
        <f t="shared" si="3"/>
        <v>126.00000000000001</v>
      </c>
      <c r="V32" s="72">
        <f t="shared" si="2"/>
        <v>0.78750000000000009</v>
      </c>
    </row>
    <row r="33" spans="2:22" x14ac:dyDescent="0.25">
      <c r="B33" s="47" t="s">
        <v>263</v>
      </c>
      <c r="C33" s="47"/>
      <c r="D33" s="47"/>
      <c r="E33" s="47"/>
      <c r="F33" s="65"/>
      <c r="H33" s="132" t="s">
        <v>427</v>
      </c>
      <c r="I33" s="136">
        <f>+I32</f>
        <v>100</v>
      </c>
      <c r="J33" s="133" t="s">
        <v>163</v>
      </c>
      <c r="K33" s="133"/>
      <c r="L33" s="133">
        <f>+L32</f>
        <v>0.14000000000000001</v>
      </c>
      <c r="M33" s="136">
        <f t="shared" si="16"/>
        <v>14.000000000000002</v>
      </c>
      <c r="N33" s="137">
        <v>10</v>
      </c>
      <c r="O33" s="138">
        <v>1</v>
      </c>
      <c r="P33" s="139">
        <f>+M33/O33</f>
        <v>14.000000000000002</v>
      </c>
      <c r="Q33" s="140">
        <f>+P33/160</f>
        <v>8.7500000000000008E-2</v>
      </c>
      <c r="R33" s="141">
        <f>+N33*M33*O33</f>
        <v>140.00000000000003</v>
      </c>
      <c r="T33" t="str">
        <f t="shared" si="1"/>
        <v>Helper</v>
      </c>
      <c r="U33" s="57">
        <f t="shared" si="3"/>
        <v>126.00000000000001</v>
      </c>
      <c r="V33" s="72">
        <f t="shared" si="2"/>
        <v>0.78750000000000009</v>
      </c>
    </row>
    <row r="34" spans="2:22" x14ac:dyDescent="0.25">
      <c r="B34" s="48" t="s">
        <v>264</v>
      </c>
      <c r="C34" s="48"/>
      <c r="D34" s="48"/>
      <c r="E34" s="48"/>
      <c r="F34" s="66"/>
      <c r="H34" s="159" t="s">
        <v>352</v>
      </c>
      <c r="I34" s="159"/>
      <c r="J34" s="159"/>
      <c r="K34" s="159"/>
      <c r="L34" s="159"/>
      <c r="M34" s="159"/>
      <c r="N34" s="159"/>
      <c r="O34" s="159"/>
      <c r="P34" s="159"/>
      <c r="Q34" s="159"/>
      <c r="R34" s="126">
        <f>+R35+R36</f>
        <v>1040</v>
      </c>
      <c r="T34" s="89" t="str">
        <f t="shared" si="1"/>
        <v>Electrical Roughs</v>
      </c>
      <c r="U34" s="57">
        <f t="shared" si="3"/>
        <v>0</v>
      </c>
      <c r="V34" s="72">
        <f t="shared" si="2"/>
        <v>0</v>
      </c>
    </row>
    <row r="35" spans="2:22" x14ac:dyDescent="0.25">
      <c r="B35" s="49" t="s">
        <v>355</v>
      </c>
      <c r="C35">
        <f>9*80</f>
        <v>720</v>
      </c>
      <c r="D35" s="87" t="s">
        <v>40</v>
      </c>
      <c r="E35" s="11">
        <v>2.5</v>
      </c>
      <c r="F35" s="108">
        <f t="shared" ref="F35:F60" si="17">+C35*E35</f>
        <v>1800</v>
      </c>
      <c r="H35" s="147" t="s">
        <v>429</v>
      </c>
      <c r="I35" s="116">
        <f>+'HOUSE EST MODEL 1'!$C$30</f>
        <v>80</v>
      </c>
      <c r="J35" s="133" t="s">
        <v>163</v>
      </c>
      <c r="K35" s="133"/>
      <c r="L35" s="133">
        <v>0.5</v>
      </c>
      <c r="M35" s="136">
        <f t="shared" ref="M35:M36" si="18">+L35*I35</f>
        <v>40</v>
      </c>
      <c r="N35" s="137">
        <v>16</v>
      </c>
      <c r="O35" s="138">
        <v>1</v>
      </c>
      <c r="P35" s="139">
        <f>+M35/O35</f>
        <v>40</v>
      </c>
      <c r="Q35" s="140">
        <f>+P35/160</f>
        <v>0.25</v>
      </c>
      <c r="R35" s="141">
        <f>+N35*M35*O35</f>
        <v>640</v>
      </c>
      <c r="T35" t="str">
        <f t="shared" si="1"/>
        <v>Electrician</v>
      </c>
      <c r="U35" s="57">
        <f t="shared" si="3"/>
        <v>360</v>
      </c>
      <c r="V35" s="72">
        <f t="shared" si="2"/>
        <v>2.25</v>
      </c>
    </row>
    <row r="36" spans="2:22" x14ac:dyDescent="0.25">
      <c r="B36" s="49" t="s">
        <v>356</v>
      </c>
      <c r="C36" s="57">
        <f>+$F$1</f>
        <v>375</v>
      </c>
      <c r="D36" s="87" t="s">
        <v>40</v>
      </c>
      <c r="E36" s="11">
        <v>2.5</v>
      </c>
      <c r="F36" s="108">
        <f t="shared" si="17"/>
        <v>937.5</v>
      </c>
      <c r="H36" s="147" t="s">
        <v>427</v>
      </c>
      <c r="I36" s="116">
        <f>+I35</f>
        <v>80</v>
      </c>
      <c r="J36" s="133" t="s">
        <v>163</v>
      </c>
      <c r="K36" s="133"/>
      <c r="L36" s="133">
        <f>+L35</f>
        <v>0.5</v>
      </c>
      <c r="M36" s="136">
        <f t="shared" si="18"/>
        <v>40</v>
      </c>
      <c r="N36" s="137">
        <v>10</v>
      </c>
      <c r="O36" s="138">
        <v>1</v>
      </c>
      <c r="P36" s="139">
        <f>+M36/O36</f>
        <v>40</v>
      </c>
      <c r="Q36" s="140">
        <f>+P36/160</f>
        <v>0.25</v>
      </c>
      <c r="R36" s="141">
        <f>+N36*M36*O36</f>
        <v>400</v>
      </c>
      <c r="T36" t="str">
        <f t="shared" si="1"/>
        <v>Helper</v>
      </c>
      <c r="U36" s="57">
        <f t="shared" si="3"/>
        <v>360</v>
      </c>
      <c r="V36" s="72">
        <f t="shared" si="2"/>
        <v>2.25</v>
      </c>
    </row>
    <row r="37" spans="2:22" x14ac:dyDescent="0.25">
      <c r="B37" s="48" t="s">
        <v>266</v>
      </c>
      <c r="C37" s="48"/>
      <c r="D37" s="48"/>
      <c r="E37" s="48"/>
      <c r="F37" s="66"/>
      <c r="H37" s="159" t="s">
        <v>258</v>
      </c>
      <c r="I37" s="159"/>
      <c r="J37" s="159"/>
      <c r="K37" s="159"/>
      <c r="L37" s="159"/>
      <c r="M37" s="159"/>
      <c r="N37" s="159"/>
      <c r="O37" s="159"/>
      <c r="P37" s="159"/>
      <c r="Q37" s="159"/>
      <c r="R37" s="126">
        <f>+R38+R39</f>
        <v>1440</v>
      </c>
      <c r="T37" s="89" t="str">
        <f t="shared" si="1"/>
        <v>HVAC</v>
      </c>
      <c r="U37" s="57">
        <f t="shared" si="3"/>
        <v>0</v>
      </c>
      <c r="V37" s="72">
        <f t="shared" si="2"/>
        <v>0</v>
      </c>
    </row>
    <row r="38" spans="2:22" x14ac:dyDescent="0.25">
      <c r="B38" s="49" t="s">
        <v>357</v>
      </c>
      <c r="C38">
        <f>120*9</f>
        <v>1080</v>
      </c>
      <c r="D38" s="87" t="s">
        <v>40</v>
      </c>
      <c r="E38" s="11">
        <v>2.21</v>
      </c>
      <c r="F38" s="108">
        <f t="shared" si="17"/>
        <v>2386.8000000000002</v>
      </c>
      <c r="H38" s="132" t="s">
        <v>421</v>
      </c>
      <c r="I38" s="116">
        <f>+'HOUSE EST MODEL 1'!$C$32</f>
        <v>1</v>
      </c>
      <c r="J38" s="133" t="s">
        <v>324</v>
      </c>
      <c r="K38" s="133"/>
      <c r="L38" s="133">
        <v>24</v>
      </c>
      <c r="M38" s="136">
        <f t="shared" ref="M38:M39" si="19">+L38*I38</f>
        <v>24</v>
      </c>
      <c r="N38" s="137">
        <v>30</v>
      </c>
      <c r="O38" s="138">
        <v>1</v>
      </c>
      <c r="P38" s="139">
        <f>+M38/O38</f>
        <v>24</v>
      </c>
      <c r="Q38" s="140">
        <f>+P38/160</f>
        <v>0.15</v>
      </c>
      <c r="R38" s="141">
        <f>+N38*M38*O38</f>
        <v>720</v>
      </c>
      <c r="T38" t="str">
        <f t="shared" si="1"/>
        <v>Laborer</v>
      </c>
      <c r="U38" s="57">
        <f t="shared" si="3"/>
        <v>216</v>
      </c>
      <c r="V38" s="72">
        <f t="shared" si="2"/>
        <v>1.3499999999999999</v>
      </c>
    </row>
    <row r="39" spans="2:22" x14ac:dyDescent="0.25">
      <c r="B39" s="48" t="s">
        <v>359</v>
      </c>
      <c r="C39" s="48"/>
      <c r="D39" s="48"/>
      <c r="E39" s="48"/>
      <c r="F39" s="66"/>
      <c r="H39" s="132" t="s">
        <v>421</v>
      </c>
      <c r="I39" s="116">
        <v>1</v>
      </c>
      <c r="J39" s="133" t="s">
        <v>324</v>
      </c>
      <c r="K39" s="133"/>
      <c r="L39" s="133">
        <f>+L38</f>
        <v>24</v>
      </c>
      <c r="M39" s="136">
        <f t="shared" si="19"/>
        <v>24</v>
      </c>
      <c r="N39" s="137">
        <v>30</v>
      </c>
      <c r="O39" s="138">
        <v>1</v>
      </c>
      <c r="P39" s="139">
        <f>+M39/O39</f>
        <v>24</v>
      </c>
      <c r="Q39" s="140">
        <f>+P39/160</f>
        <v>0.15</v>
      </c>
      <c r="R39" s="141">
        <f>+N39*M39*O39</f>
        <v>720</v>
      </c>
      <c r="T39" t="str">
        <f t="shared" si="1"/>
        <v>Laborer</v>
      </c>
      <c r="U39" s="57">
        <f t="shared" si="3"/>
        <v>216</v>
      </c>
      <c r="V39" s="72">
        <f t="shared" si="2"/>
        <v>1.3499999999999999</v>
      </c>
    </row>
    <row r="40" spans="2:22" x14ac:dyDescent="0.25">
      <c r="B40" s="49" t="s">
        <v>360</v>
      </c>
      <c r="C40">
        <v>4</v>
      </c>
      <c r="D40" s="87" t="s">
        <v>324</v>
      </c>
      <c r="E40" s="11">
        <f>+SPECS!I37</f>
        <v>141.48000000000002</v>
      </c>
      <c r="F40" s="108">
        <f t="shared" si="17"/>
        <v>565.92000000000007</v>
      </c>
      <c r="H40" s="160" t="s">
        <v>263</v>
      </c>
      <c r="I40" s="160"/>
      <c r="J40" s="160"/>
      <c r="K40" s="160"/>
      <c r="L40" s="160"/>
      <c r="M40" s="160"/>
      <c r="N40" s="160"/>
      <c r="O40" s="160"/>
      <c r="P40" s="160"/>
      <c r="Q40" s="160"/>
      <c r="R40" s="124"/>
      <c r="T40" s="90" t="str">
        <f t="shared" si="1"/>
        <v>Finishes</v>
      </c>
      <c r="U40" s="57">
        <f t="shared" si="3"/>
        <v>0</v>
      </c>
      <c r="V40" s="72">
        <f t="shared" si="2"/>
        <v>0</v>
      </c>
    </row>
    <row r="41" spans="2:22" x14ac:dyDescent="0.25">
      <c r="B41" s="49" t="s">
        <v>361</v>
      </c>
      <c r="C41">
        <v>1</v>
      </c>
      <c r="D41" s="87" t="s">
        <v>324</v>
      </c>
      <c r="E41" s="11">
        <f>+SPECS!I38</f>
        <v>109.47960000000002</v>
      </c>
      <c r="F41" s="108">
        <f t="shared" si="17"/>
        <v>109.47960000000002</v>
      </c>
      <c r="H41" s="159" t="s">
        <v>264</v>
      </c>
      <c r="I41" s="159"/>
      <c r="J41" s="159"/>
      <c r="K41" s="159"/>
      <c r="L41" s="159"/>
      <c r="M41" s="159"/>
      <c r="N41" s="159"/>
      <c r="O41" s="159"/>
      <c r="P41" s="159"/>
      <c r="Q41" s="159"/>
      <c r="R41" s="126">
        <f>+R42+R43</f>
        <v>427.05</v>
      </c>
      <c r="T41" s="89" t="str">
        <f t="shared" si="1"/>
        <v>Insulation</v>
      </c>
      <c r="U41" s="57">
        <f t="shared" si="3"/>
        <v>0</v>
      </c>
      <c r="V41" s="72">
        <f t="shared" si="2"/>
        <v>0</v>
      </c>
    </row>
    <row r="42" spans="2:22" x14ac:dyDescent="0.25">
      <c r="B42" s="49" t="s">
        <v>362</v>
      </c>
      <c r="C42">
        <v>120</v>
      </c>
      <c r="D42" s="87" t="s">
        <v>163</v>
      </c>
      <c r="E42" s="11">
        <f>+SPECS!I50</f>
        <v>2</v>
      </c>
      <c r="F42" s="108">
        <f t="shared" si="17"/>
        <v>240</v>
      </c>
      <c r="H42" s="132" t="s">
        <v>421</v>
      </c>
      <c r="I42" s="136">
        <f>+'HOUSE EST MODEL 1'!$C$35+'HOUSE EST MODEL 1'!$C$36</f>
        <v>1095</v>
      </c>
      <c r="J42" s="133" t="s">
        <v>40</v>
      </c>
      <c r="K42" s="133">
        <v>1.5</v>
      </c>
      <c r="L42" s="133">
        <f>+K42/100</f>
        <v>1.4999999999999999E-2</v>
      </c>
      <c r="M42" s="136">
        <f t="shared" ref="M42:M43" si="20">+L42*I42</f>
        <v>16.425000000000001</v>
      </c>
      <c r="N42" s="137">
        <v>16</v>
      </c>
      <c r="O42" s="138">
        <v>1</v>
      </c>
      <c r="P42" s="139">
        <f>+M42/O42</f>
        <v>16.425000000000001</v>
      </c>
      <c r="Q42" s="140">
        <f>+P42/160</f>
        <v>0.10265625</v>
      </c>
      <c r="R42" s="141">
        <f>+N42*M42*O42</f>
        <v>262.8</v>
      </c>
      <c r="T42" t="str">
        <f t="shared" si="1"/>
        <v>Laborer</v>
      </c>
      <c r="U42" s="57">
        <f t="shared" si="3"/>
        <v>147.82500000000002</v>
      </c>
      <c r="V42" s="72">
        <f t="shared" si="2"/>
        <v>0.92390625000000004</v>
      </c>
    </row>
    <row r="43" spans="2:22" x14ac:dyDescent="0.25">
      <c r="B43" s="49" t="s">
        <v>363</v>
      </c>
      <c r="C43">
        <f>+(C40*(7+3))+((C40+C41)*(6+10))</f>
        <v>120</v>
      </c>
      <c r="D43" s="87" t="s">
        <v>163</v>
      </c>
      <c r="E43" s="11">
        <f>+E42</f>
        <v>2</v>
      </c>
      <c r="F43" s="108">
        <f t="shared" si="17"/>
        <v>240</v>
      </c>
      <c r="H43" s="132" t="s">
        <v>427</v>
      </c>
      <c r="I43" s="136">
        <f>+I42</f>
        <v>1095</v>
      </c>
      <c r="J43" s="133" t="s">
        <v>40</v>
      </c>
      <c r="K43" s="133">
        <f>+K42</f>
        <v>1.5</v>
      </c>
      <c r="L43" s="133">
        <f>+L42</f>
        <v>1.4999999999999999E-2</v>
      </c>
      <c r="M43" s="136">
        <f t="shared" si="20"/>
        <v>16.425000000000001</v>
      </c>
      <c r="N43" s="137">
        <v>10</v>
      </c>
      <c r="O43" s="138">
        <v>1</v>
      </c>
      <c r="P43" s="139">
        <f>+M43/O43</f>
        <v>16.425000000000001</v>
      </c>
      <c r="Q43" s="140">
        <f>+P43/160</f>
        <v>0.10265625</v>
      </c>
      <c r="R43" s="141">
        <f>+N43*M43*O43</f>
        <v>164.25</v>
      </c>
      <c r="T43" t="str">
        <f t="shared" si="1"/>
        <v>Helper</v>
      </c>
      <c r="U43" s="57">
        <f t="shared" si="3"/>
        <v>147.82500000000002</v>
      </c>
      <c r="V43" s="72">
        <f t="shared" si="2"/>
        <v>0.92390625000000004</v>
      </c>
    </row>
    <row r="44" spans="2:22" x14ac:dyDescent="0.25">
      <c r="B44" s="48" t="s">
        <v>364</v>
      </c>
      <c r="C44" s="48"/>
      <c r="D44" s="48"/>
      <c r="E44" s="48"/>
      <c r="F44" s="66"/>
      <c r="H44" s="159" t="s">
        <v>266</v>
      </c>
      <c r="I44" s="159"/>
      <c r="J44" s="159"/>
      <c r="K44" s="159"/>
      <c r="L44" s="159"/>
      <c r="M44" s="159"/>
      <c r="N44" s="159"/>
      <c r="O44" s="159"/>
      <c r="P44" s="159"/>
      <c r="Q44" s="159"/>
      <c r="R44" s="126">
        <f>+R45+R46</f>
        <v>1038.9600000000003</v>
      </c>
      <c r="T44" s="89" t="str">
        <f t="shared" si="1"/>
        <v>Drywall</v>
      </c>
      <c r="U44" s="57">
        <f t="shared" si="3"/>
        <v>0</v>
      </c>
      <c r="V44" s="72">
        <f t="shared" si="2"/>
        <v>0</v>
      </c>
    </row>
    <row r="45" spans="2:22" x14ac:dyDescent="0.25">
      <c r="B45" s="49" t="s">
        <v>365</v>
      </c>
      <c r="C45">
        <f>+C38</f>
        <v>1080</v>
      </c>
      <c r="D45" s="87" t="s">
        <v>40</v>
      </c>
      <c r="E45" s="11">
        <v>2</v>
      </c>
      <c r="F45" s="108">
        <f t="shared" si="17"/>
        <v>2160</v>
      </c>
      <c r="H45" s="132" t="s">
        <v>421</v>
      </c>
      <c r="I45" s="116">
        <f>+'HOUSE EST MODEL 1'!$C$38</f>
        <v>1080</v>
      </c>
      <c r="J45" s="133" t="s">
        <v>40</v>
      </c>
      <c r="K45" s="133">
        <v>3.7</v>
      </c>
      <c r="L45" s="133">
        <f>+K45/100</f>
        <v>3.7000000000000005E-2</v>
      </c>
      <c r="M45" s="136">
        <f t="shared" ref="M45:M46" si="21">+L45*I45</f>
        <v>39.960000000000008</v>
      </c>
      <c r="N45" s="137">
        <v>16</v>
      </c>
      <c r="O45" s="138">
        <v>1</v>
      </c>
      <c r="P45" s="139">
        <f>+M45/O45</f>
        <v>39.960000000000008</v>
      </c>
      <c r="Q45" s="140">
        <f>+P45/160</f>
        <v>0.24975000000000006</v>
      </c>
      <c r="R45" s="141">
        <f>+N45*M45*O45</f>
        <v>639.36000000000013</v>
      </c>
      <c r="T45" t="str">
        <f t="shared" si="1"/>
        <v>Laborer</v>
      </c>
      <c r="U45" s="57">
        <f t="shared" si="3"/>
        <v>359.6400000000001</v>
      </c>
      <c r="V45" s="72">
        <f t="shared" si="2"/>
        <v>2.2477500000000004</v>
      </c>
    </row>
    <row r="46" spans="2:22" x14ac:dyDescent="0.25">
      <c r="B46" s="49" t="s">
        <v>276</v>
      </c>
      <c r="C46" s="87">
        <f>+C14</f>
        <v>800</v>
      </c>
      <c r="D46" s="87" t="s">
        <v>40</v>
      </c>
      <c r="E46" s="11">
        <v>3</v>
      </c>
      <c r="F46" s="108">
        <f t="shared" si="17"/>
        <v>2400</v>
      </c>
      <c r="H46" s="132" t="s">
        <v>427</v>
      </c>
      <c r="I46" s="133">
        <f>+I45</f>
        <v>1080</v>
      </c>
      <c r="J46" s="133" t="s">
        <v>40</v>
      </c>
      <c r="K46" s="133">
        <f>+K45</f>
        <v>3.7</v>
      </c>
      <c r="L46" s="133">
        <f>+L45</f>
        <v>3.7000000000000005E-2</v>
      </c>
      <c r="M46" s="136">
        <f t="shared" si="21"/>
        <v>39.960000000000008</v>
      </c>
      <c r="N46" s="137">
        <v>10</v>
      </c>
      <c r="O46" s="138">
        <v>1</v>
      </c>
      <c r="P46" s="139">
        <f>+M46/O46</f>
        <v>39.960000000000008</v>
      </c>
      <c r="Q46" s="140">
        <f>+P46/160</f>
        <v>0.24975000000000006</v>
      </c>
      <c r="R46" s="141">
        <f>+N46*M46*O46</f>
        <v>399.60000000000008</v>
      </c>
      <c r="T46" t="str">
        <f t="shared" si="1"/>
        <v>Helper</v>
      </c>
      <c r="U46" s="57">
        <f t="shared" si="3"/>
        <v>359.6400000000001</v>
      </c>
      <c r="V46" s="72">
        <f t="shared" si="2"/>
        <v>2.2477500000000004</v>
      </c>
    </row>
    <row r="47" spans="2:22" x14ac:dyDescent="0.25">
      <c r="B47" s="48" t="s">
        <v>279</v>
      </c>
      <c r="C47" s="48"/>
      <c r="D47" s="48"/>
      <c r="E47" s="48"/>
      <c r="F47" s="66"/>
      <c r="H47" s="159" t="s">
        <v>359</v>
      </c>
      <c r="I47" s="159"/>
      <c r="J47" s="159"/>
      <c r="K47" s="159"/>
      <c r="L47" s="159"/>
      <c r="M47" s="159"/>
      <c r="N47" s="159"/>
      <c r="O47" s="159"/>
      <c r="P47" s="159"/>
      <c r="Q47" s="159"/>
      <c r="R47" s="126">
        <f>+R48+R49</f>
        <v>364</v>
      </c>
      <c r="T47" s="89" t="str">
        <f t="shared" si="1"/>
        <v>Interior Doors and Trim</v>
      </c>
      <c r="U47" s="57">
        <f t="shared" si="3"/>
        <v>0</v>
      </c>
      <c r="V47" s="72">
        <f t="shared" si="2"/>
        <v>0</v>
      </c>
    </row>
    <row r="48" spans="2:22" x14ac:dyDescent="0.25">
      <c r="B48" s="49" t="s">
        <v>366</v>
      </c>
      <c r="C48">
        <v>90</v>
      </c>
      <c r="D48" s="87" t="s">
        <v>40</v>
      </c>
      <c r="E48" s="11">
        <f>+SPECS!I16</f>
        <v>3.0132000000000003</v>
      </c>
      <c r="F48" s="108">
        <f t="shared" si="17"/>
        <v>271.18800000000005</v>
      </c>
      <c r="H48" s="132" t="s">
        <v>421</v>
      </c>
      <c r="I48" s="116">
        <f>+'HOUSE EST MODEL 1'!$C$40+'HOUSE EST MODEL 1'!$C$41</f>
        <v>5</v>
      </c>
      <c r="J48" s="133" t="s">
        <v>324</v>
      </c>
      <c r="K48" s="133">
        <v>3.7</v>
      </c>
      <c r="L48" s="133">
        <v>2.8</v>
      </c>
      <c r="M48" s="136">
        <f t="shared" ref="M48:M49" si="22">+L48*I48</f>
        <v>14</v>
      </c>
      <c r="N48" s="137">
        <v>16</v>
      </c>
      <c r="O48" s="138">
        <v>1</v>
      </c>
      <c r="P48" s="139">
        <f>+M48/O48</f>
        <v>14</v>
      </c>
      <c r="Q48" s="140">
        <f>+P48/160</f>
        <v>8.7499999999999994E-2</v>
      </c>
      <c r="R48" s="141">
        <f>+N48*M48*O48</f>
        <v>224</v>
      </c>
      <c r="T48" t="str">
        <f t="shared" si="1"/>
        <v>Laborer</v>
      </c>
      <c r="U48" s="57">
        <f t="shared" si="3"/>
        <v>126</v>
      </c>
      <c r="V48" s="72">
        <f t="shared" si="2"/>
        <v>0.78749999999999998</v>
      </c>
    </row>
    <row r="49" spans="2:22" x14ac:dyDescent="0.25">
      <c r="B49" s="49" t="s">
        <v>367</v>
      </c>
      <c r="C49" s="57">
        <f>+F1-C48-C51</f>
        <v>264</v>
      </c>
      <c r="D49" s="87" t="s">
        <v>40</v>
      </c>
      <c r="E49" s="11">
        <f>+SPECS!I17</f>
        <v>4.4820000000000011</v>
      </c>
      <c r="F49" s="108">
        <f t="shared" si="17"/>
        <v>1183.2480000000003</v>
      </c>
      <c r="H49" s="132" t="s">
        <v>427</v>
      </c>
      <c r="I49" s="133">
        <f>+I48</f>
        <v>5</v>
      </c>
      <c r="J49" s="133" t="s">
        <v>324</v>
      </c>
      <c r="K49" s="133">
        <f>+K48</f>
        <v>3.7</v>
      </c>
      <c r="L49" s="133">
        <f>+L48</f>
        <v>2.8</v>
      </c>
      <c r="M49" s="136">
        <f t="shared" si="22"/>
        <v>14</v>
      </c>
      <c r="N49" s="137">
        <v>10</v>
      </c>
      <c r="O49" s="138">
        <v>1</v>
      </c>
      <c r="P49" s="139">
        <f>+M49/O49</f>
        <v>14</v>
      </c>
      <c r="Q49" s="140">
        <f>+P49/160</f>
        <v>8.7499999999999994E-2</v>
      </c>
      <c r="R49" s="141">
        <f>+N49*M49*O49</f>
        <v>140</v>
      </c>
      <c r="T49" t="str">
        <f t="shared" si="1"/>
        <v>Helper</v>
      </c>
      <c r="U49" s="57">
        <f t="shared" si="3"/>
        <v>126</v>
      </c>
      <c r="V49" s="72">
        <f t="shared" si="2"/>
        <v>0.78749999999999998</v>
      </c>
    </row>
    <row r="50" spans="2:22" x14ac:dyDescent="0.25">
      <c r="B50" s="48" t="s">
        <v>282</v>
      </c>
      <c r="C50" s="48"/>
      <c r="D50" s="48"/>
      <c r="E50" s="48"/>
      <c r="F50" s="66"/>
      <c r="H50" s="159" t="s">
        <v>364</v>
      </c>
      <c r="I50" s="159"/>
      <c r="J50" s="159"/>
      <c r="K50" s="159"/>
      <c r="L50" s="159"/>
      <c r="M50" s="159"/>
      <c r="N50" s="159"/>
      <c r="O50" s="159"/>
      <c r="P50" s="159"/>
      <c r="Q50" s="159"/>
      <c r="R50" s="126">
        <f>+R51+R52</f>
        <v>830.96</v>
      </c>
      <c r="T50" s="89" t="str">
        <f t="shared" si="1"/>
        <v>Painting</v>
      </c>
      <c r="U50" s="57">
        <f t="shared" si="3"/>
        <v>0</v>
      </c>
      <c r="V50" s="72">
        <f t="shared" si="2"/>
        <v>0</v>
      </c>
    </row>
    <row r="51" spans="2:22" x14ac:dyDescent="0.25">
      <c r="B51" s="49" t="s">
        <v>368</v>
      </c>
      <c r="C51">
        <v>21</v>
      </c>
      <c r="D51" s="87" t="s">
        <v>40</v>
      </c>
      <c r="E51" s="11">
        <f>+SPECS!I59</f>
        <v>4.6100000000000003</v>
      </c>
      <c r="F51" s="108">
        <f t="shared" si="17"/>
        <v>96.81</v>
      </c>
      <c r="H51" s="132" t="s">
        <v>421</v>
      </c>
      <c r="I51" s="116">
        <f>+'HOUSE EST MODEL 1'!$C$45+'HOUSE EST MODEL 1'!$C$46</f>
        <v>1880</v>
      </c>
      <c r="J51" s="133" t="s">
        <v>40</v>
      </c>
      <c r="K51" s="133">
        <v>1.7</v>
      </c>
      <c r="L51" s="133">
        <f>+K51/100</f>
        <v>1.7000000000000001E-2</v>
      </c>
      <c r="M51" s="136">
        <f t="shared" ref="M51:M52" si="23">+L51*I51</f>
        <v>31.96</v>
      </c>
      <c r="N51" s="137">
        <v>16</v>
      </c>
      <c r="O51" s="138">
        <v>1</v>
      </c>
      <c r="P51" s="139">
        <f>+M51/O51</f>
        <v>31.96</v>
      </c>
      <c r="Q51" s="140">
        <f>+P51/160</f>
        <v>0.19975000000000001</v>
      </c>
      <c r="R51" s="141">
        <f>+N51*M51*O51</f>
        <v>511.36</v>
      </c>
      <c r="T51" t="str">
        <f t="shared" si="1"/>
        <v>Laborer</v>
      </c>
      <c r="U51" s="57">
        <f t="shared" si="3"/>
        <v>287.64</v>
      </c>
      <c r="V51" s="72">
        <f t="shared" si="2"/>
        <v>1.7977500000000002</v>
      </c>
    </row>
    <row r="52" spans="2:22" x14ac:dyDescent="0.25">
      <c r="B52" s="49" t="s">
        <v>369</v>
      </c>
      <c r="C52">
        <f>8.5*9</f>
        <v>76.5</v>
      </c>
      <c r="D52" s="87" t="s">
        <v>40</v>
      </c>
      <c r="E52" s="11">
        <f>+SPECS!I61</f>
        <v>4.7300000000000004</v>
      </c>
      <c r="F52" s="108">
        <f t="shared" si="17"/>
        <v>361.84500000000003</v>
      </c>
      <c r="H52" s="132" t="s">
        <v>427</v>
      </c>
      <c r="I52" s="133">
        <f>+I51</f>
        <v>1880</v>
      </c>
      <c r="J52" s="133" t="s">
        <v>40</v>
      </c>
      <c r="K52" s="133">
        <f>+K51</f>
        <v>1.7</v>
      </c>
      <c r="L52" s="133">
        <f>+L51</f>
        <v>1.7000000000000001E-2</v>
      </c>
      <c r="M52" s="136">
        <f t="shared" si="23"/>
        <v>31.96</v>
      </c>
      <c r="N52" s="137">
        <v>10</v>
      </c>
      <c r="O52" s="138">
        <v>1</v>
      </c>
      <c r="P52" s="139">
        <f>+M52/O52</f>
        <v>31.96</v>
      </c>
      <c r="Q52" s="140">
        <f>+P52/160</f>
        <v>0.19975000000000001</v>
      </c>
      <c r="R52" s="141">
        <f>+N52*M52*O52</f>
        <v>319.60000000000002</v>
      </c>
      <c r="T52" t="str">
        <f t="shared" si="1"/>
        <v>Helper</v>
      </c>
      <c r="U52" s="57">
        <f t="shared" si="3"/>
        <v>287.64</v>
      </c>
      <c r="V52" s="72">
        <f t="shared" si="2"/>
        <v>1.7977500000000002</v>
      </c>
    </row>
    <row r="53" spans="2:22" x14ac:dyDescent="0.25">
      <c r="B53" s="49" t="s">
        <v>370</v>
      </c>
      <c r="C53">
        <v>7</v>
      </c>
      <c r="D53" s="87" t="s">
        <v>40</v>
      </c>
      <c r="E53" s="11">
        <f>+SPECS!I60</f>
        <v>4.5599999999999996</v>
      </c>
      <c r="F53" s="108">
        <f t="shared" si="17"/>
        <v>31.919999999999998</v>
      </c>
      <c r="H53" s="159" t="s">
        <v>279</v>
      </c>
      <c r="I53" s="159"/>
      <c r="J53" s="159"/>
      <c r="K53" s="159"/>
      <c r="L53" s="159"/>
      <c r="M53" s="159"/>
      <c r="N53" s="159"/>
      <c r="O53" s="159"/>
      <c r="P53" s="159"/>
      <c r="Q53" s="159"/>
      <c r="R53" s="126">
        <f>+R54+R55</f>
        <v>625.87200000000007</v>
      </c>
      <c r="T53" s="89" t="str">
        <f t="shared" si="1"/>
        <v>Flooring</v>
      </c>
      <c r="U53" s="57">
        <f t="shared" si="3"/>
        <v>0</v>
      </c>
      <c r="V53" s="72">
        <f t="shared" si="2"/>
        <v>0</v>
      </c>
    </row>
    <row r="54" spans="2:22" x14ac:dyDescent="0.25">
      <c r="B54" s="48" t="s">
        <v>371</v>
      </c>
      <c r="C54" s="48"/>
      <c r="D54" s="48"/>
      <c r="E54" s="48"/>
      <c r="F54" s="66"/>
      <c r="H54" s="132" t="s">
        <v>421</v>
      </c>
      <c r="I54" s="136">
        <f>+'HOUSE EST MODEL 1'!$C$48+'HOUSE EST MODEL 1'!$C$49</f>
        <v>354</v>
      </c>
      <c r="J54" s="133" t="s">
        <v>40</v>
      </c>
      <c r="K54" s="133">
        <v>6.8</v>
      </c>
      <c r="L54" s="133">
        <f>+K54/100</f>
        <v>6.8000000000000005E-2</v>
      </c>
      <c r="M54" s="136">
        <f t="shared" ref="M54:M55" si="24">+L54*I54</f>
        <v>24.072000000000003</v>
      </c>
      <c r="N54" s="137">
        <v>16</v>
      </c>
      <c r="O54" s="138">
        <v>1</v>
      </c>
      <c r="P54" s="139">
        <f>+M54/O54</f>
        <v>24.072000000000003</v>
      </c>
      <c r="Q54" s="140">
        <f>+P54/160</f>
        <v>0.15045000000000003</v>
      </c>
      <c r="R54" s="141">
        <f>+N54*M54*O54</f>
        <v>385.15200000000004</v>
      </c>
      <c r="T54" t="str">
        <f t="shared" si="1"/>
        <v>Laborer</v>
      </c>
      <c r="U54" s="57">
        <f t="shared" si="3"/>
        <v>216.64800000000002</v>
      </c>
      <c r="V54" s="72">
        <f t="shared" si="2"/>
        <v>1.3540500000000002</v>
      </c>
    </row>
    <row r="55" spans="2:22" x14ac:dyDescent="0.25">
      <c r="B55" s="49" t="s">
        <v>372</v>
      </c>
      <c r="C55">
        <v>30</v>
      </c>
      <c r="D55" s="87" t="s">
        <v>40</v>
      </c>
      <c r="E55" s="11">
        <f>+SPECS!I58</f>
        <v>4.3</v>
      </c>
      <c r="F55" s="108">
        <f t="shared" si="17"/>
        <v>129</v>
      </c>
      <c r="H55" s="132" t="s">
        <v>427</v>
      </c>
      <c r="I55" s="133">
        <f>+I54</f>
        <v>354</v>
      </c>
      <c r="J55" s="133" t="s">
        <v>40</v>
      </c>
      <c r="K55" s="133">
        <f>+K54</f>
        <v>6.8</v>
      </c>
      <c r="L55" s="133">
        <f>+L54</f>
        <v>6.8000000000000005E-2</v>
      </c>
      <c r="M55" s="136">
        <f t="shared" si="24"/>
        <v>24.072000000000003</v>
      </c>
      <c r="N55" s="137">
        <v>10</v>
      </c>
      <c r="O55" s="138">
        <v>1</v>
      </c>
      <c r="P55" s="139">
        <f>+M55/O55</f>
        <v>24.072000000000003</v>
      </c>
      <c r="Q55" s="140">
        <f>+P55/160</f>
        <v>0.15045000000000003</v>
      </c>
      <c r="R55" s="141">
        <f>+N55*M55*O55</f>
        <v>240.72000000000003</v>
      </c>
      <c r="T55" t="str">
        <f t="shared" si="1"/>
        <v>Helper</v>
      </c>
      <c r="U55" s="57">
        <f t="shared" si="3"/>
        <v>216.64800000000002</v>
      </c>
      <c r="V55" s="72">
        <f t="shared" si="2"/>
        <v>1.3540500000000002</v>
      </c>
    </row>
    <row r="56" spans="2:22" x14ac:dyDescent="0.25">
      <c r="B56" s="48" t="s">
        <v>373</v>
      </c>
      <c r="C56" s="48"/>
      <c r="D56" s="48"/>
      <c r="E56" s="48"/>
      <c r="F56" s="66"/>
      <c r="H56" s="159" t="s">
        <v>282</v>
      </c>
      <c r="I56" s="159"/>
      <c r="J56" s="159"/>
      <c r="K56" s="159"/>
      <c r="L56" s="159"/>
      <c r="M56" s="159"/>
      <c r="N56" s="159"/>
      <c r="O56" s="159"/>
      <c r="P56" s="159"/>
      <c r="Q56" s="159"/>
      <c r="R56" s="126">
        <f>+R57+R58</f>
        <v>214.64299999999997</v>
      </c>
      <c r="T56" s="89" t="str">
        <f t="shared" si="1"/>
        <v>Bathroom Tiling</v>
      </c>
      <c r="U56" s="57">
        <f t="shared" si="3"/>
        <v>0</v>
      </c>
      <c r="V56" s="72">
        <f t="shared" si="2"/>
        <v>0</v>
      </c>
    </row>
    <row r="57" spans="2:22" x14ac:dyDescent="0.25">
      <c r="B57" s="49" t="s">
        <v>374</v>
      </c>
      <c r="C57">
        <v>2</v>
      </c>
      <c r="D57" t="s">
        <v>324</v>
      </c>
      <c r="E57" s="11">
        <v>550</v>
      </c>
      <c r="F57" s="108">
        <f t="shared" si="17"/>
        <v>1100</v>
      </c>
      <c r="H57" s="132" t="s">
        <v>421</v>
      </c>
      <c r="I57" s="136">
        <f>+'HOUSE EST MODEL 1'!$C$51+'HOUSE EST MODEL 1'!$C$52+'HOUSE EST MODEL 1'!$C$53</f>
        <v>104.5</v>
      </c>
      <c r="J57" s="133" t="s">
        <v>40</v>
      </c>
      <c r="K57" s="133">
        <v>7.9</v>
      </c>
      <c r="L57" s="133">
        <f>+K57/100</f>
        <v>7.9000000000000001E-2</v>
      </c>
      <c r="M57" s="136">
        <f t="shared" ref="M57:M58" si="25">+L57*I57</f>
        <v>8.2554999999999996</v>
      </c>
      <c r="N57" s="137">
        <v>16</v>
      </c>
      <c r="O57" s="138">
        <v>1</v>
      </c>
      <c r="P57" s="139">
        <f>+M57/O57</f>
        <v>8.2554999999999996</v>
      </c>
      <c r="Q57" s="140">
        <f>+P57/160</f>
        <v>5.1596875E-2</v>
      </c>
      <c r="R57" s="141">
        <f>+N57*M57*O57</f>
        <v>132.08799999999999</v>
      </c>
      <c r="T57" t="str">
        <f t="shared" si="1"/>
        <v>Laborer</v>
      </c>
      <c r="U57" s="57">
        <f t="shared" si="3"/>
        <v>74.299499999999995</v>
      </c>
      <c r="V57" s="72">
        <f t="shared" si="2"/>
        <v>0.46437187499999999</v>
      </c>
    </row>
    <row r="58" spans="2:22" x14ac:dyDescent="0.25">
      <c r="B58" s="49" t="s">
        <v>375</v>
      </c>
      <c r="C58">
        <v>2</v>
      </c>
      <c r="D58" t="s">
        <v>324</v>
      </c>
      <c r="E58" s="11">
        <v>450</v>
      </c>
      <c r="F58" s="108">
        <f t="shared" si="17"/>
        <v>900</v>
      </c>
      <c r="H58" s="132" t="s">
        <v>427</v>
      </c>
      <c r="I58" s="148">
        <f>+I57</f>
        <v>104.5</v>
      </c>
      <c r="J58" s="133" t="s">
        <v>40</v>
      </c>
      <c r="K58" s="133">
        <f>+K57</f>
        <v>7.9</v>
      </c>
      <c r="L58" s="133">
        <f>+L57</f>
        <v>7.9000000000000001E-2</v>
      </c>
      <c r="M58" s="136">
        <f t="shared" si="25"/>
        <v>8.2554999999999996</v>
      </c>
      <c r="N58" s="137">
        <v>10</v>
      </c>
      <c r="O58" s="138">
        <v>1</v>
      </c>
      <c r="P58" s="139">
        <f>+M58/O58</f>
        <v>8.2554999999999996</v>
      </c>
      <c r="Q58" s="140">
        <f>+P58/160</f>
        <v>5.1596875E-2</v>
      </c>
      <c r="R58" s="141">
        <f>+N58*M58*O58</f>
        <v>82.554999999999993</v>
      </c>
      <c r="T58" t="str">
        <f t="shared" si="1"/>
        <v>Helper</v>
      </c>
      <c r="U58" s="57">
        <f t="shared" si="3"/>
        <v>74.299499999999995</v>
      </c>
      <c r="V58" s="72">
        <f t="shared" si="2"/>
        <v>0.46437187499999999</v>
      </c>
    </row>
    <row r="59" spans="2:22" x14ac:dyDescent="0.25">
      <c r="B59" s="48" t="s">
        <v>376</v>
      </c>
      <c r="C59" s="48"/>
      <c r="D59" s="48"/>
      <c r="E59" s="48"/>
      <c r="F59" s="66"/>
      <c r="H59" s="159" t="s">
        <v>371</v>
      </c>
      <c r="I59" s="159"/>
      <c r="J59" s="159"/>
      <c r="K59" s="159"/>
      <c r="L59" s="159"/>
      <c r="M59" s="159"/>
      <c r="N59" s="159"/>
      <c r="O59" s="159"/>
      <c r="P59" s="159"/>
      <c r="Q59" s="159"/>
      <c r="R59" s="126">
        <f>+R60+R61</f>
        <v>61.620000000000005</v>
      </c>
      <c r="T59" s="89" t="str">
        <f t="shared" si="1"/>
        <v>Kitchen Backsplash</v>
      </c>
      <c r="U59" s="57">
        <f t="shared" si="3"/>
        <v>0</v>
      </c>
      <c r="V59" s="72">
        <f t="shared" si="2"/>
        <v>0</v>
      </c>
    </row>
    <row r="60" spans="2:22" x14ac:dyDescent="0.25">
      <c r="B60" s="49" t="s">
        <v>377</v>
      </c>
      <c r="C60">
        <v>1</v>
      </c>
      <c r="D60" t="s">
        <v>324</v>
      </c>
      <c r="E60" s="11">
        <v>800</v>
      </c>
      <c r="F60" s="108">
        <f t="shared" si="17"/>
        <v>800</v>
      </c>
      <c r="H60" s="132" t="s">
        <v>421</v>
      </c>
      <c r="I60" s="136">
        <f>+'HOUSE EST MODEL 1'!$C$55</f>
        <v>30</v>
      </c>
      <c r="J60" s="133" t="s">
        <v>40</v>
      </c>
      <c r="K60" s="133">
        <v>7.9</v>
      </c>
      <c r="L60" s="133">
        <f>+K60/100</f>
        <v>7.9000000000000001E-2</v>
      </c>
      <c r="M60" s="136">
        <f t="shared" ref="M60:M61" si="26">+L60*I60</f>
        <v>2.37</v>
      </c>
      <c r="N60" s="137">
        <v>16</v>
      </c>
      <c r="O60" s="138">
        <v>1</v>
      </c>
      <c r="P60" s="139">
        <f>+M60/O60</f>
        <v>2.37</v>
      </c>
      <c r="Q60" s="140">
        <f>+P60/160</f>
        <v>1.4812500000000001E-2</v>
      </c>
      <c r="R60" s="141">
        <f>+N60*M60*O60</f>
        <v>37.92</v>
      </c>
      <c r="T60" t="str">
        <f t="shared" si="1"/>
        <v>Laborer</v>
      </c>
      <c r="U60" s="57">
        <f t="shared" si="3"/>
        <v>21.330000000000002</v>
      </c>
      <c r="V60" s="72">
        <f t="shared" si="2"/>
        <v>0.1333125</v>
      </c>
    </row>
    <row r="61" spans="2:22" x14ac:dyDescent="0.25">
      <c r="B61" s="48" t="s">
        <v>378</v>
      </c>
      <c r="C61" s="48"/>
      <c r="D61" s="48"/>
      <c r="E61" s="48"/>
      <c r="F61" s="66"/>
      <c r="H61" s="132" t="s">
        <v>427</v>
      </c>
      <c r="I61" s="148">
        <f>+I60</f>
        <v>30</v>
      </c>
      <c r="J61" s="133" t="s">
        <v>40</v>
      </c>
      <c r="K61" s="133">
        <f>+K60</f>
        <v>7.9</v>
      </c>
      <c r="L61" s="133">
        <f>+L60</f>
        <v>7.9000000000000001E-2</v>
      </c>
      <c r="M61" s="136">
        <f t="shared" si="26"/>
        <v>2.37</v>
      </c>
      <c r="N61" s="137">
        <v>10</v>
      </c>
      <c r="O61" s="138">
        <v>1</v>
      </c>
      <c r="P61" s="139">
        <f>+M61/O61</f>
        <v>2.37</v>
      </c>
      <c r="Q61" s="140">
        <f>+P61/160</f>
        <v>1.4812500000000001E-2</v>
      </c>
      <c r="R61" s="141">
        <f>+N61*M61*O61</f>
        <v>23.700000000000003</v>
      </c>
      <c r="T61" t="str">
        <f t="shared" si="1"/>
        <v>Helper</v>
      </c>
      <c r="U61" s="57">
        <f t="shared" si="3"/>
        <v>21.330000000000002</v>
      </c>
      <c r="V61" s="72">
        <f t="shared" si="2"/>
        <v>0.1333125</v>
      </c>
    </row>
    <row r="62" spans="2:22" x14ac:dyDescent="0.25">
      <c r="B62" s="49" t="s">
        <v>379</v>
      </c>
      <c r="C62">
        <v>45</v>
      </c>
      <c r="D62" t="s">
        <v>40</v>
      </c>
      <c r="E62" s="11">
        <f>+SPECS!I22</f>
        <v>52.92</v>
      </c>
      <c r="F62" s="108">
        <f>+C62*E62</f>
        <v>2381.4</v>
      </c>
      <c r="H62" s="159" t="s">
        <v>373</v>
      </c>
      <c r="I62" s="159"/>
      <c r="J62" s="159"/>
      <c r="K62" s="159"/>
      <c r="L62" s="159"/>
      <c r="M62" s="159"/>
      <c r="N62" s="159"/>
      <c r="O62" s="159"/>
      <c r="P62" s="159"/>
      <c r="Q62" s="159"/>
      <c r="R62" s="126">
        <f>+R63+R64</f>
        <v>156</v>
      </c>
      <c r="T62" s="89" t="str">
        <f t="shared" si="1"/>
        <v>Kitchen Cabinets</v>
      </c>
      <c r="U62" s="57">
        <f t="shared" si="3"/>
        <v>0</v>
      </c>
      <c r="V62" s="72">
        <f t="shared" si="2"/>
        <v>0</v>
      </c>
    </row>
    <row r="63" spans="2:22" x14ac:dyDescent="0.25">
      <c r="B63" s="48" t="s">
        <v>380</v>
      </c>
      <c r="C63" s="48"/>
      <c r="D63" s="48"/>
      <c r="E63" s="48"/>
      <c r="F63" s="66"/>
      <c r="H63" s="132" t="s">
        <v>421</v>
      </c>
      <c r="I63" s="136">
        <f>+'HOUSE EST MODEL 1'!$C$57</f>
        <v>2</v>
      </c>
      <c r="J63" s="116" t="s">
        <v>324</v>
      </c>
      <c r="K63" s="133"/>
      <c r="L63" s="133">
        <v>3</v>
      </c>
      <c r="M63" s="136">
        <f t="shared" ref="M63:M64" si="27">+L63*I63</f>
        <v>6</v>
      </c>
      <c r="N63" s="137">
        <v>16</v>
      </c>
      <c r="O63" s="138">
        <v>1</v>
      </c>
      <c r="P63" s="139">
        <f>+M63/O63</f>
        <v>6</v>
      </c>
      <c r="Q63" s="140">
        <f>+P63/160</f>
        <v>3.7499999999999999E-2</v>
      </c>
      <c r="R63" s="141">
        <f>+N63*M63*O63</f>
        <v>96</v>
      </c>
      <c r="T63" t="str">
        <f t="shared" si="1"/>
        <v>Laborer</v>
      </c>
      <c r="U63" s="57">
        <f t="shared" si="3"/>
        <v>54</v>
      </c>
      <c r="V63" s="72">
        <f t="shared" si="2"/>
        <v>0.33749999999999997</v>
      </c>
    </row>
    <row r="64" spans="2:22" x14ac:dyDescent="0.25">
      <c r="B64" s="49" t="s">
        <v>381</v>
      </c>
      <c r="C64">
        <v>3</v>
      </c>
      <c r="D64" s="87" t="s">
        <v>324</v>
      </c>
      <c r="E64" s="11">
        <f>+SPECS!I35</f>
        <v>10.8</v>
      </c>
      <c r="F64" s="108">
        <f t="shared" ref="F64:F85" si="28">+C64*E64</f>
        <v>32.400000000000006</v>
      </c>
      <c r="H64" s="132" t="s">
        <v>427</v>
      </c>
      <c r="I64" s="148">
        <f>+I63</f>
        <v>2</v>
      </c>
      <c r="J64" s="116" t="s">
        <v>324</v>
      </c>
      <c r="K64" s="133"/>
      <c r="L64" s="133">
        <f>+L63</f>
        <v>3</v>
      </c>
      <c r="M64" s="136">
        <f t="shared" si="27"/>
        <v>6</v>
      </c>
      <c r="N64" s="137">
        <v>10</v>
      </c>
      <c r="O64" s="138">
        <v>1</v>
      </c>
      <c r="P64" s="139">
        <f>+M64/O64</f>
        <v>6</v>
      </c>
      <c r="Q64" s="140">
        <f>+P64/160</f>
        <v>3.7499999999999999E-2</v>
      </c>
      <c r="R64" s="141">
        <f>+N64*M64*O64</f>
        <v>60</v>
      </c>
      <c r="T64" t="str">
        <f t="shared" si="1"/>
        <v>Helper</v>
      </c>
      <c r="U64" s="57">
        <f t="shared" si="3"/>
        <v>54</v>
      </c>
      <c r="V64" s="72">
        <f t="shared" si="2"/>
        <v>0.33749999999999997</v>
      </c>
    </row>
    <row r="65" spans="2:22" x14ac:dyDescent="0.25">
      <c r="B65" s="49" t="s">
        <v>382</v>
      </c>
      <c r="C65">
        <v>1</v>
      </c>
      <c r="D65" s="87" t="s">
        <v>324</v>
      </c>
      <c r="E65" s="11">
        <f>+SPECS!I36</f>
        <v>38.869200000000006</v>
      </c>
      <c r="F65" s="108">
        <f t="shared" si="28"/>
        <v>38.869200000000006</v>
      </c>
      <c r="H65" s="159" t="s">
        <v>376</v>
      </c>
      <c r="I65" s="159"/>
      <c r="J65" s="159"/>
      <c r="K65" s="159"/>
      <c r="L65" s="159"/>
      <c r="M65" s="159"/>
      <c r="N65" s="159"/>
      <c r="O65" s="159"/>
      <c r="P65" s="159"/>
      <c r="Q65" s="159"/>
      <c r="R65" s="126">
        <f>+R66+R67</f>
        <v>78</v>
      </c>
      <c r="T65" s="89" t="str">
        <f t="shared" si="1"/>
        <v>Bathroom Cabinets</v>
      </c>
      <c r="U65" s="57">
        <f t="shared" si="3"/>
        <v>0</v>
      </c>
      <c r="V65" s="72">
        <f t="shared" si="2"/>
        <v>0</v>
      </c>
    </row>
    <row r="66" spans="2:22" x14ac:dyDescent="0.25">
      <c r="B66" s="49" t="s">
        <v>383</v>
      </c>
      <c r="C66">
        <v>20</v>
      </c>
      <c r="D66" s="87" t="s">
        <v>324</v>
      </c>
      <c r="E66" s="11">
        <f>+SPECS!I39</f>
        <v>2.1384000000000003</v>
      </c>
      <c r="F66" s="108">
        <f t="shared" si="28"/>
        <v>42.768000000000008</v>
      </c>
      <c r="H66" s="132" t="s">
        <v>421</v>
      </c>
      <c r="I66" s="136">
        <f>+'HOUSE EST MODEL 1'!$C$60</f>
        <v>1</v>
      </c>
      <c r="J66" s="116" t="s">
        <v>324</v>
      </c>
      <c r="K66" s="133"/>
      <c r="L66" s="133">
        <v>3</v>
      </c>
      <c r="M66" s="136">
        <f t="shared" ref="M66:M67" si="29">+L66*I66</f>
        <v>3</v>
      </c>
      <c r="N66" s="137">
        <v>16</v>
      </c>
      <c r="O66" s="138">
        <v>1</v>
      </c>
      <c r="P66" s="139">
        <f>+M66/O66</f>
        <v>3</v>
      </c>
      <c r="Q66" s="140">
        <f>+P66/160</f>
        <v>1.8749999999999999E-2</v>
      </c>
      <c r="R66" s="141">
        <f>+N66*M66*O66</f>
        <v>48</v>
      </c>
      <c r="T66" t="str">
        <f t="shared" si="1"/>
        <v>Laborer</v>
      </c>
      <c r="U66" s="57">
        <f t="shared" si="3"/>
        <v>27</v>
      </c>
      <c r="V66" s="72">
        <f t="shared" si="2"/>
        <v>0.16874999999999998</v>
      </c>
    </row>
    <row r="67" spans="2:22" x14ac:dyDescent="0.25">
      <c r="B67" s="49" t="s">
        <v>384</v>
      </c>
      <c r="C67">
        <f>+C64+C65</f>
        <v>4</v>
      </c>
      <c r="D67" s="87" t="s">
        <v>324</v>
      </c>
      <c r="E67" s="11">
        <f>+SPECS!I55</f>
        <v>0.68310000000000004</v>
      </c>
      <c r="F67" s="108">
        <f t="shared" si="28"/>
        <v>2.7324000000000002</v>
      </c>
      <c r="H67" s="132" t="s">
        <v>427</v>
      </c>
      <c r="I67" s="148">
        <f>+I66</f>
        <v>1</v>
      </c>
      <c r="J67" s="116" t="s">
        <v>324</v>
      </c>
      <c r="K67" s="133"/>
      <c r="L67" s="133">
        <f>+L66</f>
        <v>3</v>
      </c>
      <c r="M67" s="136">
        <f t="shared" si="29"/>
        <v>3</v>
      </c>
      <c r="N67" s="137">
        <v>10</v>
      </c>
      <c r="O67" s="138">
        <v>1</v>
      </c>
      <c r="P67" s="139">
        <f>+M67/O67</f>
        <v>3</v>
      </c>
      <c r="Q67" s="140">
        <f>+P67/160</f>
        <v>1.8749999999999999E-2</v>
      </c>
      <c r="R67" s="141">
        <f>+N67*M67*O67</f>
        <v>30</v>
      </c>
      <c r="T67" t="str">
        <f t="shared" si="1"/>
        <v>Helper</v>
      </c>
      <c r="U67" s="57">
        <f t="shared" si="3"/>
        <v>27</v>
      </c>
      <c r="V67" s="72">
        <f t="shared" si="2"/>
        <v>0.16874999999999998</v>
      </c>
    </row>
    <row r="68" spans="2:22" x14ac:dyDescent="0.25">
      <c r="B68" s="49" t="s">
        <v>385</v>
      </c>
      <c r="C68">
        <v>1</v>
      </c>
      <c r="D68" s="87" t="s">
        <v>324</v>
      </c>
      <c r="E68" s="11">
        <f>+SPECS!I14</f>
        <v>32.378399999999999</v>
      </c>
      <c r="F68" s="108">
        <f t="shared" si="28"/>
        <v>32.378399999999999</v>
      </c>
      <c r="H68" s="159" t="s">
        <v>378</v>
      </c>
      <c r="I68" s="159"/>
      <c r="J68" s="159"/>
      <c r="K68" s="159"/>
      <c r="L68" s="159"/>
      <c r="M68" s="159"/>
      <c r="N68" s="159"/>
      <c r="O68" s="159"/>
      <c r="P68" s="159"/>
      <c r="Q68" s="159"/>
      <c r="R68" s="126">
        <f>+R69+R70</f>
        <v>58.5</v>
      </c>
      <c r="T68" s="89" t="str">
        <f t="shared" si="1"/>
        <v>Countertops</v>
      </c>
      <c r="U68" s="57">
        <f t="shared" si="3"/>
        <v>0</v>
      </c>
      <c r="V68" s="72">
        <f t="shared" si="2"/>
        <v>0</v>
      </c>
    </row>
    <row r="69" spans="2:22" x14ac:dyDescent="0.25">
      <c r="B69" s="49" t="s">
        <v>386</v>
      </c>
      <c r="C69">
        <v>3</v>
      </c>
      <c r="D69" s="87" t="s">
        <v>324</v>
      </c>
      <c r="E69" s="11">
        <f>+SPECS!I8</f>
        <v>10.797300000000002</v>
      </c>
      <c r="F69" s="108">
        <f t="shared" si="28"/>
        <v>32.391900000000007</v>
      </c>
      <c r="H69" s="132" t="s">
        <v>421</v>
      </c>
      <c r="I69" s="116">
        <f>+'HOUSE EST MODEL 1'!$C$62</f>
        <v>45</v>
      </c>
      <c r="J69" s="116" t="s">
        <v>40</v>
      </c>
      <c r="K69" s="116"/>
      <c r="L69" s="133">
        <v>0.05</v>
      </c>
      <c r="M69" s="136">
        <f t="shared" ref="M69:M70" si="30">+L69*I69</f>
        <v>2.25</v>
      </c>
      <c r="N69" s="137">
        <v>16</v>
      </c>
      <c r="O69" s="138">
        <v>1</v>
      </c>
      <c r="P69" s="139">
        <f>+M69/O69</f>
        <v>2.25</v>
      </c>
      <c r="Q69" s="140">
        <f>+P69/160</f>
        <v>1.40625E-2</v>
      </c>
      <c r="R69" s="141">
        <f>+N69*M69*O69</f>
        <v>36</v>
      </c>
      <c r="T69" t="str">
        <f t="shared" si="1"/>
        <v>Laborer</v>
      </c>
      <c r="U69" s="57">
        <f t="shared" si="3"/>
        <v>20.25</v>
      </c>
      <c r="V69" s="72">
        <f t="shared" si="2"/>
        <v>0.12656249999999999</v>
      </c>
    </row>
    <row r="70" spans="2:22" x14ac:dyDescent="0.25">
      <c r="B70" s="48" t="s">
        <v>304</v>
      </c>
      <c r="C70" s="48"/>
      <c r="D70" s="48"/>
      <c r="E70" s="48"/>
      <c r="F70" s="66"/>
      <c r="H70" s="132" t="s">
        <v>427</v>
      </c>
      <c r="I70" s="116">
        <f>+I69</f>
        <v>45</v>
      </c>
      <c r="J70" s="116" t="s">
        <v>40</v>
      </c>
      <c r="K70" s="116"/>
      <c r="L70" s="133">
        <f>+L69</f>
        <v>0.05</v>
      </c>
      <c r="M70" s="136">
        <f t="shared" si="30"/>
        <v>2.25</v>
      </c>
      <c r="N70" s="137">
        <v>10</v>
      </c>
      <c r="O70" s="138">
        <v>1</v>
      </c>
      <c r="P70" s="139">
        <f>+M70/O70</f>
        <v>2.25</v>
      </c>
      <c r="Q70" s="140">
        <f>+P70/160</f>
        <v>1.40625E-2</v>
      </c>
      <c r="R70" s="141">
        <f>+N70*M70*O70</f>
        <v>22.5</v>
      </c>
      <c r="T70" t="str">
        <f t="shared" si="1"/>
        <v>Helper</v>
      </c>
      <c r="U70" s="57">
        <f t="shared" si="3"/>
        <v>20.25</v>
      </c>
      <c r="V70" s="72">
        <f t="shared" si="2"/>
        <v>0.12656249999999999</v>
      </c>
    </row>
    <row r="71" spans="2:22" x14ac:dyDescent="0.25">
      <c r="B71" s="49" t="s">
        <v>387</v>
      </c>
      <c r="C71">
        <v>1</v>
      </c>
      <c r="D71" s="87" t="s">
        <v>324</v>
      </c>
      <c r="E71" s="11">
        <f>+SPECS!I18</f>
        <v>1294.92</v>
      </c>
      <c r="F71" s="108">
        <f t="shared" si="28"/>
        <v>1294.92</v>
      </c>
      <c r="H71" s="159" t="s">
        <v>380</v>
      </c>
      <c r="I71" s="159"/>
      <c r="J71" s="159"/>
      <c r="K71" s="159"/>
      <c r="L71" s="159"/>
      <c r="M71" s="159"/>
      <c r="N71" s="159"/>
      <c r="O71" s="159"/>
      <c r="P71" s="159"/>
      <c r="Q71" s="159"/>
      <c r="R71" s="126">
        <f>+R72+R73</f>
        <v>208</v>
      </c>
      <c r="T71" s="89" t="str">
        <f t="shared" ref="T71:T83" si="31">+H71</f>
        <v>House Hardware</v>
      </c>
      <c r="U71" s="57">
        <f t="shared" si="3"/>
        <v>0</v>
      </c>
      <c r="V71" s="72">
        <f t="shared" ref="V71:V83" si="32">+Q71*$U$1</f>
        <v>0</v>
      </c>
    </row>
    <row r="72" spans="2:22" x14ac:dyDescent="0.25">
      <c r="B72" s="49" t="s">
        <v>388</v>
      </c>
      <c r="C72">
        <v>1</v>
      </c>
      <c r="D72" s="87" t="s">
        <v>324</v>
      </c>
      <c r="E72" s="11">
        <f>+SPECS!I19</f>
        <v>538.92000000000007</v>
      </c>
      <c r="F72" s="108">
        <f t="shared" si="28"/>
        <v>538.92000000000007</v>
      </c>
      <c r="H72" s="132" t="s">
        <v>421</v>
      </c>
      <c r="I72" s="116">
        <f>+SUM('HOUSE EST MODEL 1'!$C$64:$C$69)</f>
        <v>32</v>
      </c>
      <c r="J72" s="116" t="s">
        <v>324</v>
      </c>
      <c r="K72" s="116"/>
      <c r="L72" s="133">
        <f>15/60</f>
        <v>0.25</v>
      </c>
      <c r="M72" s="136">
        <f t="shared" ref="M72:M73" si="33">+L72*I72</f>
        <v>8</v>
      </c>
      <c r="N72" s="137">
        <v>16</v>
      </c>
      <c r="O72" s="138">
        <v>1</v>
      </c>
      <c r="P72" s="139">
        <f>+M72/O72</f>
        <v>8</v>
      </c>
      <c r="Q72" s="140">
        <f>+P72/160</f>
        <v>0.05</v>
      </c>
      <c r="R72" s="141">
        <f>+N72*M72*O72</f>
        <v>128</v>
      </c>
      <c r="T72" t="str">
        <f t="shared" si="31"/>
        <v>Laborer</v>
      </c>
      <c r="U72" s="57">
        <f t="shared" ref="U72:U83" si="34">+P72*$U$1</f>
        <v>72</v>
      </c>
      <c r="V72" s="72">
        <f t="shared" si="32"/>
        <v>0.45</v>
      </c>
    </row>
    <row r="73" spans="2:22" x14ac:dyDescent="0.25">
      <c r="B73" s="49" t="s">
        <v>389</v>
      </c>
      <c r="C73">
        <v>1</v>
      </c>
      <c r="D73" s="87" t="s">
        <v>324</v>
      </c>
      <c r="E73" s="11">
        <f>+SPECS!I20</f>
        <v>592.92000000000007</v>
      </c>
      <c r="F73" s="108">
        <f t="shared" si="28"/>
        <v>592.92000000000007</v>
      </c>
      <c r="H73" s="132" t="s">
        <v>427</v>
      </c>
      <c r="I73" s="116">
        <f>+I72</f>
        <v>32</v>
      </c>
      <c r="J73" s="116" t="s">
        <v>324</v>
      </c>
      <c r="K73" s="116"/>
      <c r="L73" s="133">
        <f>+L72</f>
        <v>0.25</v>
      </c>
      <c r="M73" s="136">
        <f t="shared" si="33"/>
        <v>8</v>
      </c>
      <c r="N73" s="137">
        <v>10</v>
      </c>
      <c r="O73" s="138">
        <v>1</v>
      </c>
      <c r="P73" s="139">
        <f>+M73/O73</f>
        <v>8</v>
      </c>
      <c r="Q73" s="140">
        <f>+P73/160</f>
        <v>0.05</v>
      </c>
      <c r="R73" s="141">
        <f>+N73*M73*O73</f>
        <v>80</v>
      </c>
      <c r="T73" t="str">
        <f t="shared" si="31"/>
        <v>Helper</v>
      </c>
      <c r="U73" s="57">
        <f t="shared" si="34"/>
        <v>72</v>
      </c>
      <c r="V73" s="72">
        <f t="shared" si="32"/>
        <v>0.45</v>
      </c>
    </row>
    <row r="74" spans="2:22" x14ac:dyDescent="0.25">
      <c r="B74" s="49" t="s">
        <v>390</v>
      </c>
      <c r="C74">
        <v>1</v>
      </c>
      <c r="D74" s="87" t="s">
        <v>324</v>
      </c>
      <c r="E74" s="11">
        <f>+SPECS!I21</f>
        <v>431.98920000000004</v>
      </c>
      <c r="F74" s="108">
        <f t="shared" si="28"/>
        <v>431.98920000000004</v>
      </c>
      <c r="H74" s="159" t="s">
        <v>304</v>
      </c>
      <c r="I74" s="159"/>
      <c r="J74" s="159"/>
      <c r="K74" s="159"/>
      <c r="L74" s="159"/>
      <c r="M74" s="159"/>
      <c r="N74" s="159"/>
      <c r="O74" s="159"/>
      <c r="P74" s="159"/>
      <c r="Q74" s="159"/>
      <c r="R74" s="126">
        <f>+R75+R76</f>
        <v>104</v>
      </c>
      <c r="T74" s="89" t="str">
        <f t="shared" si="31"/>
        <v>Appliances</v>
      </c>
      <c r="U74" s="57">
        <f t="shared" si="34"/>
        <v>0</v>
      </c>
      <c r="V74" s="72">
        <f t="shared" si="32"/>
        <v>0</v>
      </c>
    </row>
    <row r="75" spans="2:22" x14ac:dyDescent="0.25">
      <c r="B75" s="48" t="s">
        <v>391</v>
      </c>
      <c r="C75" s="48"/>
      <c r="D75" s="48"/>
      <c r="E75" s="48"/>
      <c r="F75" s="66"/>
      <c r="H75" s="132" t="s">
        <v>421</v>
      </c>
      <c r="I75" s="116">
        <f>+SUM('HOUSE EST MODEL 1'!$C$71:$C$74)</f>
        <v>4</v>
      </c>
      <c r="J75" s="116" t="s">
        <v>324</v>
      </c>
      <c r="K75" s="116"/>
      <c r="L75" s="133">
        <v>1</v>
      </c>
      <c r="M75" s="136">
        <f t="shared" ref="M75:M76" si="35">+L75*I75</f>
        <v>4</v>
      </c>
      <c r="N75" s="137">
        <v>16</v>
      </c>
      <c r="O75" s="138">
        <v>1</v>
      </c>
      <c r="P75" s="139">
        <f>+M75/O75</f>
        <v>4</v>
      </c>
      <c r="Q75" s="140">
        <f>+P75/160</f>
        <v>2.5000000000000001E-2</v>
      </c>
      <c r="R75" s="141">
        <f>+N75*M75*O75</f>
        <v>64</v>
      </c>
      <c r="T75" t="str">
        <f t="shared" si="31"/>
        <v>Laborer</v>
      </c>
      <c r="U75" s="57">
        <f t="shared" si="34"/>
        <v>36</v>
      </c>
      <c r="V75" s="72">
        <f t="shared" si="32"/>
        <v>0.22500000000000001</v>
      </c>
    </row>
    <row r="76" spans="2:22" x14ac:dyDescent="0.25">
      <c r="B76" s="49" t="s">
        <v>392</v>
      </c>
      <c r="C76">
        <v>1</v>
      </c>
      <c r="D76" s="87" t="s">
        <v>324</v>
      </c>
      <c r="E76" s="11">
        <f>+SPECS!I41</f>
        <v>432.30239999999998</v>
      </c>
      <c r="F76" s="108">
        <f t="shared" si="28"/>
        <v>432.30239999999998</v>
      </c>
      <c r="H76" s="132" t="s">
        <v>427</v>
      </c>
      <c r="I76" s="116">
        <f>+I75</f>
        <v>4</v>
      </c>
      <c r="J76" s="116" t="s">
        <v>324</v>
      </c>
      <c r="K76" s="116"/>
      <c r="L76" s="133">
        <f>+L75</f>
        <v>1</v>
      </c>
      <c r="M76" s="136">
        <f t="shared" si="35"/>
        <v>4</v>
      </c>
      <c r="N76" s="137">
        <v>10</v>
      </c>
      <c r="O76" s="138">
        <v>1</v>
      </c>
      <c r="P76" s="139">
        <f>+M76/O76</f>
        <v>4</v>
      </c>
      <c r="Q76" s="140">
        <f>+P76/160</f>
        <v>2.5000000000000001E-2</v>
      </c>
      <c r="R76" s="141">
        <f>+N76*M76*O76</f>
        <v>40</v>
      </c>
      <c r="T76" t="str">
        <f t="shared" si="31"/>
        <v>Helper</v>
      </c>
      <c r="U76" s="57">
        <f t="shared" si="34"/>
        <v>36</v>
      </c>
      <c r="V76" s="72">
        <f t="shared" si="32"/>
        <v>0.22500000000000001</v>
      </c>
    </row>
    <row r="77" spans="2:22" x14ac:dyDescent="0.25">
      <c r="B77" s="49" t="s">
        <v>393</v>
      </c>
      <c r="C77">
        <v>1</v>
      </c>
      <c r="D77" s="87" t="s">
        <v>324</v>
      </c>
      <c r="E77" s="11">
        <f>+SPECS!I42</f>
        <v>139.61160000000001</v>
      </c>
      <c r="F77" s="108">
        <f t="shared" si="28"/>
        <v>139.61160000000001</v>
      </c>
      <c r="H77" s="159" t="s">
        <v>391</v>
      </c>
      <c r="I77" s="159"/>
      <c r="J77" s="159"/>
      <c r="K77" s="159"/>
      <c r="L77" s="159"/>
      <c r="M77" s="159"/>
      <c r="N77" s="159"/>
      <c r="O77" s="159"/>
      <c r="P77" s="159"/>
      <c r="Q77" s="159"/>
      <c r="R77" s="126">
        <f>+R78+R79</f>
        <v>130</v>
      </c>
      <c r="T77" s="89" t="str">
        <f t="shared" si="31"/>
        <v>Plumbing Fixtures</v>
      </c>
      <c r="U77" s="57">
        <f t="shared" si="34"/>
        <v>0</v>
      </c>
      <c r="V77" s="72">
        <f t="shared" si="32"/>
        <v>0</v>
      </c>
    </row>
    <row r="78" spans="2:22" x14ac:dyDescent="0.25">
      <c r="B78" s="49" t="s">
        <v>394</v>
      </c>
      <c r="C78">
        <v>1</v>
      </c>
      <c r="D78" s="87" t="s">
        <v>324</v>
      </c>
      <c r="E78" s="11">
        <f>+SPECS!I40</f>
        <v>187.0128</v>
      </c>
      <c r="F78" s="108">
        <f t="shared" si="28"/>
        <v>187.0128</v>
      </c>
      <c r="H78" s="132" t="s">
        <v>421</v>
      </c>
      <c r="I78" s="116">
        <f>+SUM('HOUSE EST MODEL 1'!$C$76:$C$85)</f>
        <v>10</v>
      </c>
      <c r="J78" s="116" t="s">
        <v>324</v>
      </c>
      <c r="K78" s="116"/>
      <c r="L78" s="133">
        <v>0.5</v>
      </c>
      <c r="M78" s="136">
        <f t="shared" ref="M78:M79" si="36">+L78*I78</f>
        <v>5</v>
      </c>
      <c r="N78" s="137">
        <v>16</v>
      </c>
      <c r="O78" s="138">
        <v>1</v>
      </c>
      <c r="P78" s="139">
        <f>+M78/O78</f>
        <v>5</v>
      </c>
      <c r="Q78" s="140">
        <f>+P78/160</f>
        <v>3.125E-2</v>
      </c>
      <c r="R78" s="141">
        <f>+N78*M78*O78</f>
        <v>80</v>
      </c>
      <c r="T78" t="str">
        <f t="shared" si="31"/>
        <v>Laborer</v>
      </c>
      <c r="U78" s="57">
        <f t="shared" si="34"/>
        <v>45</v>
      </c>
      <c r="V78" s="72">
        <f t="shared" si="32"/>
        <v>0.28125</v>
      </c>
    </row>
    <row r="79" spans="2:22" x14ac:dyDescent="0.25">
      <c r="B79" s="49" t="s">
        <v>395</v>
      </c>
      <c r="C79">
        <v>1</v>
      </c>
      <c r="D79" s="87" t="s">
        <v>324</v>
      </c>
      <c r="E79" s="11">
        <f>+SPECS!I43</f>
        <v>108.6156</v>
      </c>
      <c r="F79" s="108">
        <f t="shared" si="28"/>
        <v>108.6156</v>
      </c>
      <c r="H79" s="132" t="s">
        <v>427</v>
      </c>
      <c r="I79" s="116">
        <f>+I78</f>
        <v>10</v>
      </c>
      <c r="J79" s="116" t="s">
        <v>324</v>
      </c>
      <c r="K79" s="116"/>
      <c r="L79" s="133">
        <f>+L78</f>
        <v>0.5</v>
      </c>
      <c r="M79" s="136">
        <f t="shared" si="36"/>
        <v>5</v>
      </c>
      <c r="N79" s="137">
        <v>10</v>
      </c>
      <c r="O79" s="138">
        <v>1</v>
      </c>
      <c r="P79" s="139">
        <f>+M79/O79</f>
        <v>5</v>
      </c>
      <c r="Q79" s="140">
        <f>+P79/160</f>
        <v>3.125E-2</v>
      </c>
      <c r="R79" s="141">
        <f>+N79*M79*O79</f>
        <v>50</v>
      </c>
      <c r="T79" t="str">
        <f t="shared" si="31"/>
        <v>Helper</v>
      </c>
      <c r="U79" s="57">
        <f t="shared" si="34"/>
        <v>45</v>
      </c>
      <c r="V79" s="72">
        <f t="shared" si="32"/>
        <v>0.28125</v>
      </c>
    </row>
    <row r="80" spans="2:22" x14ac:dyDescent="0.25">
      <c r="B80" s="49" t="s">
        <v>396</v>
      </c>
      <c r="C80">
        <v>1</v>
      </c>
      <c r="D80" s="87" t="s">
        <v>324</v>
      </c>
      <c r="E80" s="11">
        <f>+SPECS!I46</f>
        <v>87.469200000000001</v>
      </c>
      <c r="F80" s="108">
        <f t="shared" si="28"/>
        <v>87.469200000000001</v>
      </c>
      <c r="H80" s="159" t="s">
        <v>402</v>
      </c>
      <c r="I80" s="159"/>
      <c r="J80" s="159"/>
      <c r="K80" s="159"/>
      <c r="L80" s="159"/>
      <c r="M80" s="159"/>
      <c r="N80" s="159"/>
      <c r="O80" s="159"/>
      <c r="P80" s="159"/>
      <c r="Q80" s="159"/>
      <c r="R80" s="126">
        <f>+R81+R82</f>
        <v>455</v>
      </c>
      <c r="T80" s="89" t="str">
        <f t="shared" si="31"/>
        <v>Electrical Fixtures</v>
      </c>
      <c r="U80" s="57">
        <f t="shared" si="34"/>
        <v>0</v>
      </c>
      <c r="V80" s="72">
        <f t="shared" si="32"/>
        <v>0</v>
      </c>
    </row>
    <row r="81" spans="2:22" x14ac:dyDescent="0.25">
      <c r="B81" s="49" t="s">
        <v>397</v>
      </c>
      <c r="C81">
        <v>1</v>
      </c>
      <c r="D81" s="87" t="s">
        <v>324</v>
      </c>
      <c r="E81" s="11">
        <f>+SPECS!I44</f>
        <v>64.800000000000011</v>
      </c>
      <c r="F81" s="108">
        <f t="shared" si="28"/>
        <v>64.800000000000011</v>
      </c>
      <c r="H81" s="132" t="s">
        <v>421</v>
      </c>
      <c r="I81" s="116">
        <f>+SUM('HOUSE EST MODEL 1'!$C$87:$C$94)</f>
        <v>35</v>
      </c>
      <c r="J81" s="116" t="s">
        <v>324</v>
      </c>
      <c r="K81" s="116"/>
      <c r="L81" s="133">
        <v>0.5</v>
      </c>
      <c r="M81" s="136">
        <f t="shared" ref="M81:M82" si="37">+L81*I81</f>
        <v>17.5</v>
      </c>
      <c r="N81" s="137">
        <v>16</v>
      </c>
      <c r="O81" s="138">
        <v>1</v>
      </c>
      <c r="P81" s="139">
        <f>+M81/O81</f>
        <v>17.5</v>
      </c>
      <c r="Q81" s="140">
        <f>+P81/160</f>
        <v>0.109375</v>
      </c>
      <c r="R81" s="141">
        <f>+N81*M81*O81</f>
        <v>280</v>
      </c>
      <c r="T81" t="str">
        <f t="shared" si="31"/>
        <v>Laborer</v>
      </c>
      <c r="U81" s="57">
        <f t="shared" si="34"/>
        <v>157.5</v>
      </c>
      <c r="V81" s="72">
        <f t="shared" si="32"/>
        <v>0.984375</v>
      </c>
    </row>
    <row r="82" spans="2:22" x14ac:dyDescent="0.25">
      <c r="B82" s="49" t="s">
        <v>398</v>
      </c>
      <c r="C82">
        <v>1</v>
      </c>
      <c r="D82" s="87" t="s">
        <v>324</v>
      </c>
      <c r="E82" s="11">
        <f>+SPECS!I45</f>
        <v>38.577600000000004</v>
      </c>
      <c r="F82" s="108">
        <f t="shared" si="28"/>
        <v>38.577600000000004</v>
      </c>
      <c r="H82" s="132" t="s">
        <v>427</v>
      </c>
      <c r="I82" s="116">
        <f>+I81</f>
        <v>35</v>
      </c>
      <c r="J82" s="116" t="s">
        <v>324</v>
      </c>
      <c r="K82" s="116"/>
      <c r="L82" s="133">
        <f>+L81</f>
        <v>0.5</v>
      </c>
      <c r="M82" s="136">
        <f t="shared" si="37"/>
        <v>17.5</v>
      </c>
      <c r="N82" s="137">
        <v>10</v>
      </c>
      <c r="O82" s="138">
        <v>1</v>
      </c>
      <c r="P82" s="139">
        <f>+M82/O82</f>
        <v>17.5</v>
      </c>
      <c r="Q82" s="140">
        <f>+P82/160</f>
        <v>0.109375</v>
      </c>
      <c r="R82" s="141">
        <f>+N82*M82*O82</f>
        <v>175</v>
      </c>
      <c r="T82" t="str">
        <f t="shared" si="31"/>
        <v>Helper</v>
      </c>
      <c r="U82" s="57">
        <f t="shared" si="34"/>
        <v>157.5</v>
      </c>
      <c r="V82" s="72">
        <f t="shared" si="32"/>
        <v>0.984375</v>
      </c>
    </row>
    <row r="83" spans="2:22" x14ac:dyDescent="0.25">
      <c r="B83" s="49" t="s">
        <v>399</v>
      </c>
      <c r="C83">
        <v>1</v>
      </c>
      <c r="D83" s="87" t="s">
        <v>324</v>
      </c>
      <c r="E83" s="11">
        <f>+SPECS!I47</f>
        <v>28.069199999999999</v>
      </c>
      <c r="F83" s="108">
        <f t="shared" si="28"/>
        <v>28.069199999999999</v>
      </c>
      <c r="H83" s="149" t="s">
        <v>436</v>
      </c>
      <c r="I83" s="149"/>
      <c r="J83" s="149"/>
      <c r="K83" s="149"/>
      <c r="L83" s="149"/>
      <c r="M83" s="149"/>
      <c r="N83" s="149"/>
      <c r="O83" s="149"/>
      <c r="P83" s="149"/>
      <c r="Q83" s="149"/>
      <c r="R83" s="150">
        <f>+R4+R12+R15+R18+R21+R24+R27+R31+R34+R37+R41+R44+R47+R50+R53+R59+R56+R62+R65+R68+R71+R74+R77+R80</f>
        <v>13655.905000000001</v>
      </c>
      <c r="T83" t="str">
        <f t="shared" si="31"/>
        <v>SUB TOTAL LABOR</v>
      </c>
      <c r="U83" s="57">
        <f t="shared" si="34"/>
        <v>0</v>
      </c>
      <c r="V83" s="72">
        <f t="shared" si="32"/>
        <v>0</v>
      </c>
    </row>
    <row r="84" spans="2:22" x14ac:dyDescent="0.25">
      <c r="B84" s="49" t="s">
        <v>400</v>
      </c>
      <c r="C84">
        <v>1</v>
      </c>
      <c r="D84" s="87" t="s">
        <v>324</v>
      </c>
      <c r="E84" s="11">
        <f>+SPECS!I48</f>
        <v>51.224400000000003</v>
      </c>
      <c r="F84" s="108">
        <f t="shared" si="28"/>
        <v>51.224400000000003</v>
      </c>
      <c r="H84" s="116"/>
      <c r="I84" s="116"/>
      <c r="J84" s="116"/>
      <c r="K84" s="116"/>
      <c r="L84" s="116"/>
      <c r="M84" s="116"/>
      <c r="N84" s="116"/>
      <c r="O84" s="116"/>
      <c r="P84" s="116"/>
      <c r="Q84" s="116"/>
      <c r="R84" s="116"/>
    </row>
    <row r="85" spans="2:22" x14ac:dyDescent="0.25">
      <c r="B85" s="49" t="s">
        <v>401</v>
      </c>
      <c r="C85">
        <v>1</v>
      </c>
      <c r="D85" s="87" t="s">
        <v>324</v>
      </c>
      <c r="E85" s="11">
        <f>+SPECS!I49</f>
        <v>204.17400000000004</v>
      </c>
      <c r="F85" s="108">
        <f t="shared" si="28"/>
        <v>204.17400000000004</v>
      </c>
      <c r="H85" s="151" t="s">
        <v>437</v>
      </c>
      <c r="I85" s="152">
        <f>+F95+R83</f>
        <v>58418.603899999987</v>
      </c>
      <c r="J85" s="116"/>
      <c r="K85" s="116"/>
      <c r="L85" s="116"/>
      <c r="M85" s="116"/>
      <c r="N85" s="116"/>
      <c r="O85" s="116"/>
      <c r="P85" s="116"/>
      <c r="Q85" s="116"/>
      <c r="R85" s="116"/>
    </row>
    <row r="86" spans="2:22" x14ac:dyDescent="0.25">
      <c r="B86" s="48" t="s">
        <v>402</v>
      </c>
      <c r="C86" s="48"/>
      <c r="D86" s="48"/>
      <c r="E86" s="48"/>
      <c r="F86" s="66"/>
    </row>
    <row r="87" spans="2:22" x14ac:dyDescent="0.25">
      <c r="B87" s="49" t="s">
        <v>403</v>
      </c>
      <c r="C87">
        <v>1</v>
      </c>
      <c r="D87" t="s">
        <v>324</v>
      </c>
      <c r="E87" s="11">
        <f>+SPECS!I31</f>
        <v>41.040000000000006</v>
      </c>
      <c r="F87" s="108">
        <f t="shared" ref="F87:F94" si="38">+C87*E87</f>
        <v>41.040000000000006</v>
      </c>
    </row>
    <row r="88" spans="2:22" x14ac:dyDescent="0.25">
      <c r="B88" s="49" t="s">
        <v>404</v>
      </c>
      <c r="C88">
        <v>12</v>
      </c>
      <c r="D88" t="s">
        <v>324</v>
      </c>
      <c r="E88" s="11">
        <f>+SPECS!I33</f>
        <v>17.917200000000001</v>
      </c>
      <c r="F88" s="108">
        <f t="shared" si="38"/>
        <v>215.00640000000001</v>
      </c>
    </row>
    <row r="89" spans="2:22" x14ac:dyDescent="0.25">
      <c r="B89" s="49" t="s">
        <v>405</v>
      </c>
      <c r="C89">
        <v>2</v>
      </c>
      <c r="D89" t="s">
        <v>324</v>
      </c>
      <c r="E89" s="11">
        <f>+SPECS!I34</f>
        <v>81.183600000000013</v>
      </c>
      <c r="F89" s="108">
        <f t="shared" si="38"/>
        <v>162.36720000000003</v>
      </c>
      <c r="K89" s="68"/>
    </row>
    <row r="90" spans="2:22" x14ac:dyDescent="0.25">
      <c r="B90" s="49" t="s">
        <v>406</v>
      </c>
      <c r="C90">
        <v>1</v>
      </c>
      <c r="D90" t="s">
        <v>324</v>
      </c>
      <c r="E90" s="11">
        <f>+SPECS!I32</f>
        <v>21.578400000000002</v>
      </c>
      <c r="F90" s="108">
        <f t="shared" si="38"/>
        <v>21.578400000000002</v>
      </c>
    </row>
    <row r="91" spans="2:22" x14ac:dyDescent="0.25">
      <c r="B91" s="49" t="s">
        <v>407</v>
      </c>
      <c r="C91">
        <v>1</v>
      </c>
      <c r="D91" t="s">
        <v>324</v>
      </c>
      <c r="E91" s="11">
        <f>+SPECS!I56</f>
        <v>25.92</v>
      </c>
      <c r="F91" s="108">
        <f t="shared" si="38"/>
        <v>25.92</v>
      </c>
    </row>
    <row r="92" spans="2:22" x14ac:dyDescent="0.25">
      <c r="B92" s="49" t="s">
        <v>408</v>
      </c>
      <c r="C92">
        <v>8</v>
      </c>
      <c r="D92" t="s">
        <v>324</v>
      </c>
      <c r="E92" s="11">
        <f>+SPECS!I51</f>
        <v>2.4084000000000003</v>
      </c>
      <c r="F92" s="108">
        <f t="shared" si="38"/>
        <v>19.267200000000003</v>
      </c>
    </row>
    <row r="93" spans="2:22" x14ac:dyDescent="0.25">
      <c r="B93" s="49" t="s">
        <v>409</v>
      </c>
      <c r="C93">
        <f>+C92</f>
        <v>8</v>
      </c>
      <c r="D93" t="s">
        <v>324</v>
      </c>
      <c r="E93" s="11">
        <f>+SPECS!I52</f>
        <v>2.5099999999999998</v>
      </c>
      <c r="F93" s="108">
        <f t="shared" si="38"/>
        <v>20.079999999999998</v>
      </c>
    </row>
    <row r="94" spans="2:22" x14ac:dyDescent="0.25">
      <c r="B94" s="49" t="s">
        <v>410</v>
      </c>
      <c r="C94">
        <v>2</v>
      </c>
      <c r="D94" t="s">
        <v>324</v>
      </c>
      <c r="E94" s="11">
        <f>+SPECS!I57</f>
        <v>16.491600000000002</v>
      </c>
      <c r="F94" s="108">
        <f t="shared" si="38"/>
        <v>32.983200000000004</v>
      </c>
    </row>
    <row r="95" spans="2:22" x14ac:dyDescent="0.25">
      <c r="B95" s="58" t="s">
        <v>438</v>
      </c>
      <c r="C95" s="58"/>
      <c r="D95" s="58"/>
      <c r="E95" s="58"/>
      <c r="F95" s="67">
        <f>SUM(F3:F94)</f>
        <v>44762.698899999988</v>
      </c>
    </row>
  </sheetData>
  <mergeCells count="28">
    <mergeCell ref="H31:Q31"/>
    <mergeCell ref="H3:Q3"/>
    <mergeCell ref="H4:Q4"/>
    <mergeCell ref="H11:Q11"/>
    <mergeCell ref="H12:Q12"/>
    <mergeCell ref="H15:Q15"/>
    <mergeCell ref="H18:Q18"/>
    <mergeCell ref="H21:Q21"/>
    <mergeCell ref="H24:Q24"/>
    <mergeCell ref="H27:Q27"/>
    <mergeCell ref="H30:Q30"/>
    <mergeCell ref="H65:Q65"/>
    <mergeCell ref="H34:Q34"/>
    <mergeCell ref="H37:Q37"/>
    <mergeCell ref="H40:Q40"/>
    <mergeCell ref="H41:Q41"/>
    <mergeCell ref="H44:Q44"/>
    <mergeCell ref="H47:Q47"/>
    <mergeCell ref="H50:Q50"/>
    <mergeCell ref="H53:Q53"/>
    <mergeCell ref="H56:Q56"/>
    <mergeCell ref="H59:Q59"/>
    <mergeCell ref="H62:Q62"/>
    <mergeCell ref="H68:Q68"/>
    <mergeCell ref="H71:Q71"/>
    <mergeCell ref="H74:Q74"/>
    <mergeCell ref="H77:Q77"/>
    <mergeCell ref="H80:Q8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63B7D-E02C-49A1-BFAC-8C5029B0C064}">
  <dimension ref="B1:V95"/>
  <sheetViews>
    <sheetView showGridLines="0" workbookViewId="0">
      <pane ySplit="2" topLeftCell="A3" activePane="bottomLeft" state="frozen"/>
      <selection pane="bottomLeft" activeCell="C11" sqref="C11"/>
    </sheetView>
    <sheetView topLeftCell="F76" workbookViewId="1">
      <selection activeCell="I87" sqref="I87"/>
    </sheetView>
  </sheetViews>
  <sheetFormatPr baseColWidth="10" defaultColWidth="11.42578125" defaultRowHeight="15" x14ac:dyDescent="0.25"/>
  <cols>
    <col min="2" max="2" width="46.5703125" bestFit="1" customWidth="1"/>
    <col min="5" max="5" width="12" style="11" bestFit="1" customWidth="1"/>
    <col min="6" max="6" width="11.85546875" style="63" bestFit="1" customWidth="1"/>
    <col min="8" max="8" width="28.85546875" bestFit="1" customWidth="1"/>
    <col min="9" max="9" width="9.140625" bestFit="1" customWidth="1"/>
    <col min="10" max="10" width="4.5703125" bestFit="1" customWidth="1"/>
    <col min="11" max="11" width="9.5703125" hidden="1" customWidth="1"/>
    <col min="12" max="12" width="5.5703125" customWidth="1"/>
    <col min="13" max="13" width="6.28515625" customWidth="1"/>
    <col min="14" max="14" width="9.85546875" customWidth="1"/>
    <col min="15" max="15" width="7.140625" bestFit="1" customWidth="1"/>
    <col min="16" max="16" width="4.7109375" customWidth="1"/>
    <col min="17" max="17" width="6.140625" customWidth="1"/>
    <col min="18" max="18" width="13.42578125" bestFit="1" customWidth="1"/>
    <col min="20" max="20" width="21.7109375" bestFit="1" customWidth="1"/>
    <col min="21" max="21" width="8.5703125" bestFit="1" customWidth="1"/>
  </cols>
  <sheetData>
    <row r="1" spans="2:22" x14ac:dyDescent="0.25">
      <c r="E1" s="106" t="s">
        <v>321</v>
      </c>
      <c r="F1" s="107">
        <v>475</v>
      </c>
      <c r="K1" t="s">
        <v>430</v>
      </c>
      <c r="N1" s="106"/>
      <c r="O1" s="107"/>
      <c r="P1" s="107"/>
      <c r="Q1" s="107"/>
      <c r="R1" s="107"/>
      <c r="T1" s="87" t="s">
        <v>431</v>
      </c>
      <c r="U1" s="57">
        <v>19</v>
      </c>
    </row>
    <row r="2" spans="2:22" ht="36.75" x14ac:dyDescent="0.25">
      <c r="B2" s="58" t="s">
        <v>322</v>
      </c>
      <c r="C2" s="58" t="s">
        <v>323</v>
      </c>
      <c r="D2" s="58" t="s">
        <v>324</v>
      </c>
      <c r="E2" s="59" t="s">
        <v>325</v>
      </c>
      <c r="F2" s="64" t="s">
        <v>326</v>
      </c>
      <c r="H2" s="119" t="s">
        <v>322</v>
      </c>
      <c r="I2" s="119" t="s">
        <v>323</v>
      </c>
      <c r="J2" s="119" t="s">
        <v>324</v>
      </c>
      <c r="K2" s="119" t="s">
        <v>432</v>
      </c>
      <c r="L2" s="119" t="s">
        <v>412</v>
      </c>
      <c r="M2" s="119" t="s">
        <v>433</v>
      </c>
      <c r="N2" s="120" t="s">
        <v>414</v>
      </c>
      <c r="O2" s="121" t="s">
        <v>415</v>
      </c>
      <c r="P2" s="121" t="s">
        <v>416</v>
      </c>
      <c r="Q2" s="121" t="s">
        <v>417</v>
      </c>
      <c r="R2" s="122" t="s">
        <v>326</v>
      </c>
      <c r="U2" s="57"/>
    </row>
    <row r="3" spans="2:22" x14ac:dyDescent="0.25">
      <c r="B3" s="47" t="s">
        <v>217</v>
      </c>
      <c r="C3" s="47"/>
      <c r="D3" s="47"/>
      <c r="E3" s="47"/>
      <c r="F3" s="65"/>
      <c r="H3" s="123" t="s">
        <v>217</v>
      </c>
      <c r="I3" s="123"/>
      <c r="J3" s="123"/>
      <c r="K3" s="123"/>
      <c r="L3" s="123"/>
      <c r="M3" s="123"/>
      <c r="N3" s="123"/>
      <c r="O3" s="123"/>
      <c r="P3" s="123"/>
      <c r="Q3" s="123"/>
      <c r="R3" s="124"/>
      <c r="U3" s="57"/>
    </row>
    <row r="4" spans="2:22" x14ac:dyDescent="0.25">
      <c r="B4" s="48" t="s">
        <v>221</v>
      </c>
      <c r="C4" s="48"/>
      <c r="D4" s="48"/>
      <c r="E4" s="48"/>
      <c r="F4" s="66"/>
      <c r="H4" s="125" t="s">
        <v>221</v>
      </c>
      <c r="I4" s="125"/>
      <c r="J4" s="125"/>
      <c r="K4" s="125"/>
      <c r="L4" s="125"/>
      <c r="M4" s="125"/>
      <c r="N4" s="125"/>
      <c r="O4" s="125"/>
      <c r="P4" s="125"/>
      <c r="Q4" s="125"/>
      <c r="R4" s="126">
        <f>+SUM(R6:R10)</f>
        <v>5498.35</v>
      </c>
      <c r="U4" s="91" t="s">
        <v>434</v>
      </c>
      <c r="V4" s="92" t="s">
        <v>435</v>
      </c>
    </row>
    <row r="5" spans="2:22" x14ac:dyDescent="0.25">
      <c r="B5" s="49" t="s">
        <v>327</v>
      </c>
      <c r="C5" s="57">
        <f>+(50+30+30+37)*10</f>
        <v>1470</v>
      </c>
      <c r="D5" t="s">
        <v>40</v>
      </c>
      <c r="E5" s="11">
        <v>3</v>
      </c>
      <c r="F5" s="108">
        <f>+C5*E5</f>
        <v>4410</v>
      </c>
      <c r="H5" s="127" t="s">
        <v>328</v>
      </c>
      <c r="I5" s="128">
        <f>+'HOUSE EST MODEL 2'!$C$5</f>
        <v>1470</v>
      </c>
      <c r="J5" s="128" t="s">
        <v>40</v>
      </c>
      <c r="K5" s="128"/>
      <c r="L5" s="128"/>
      <c r="M5" s="129"/>
      <c r="N5" s="130"/>
      <c r="O5" s="118"/>
      <c r="P5" s="118"/>
      <c r="Q5" s="118"/>
      <c r="R5" s="153"/>
      <c r="T5" s="88" t="str">
        <f>+H5</f>
        <v>Framing Labor</v>
      </c>
      <c r="U5" s="57"/>
    </row>
    <row r="6" spans="2:22" x14ac:dyDescent="0.25">
      <c r="B6" s="49" t="s">
        <v>329</v>
      </c>
      <c r="C6" s="87">
        <f>+F1</f>
        <v>475</v>
      </c>
      <c r="D6" t="s">
        <v>40</v>
      </c>
      <c r="E6" s="11">
        <v>3</v>
      </c>
      <c r="F6" s="108">
        <f t="shared" ref="F6" si="0">+C6*E6</f>
        <v>1425</v>
      </c>
      <c r="H6" s="132" t="s">
        <v>420</v>
      </c>
      <c r="I6" s="133">
        <f>+I5</f>
        <v>1470</v>
      </c>
      <c r="J6" s="116" t="s">
        <v>40</v>
      </c>
      <c r="K6" s="134">
        <v>69.25</v>
      </c>
      <c r="L6" s="135">
        <f>+K6/1000</f>
        <v>6.9250000000000006E-2</v>
      </c>
      <c r="M6" s="136">
        <f>+L6*I6</f>
        <v>101.79750000000001</v>
      </c>
      <c r="N6" s="137">
        <v>16</v>
      </c>
      <c r="O6" s="138">
        <v>1</v>
      </c>
      <c r="P6" s="139">
        <f>+M6/O6</f>
        <v>101.79750000000001</v>
      </c>
      <c r="Q6" s="140">
        <f>+P6/160</f>
        <v>0.63623437500000013</v>
      </c>
      <c r="R6" s="154">
        <f>+N6*M6*O6</f>
        <v>1628.7600000000002</v>
      </c>
      <c r="T6" t="str">
        <f>+H6</f>
        <v>Carpenter - Armador</v>
      </c>
      <c r="U6" s="57">
        <f>+P6*$U$1</f>
        <v>1934.1525000000001</v>
      </c>
      <c r="V6" s="72">
        <f>+Q6*$U$1</f>
        <v>12.088453125000003</v>
      </c>
    </row>
    <row r="7" spans="2:22" x14ac:dyDescent="0.25">
      <c r="B7" s="47" t="s">
        <v>331</v>
      </c>
      <c r="C7" s="47"/>
      <c r="D7" s="47"/>
      <c r="E7" s="47"/>
      <c r="F7" s="65"/>
      <c r="H7" s="132" t="s">
        <v>427</v>
      </c>
      <c r="I7" s="133">
        <f>+I5</f>
        <v>1470</v>
      </c>
      <c r="J7" s="116" t="s">
        <v>40</v>
      </c>
      <c r="K7" s="116">
        <f>+K6</f>
        <v>69.25</v>
      </c>
      <c r="L7" s="135">
        <f>+K7/1000</f>
        <v>6.9250000000000006E-2</v>
      </c>
      <c r="M7" s="136">
        <f>+L7*I7</f>
        <v>101.79750000000001</v>
      </c>
      <c r="N7" s="137">
        <v>10</v>
      </c>
      <c r="O7" s="138">
        <v>1</v>
      </c>
      <c r="P7" s="139">
        <f>+M7/O7</f>
        <v>101.79750000000001</v>
      </c>
      <c r="Q7" s="140">
        <f>+P7/160</f>
        <v>0.63623437500000013</v>
      </c>
      <c r="R7" s="154">
        <f>+N7*M7*O7</f>
        <v>1017.9750000000001</v>
      </c>
      <c r="T7" t="str">
        <f t="shared" ref="T7:T70" si="1">+H7</f>
        <v>Helper</v>
      </c>
      <c r="U7" s="57">
        <f>+P7*$U$1</f>
        <v>1934.1525000000001</v>
      </c>
      <c r="V7" s="72">
        <f t="shared" ref="V7:V70" si="2">+Q7*$U$1</f>
        <v>12.088453125000003</v>
      </c>
    </row>
    <row r="8" spans="2:22" x14ac:dyDescent="0.25">
      <c r="B8" s="48" t="s">
        <v>332</v>
      </c>
      <c r="C8" s="48"/>
      <c r="D8" s="48"/>
      <c r="E8" s="48"/>
      <c r="F8" s="66"/>
      <c r="H8" s="127" t="s">
        <v>330</v>
      </c>
      <c r="I8" s="128">
        <f>+'HOUSE EST MODEL 2'!$C$6</f>
        <v>475</v>
      </c>
      <c r="J8" s="128" t="s">
        <v>40</v>
      </c>
      <c r="K8" s="116"/>
      <c r="L8" s="142"/>
      <c r="M8" s="116"/>
      <c r="N8" s="143"/>
      <c r="O8" s="144"/>
      <c r="P8" s="144"/>
      <c r="Q8" s="144"/>
      <c r="R8" s="153"/>
      <c r="T8" s="88" t="str">
        <f t="shared" si="1"/>
        <v>Roofing labor</v>
      </c>
      <c r="U8" s="57">
        <f t="shared" ref="U8:V71" si="3">+P8*$U$1</f>
        <v>0</v>
      </c>
      <c r="V8" s="72">
        <f t="shared" si="2"/>
        <v>0</v>
      </c>
    </row>
    <row r="9" spans="2:22" x14ac:dyDescent="0.25">
      <c r="B9" s="49" t="s">
        <v>333</v>
      </c>
      <c r="C9" s="57">
        <f>+$F$1</f>
        <v>475</v>
      </c>
      <c r="D9" t="s">
        <v>40</v>
      </c>
      <c r="E9" s="11">
        <f>+SPECS!I12</f>
        <v>2</v>
      </c>
      <c r="F9" s="108">
        <f>+C9*E9</f>
        <v>950</v>
      </c>
      <c r="H9" s="132" t="s">
        <v>422</v>
      </c>
      <c r="I9" s="133">
        <f>+I8</f>
        <v>475</v>
      </c>
      <c r="J9" s="116" t="s">
        <v>40</v>
      </c>
      <c r="K9" s="134">
        <f>12.6+48+28.8+33+45+45.5+9+9</f>
        <v>230.9</v>
      </c>
      <c r="L9" s="135">
        <f>+K9/1000</f>
        <v>0.23089999999999999</v>
      </c>
      <c r="M9" s="136">
        <f t="shared" ref="M9:M10" si="4">+L9*I9</f>
        <v>109.67749999999999</v>
      </c>
      <c r="N9" s="137">
        <v>16</v>
      </c>
      <c r="O9" s="138">
        <v>1</v>
      </c>
      <c r="P9" s="139">
        <f t="shared" ref="P9:P10" si="5">+M9/O9</f>
        <v>109.67749999999999</v>
      </c>
      <c r="Q9" s="140">
        <f t="shared" ref="Q9:Q10" si="6">+P9/160</f>
        <v>0.68548437499999992</v>
      </c>
      <c r="R9" s="154">
        <f t="shared" ref="R9:R10" si="7">+N9*M9*O9</f>
        <v>1754.84</v>
      </c>
      <c r="T9" t="str">
        <f t="shared" si="1"/>
        <v>Carpenter</v>
      </c>
      <c r="U9" s="57">
        <f t="shared" si="3"/>
        <v>2083.8724999999999</v>
      </c>
      <c r="V9" s="72">
        <f t="shared" si="2"/>
        <v>13.024203124999998</v>
      </c>
    </row>
    <row r="10" spans="2:22" x14ac:dyDescent="0.25">
      <c r="B10" s="48" t="s">
        <v>231</v>
      </c>
      <c r="C10" s="48"/>
      <c r="D10" s="48"/>
      <c r="E10" s="48"/>
      <c r="F10" s="66"/>
      <c r="H10" s="132" t="s">
        <v>427</v>
      </c>
      <c r="I10" s="133">
        <f>+I8</f>
        <v>475</v>
      </c>
      <c r="J10" s="116" t="s">
        <v>40</v>
      </c>
      <c r="K10" s="116">
        <f>+K9</f>
        <v>230.9</v>
      </c>
      <c r="L10" s="135">
        <f>+K10/1000</f>
        <v>0.23089999999999999</v>
      </c>
      <c r="M10" s="136">
        <f t="shared" si="4"/>
        <v>109.67749999999999</v>
      </c>
      <c r="N10" s="137">
        <v>10</v>
      </c>
      <c r="O10" s="138">
        <v>1</v>
      </c>
      <c r="P10" s="139">
        <f t="shared" si="5"/>
        <v>109.67749999999999</v>
      </c>
      <c r="Q10" s="140">
        <f t="shared" si="6"/>
        <v>0.68548437499999992</v>
      </c>
      <c r="R10" s="154">
        <f t="shared" si="7"/>
        <v>1096.7749999999999</v>
      </c>
      <c r="T10" t="str">
        <f t="shared" si="1"/>
        <v>Helper</v>
      </c>
      <c r="U10" s="57">
        <f t="shared" si="3"/>
        <v>2083.8724999999999</v>
      </c>
      <c r="V10" s="72">
        <f t="shared" si="2"/>
        <v>13.024203124999998</v>
      </c>
    </row>
    <row r="11" spans="2:22" x14ac:dyDescent="0.25">
      <c r="B11" s="49" t="s">
        <v>335</v>
      </c>
      <c r="C11">
        <v>4</v>
      </c>
      <c r="D11" s="87" t="s">
        <v>324</v>
      </c>
      <c r="E11" s="11">
        <f>+SPECS!I9</f>
        <v>289</v>
      </c>
      <c r="F11" s="108">
        <f>+C11*E11</f>
        <v>1156</v>
      </c>
      <c r="H11" s="123" t="s">
        <v>331</v>
      </c>
      <c r="I11" s="123"/>
      <c r="J11" s="123"/>
      <c r="K11" s="123"/>
      <c r="L11" s="155"/>
      <c r="M11" s="123"/>
      <c r="N11" s="123"/>
      <c r="O11" s="123"/>
      <c r="P11" s="123"/>
      <c r="Q11" s="123"/>
      <c r="R11" s="124"/>
      <c r="T11" s="90" t="str">
        <f t="shared" si="1"/>
        <v>Exteriors</v>
      </c>
      <c r="U11" s="57">
        <f t="shared" si="3"/>
        <v>0</v>
      </c>
      <c r="V11" s="72">
        <f t="shared" si="2"/>
        <v>0</v>
      </c>
    </row>
    <row r="12" spans="2:22" x14ac:dyDescent="0.25">
      <c r="B12" s="49" t="s">
        <v>336</v>
      </c>
      <c r="C12">
        <v>1</v>
      </c>
      <c r="D12" s="87" t="s">
        <v>324</v>
      </c>
      <c r="E12" s="11">
        <f>+SPECS!I10</f>
        <v>238</v>
      </c>
      <c r="F12" s="108">
        <f>+C12*E12</f>
        <v>238</v>
      </c>
      <c r="H12" s="125" t="s">
        <v>332</v>
      </c>
      <c r="I12" s="125"/>
      <c r="J12" s="125"/>
      <c r="K12" s="125"/>
      <c r="L12" s="156"/>
      <c r="M12" s="125"/>
      <c r="N12" s="125"/>
      <c r="O12" s="125"/>
      <c r="P12" s="125"/>
      <c r="Q12" s="125"/>
      <c r="R12" s="126">
        <f>+R13+R14</f>
        <v>345.79999999999995</v>
      </c>
      <c r="T12" s="89" t="str">
        <f t="shared" si="1"/>
        <v>Roofing Shingles</v>
      </c>
      <c r="U12" s="57">
        <f t="shared" si="3"/>
        <v>0</v>
      </c>
      <c r="V12" s="72">
        <f t="shared" si="2"/>
        <v>0</v>
      </c>
    </row>
    <row r="13" spans="2:22" x14ac:dyDescent="0.25">
      <c r="B13" s="48" t="s">
        <v>234</v>
      </c>
      <c r="C13" s="48"/>
      <c r="D13" s="48"/>
      <c r="E13" s="48"/>
      <c r="F13" s="66"/>
      <c r="H13" s="132" t="s">
        <v>426</v>
      </c>
      <c r="I13" s="136">
        <f>+'HOUSE EST MODEL 2'!$C$9</f>
        <v>475</v>
      </c>
      <c r="J13" s="116" t="s">
        <v>40</v>
      </c>
      <c r="K13" s="134">
        <v>2.8</v>
      </c>
      <c r="L13" s="135">
        <f>+K13/100</f>
        <v>2.7999999999999997E-2</v>
      </c>
      <c r="M13" s="136">
        <f t="shared" ref="M13:M14" si="8">+L13*I13</f>
        <v>13.299999999999999</v>
      </c>
      <c r="N13" s="137">
        <v>16</v>
      </c>
      <c r="O13" s="138">
        <v>1</v>
      </c>
      <c r="P13" s="139">
        <f>+M13/O13</f>
        <v>13.299999999999999</v>
      </c>
      <c r="Q13" s="140">
        <f>+P13/160</f>
        <v>8.3124999999999991E-2</v>
      </c>
      <c r="R13" s="154">
        <f>+N13*M13*O13</f>
        <v>212.79999999999998</v>
      </c>
      <c r="T13" t="str">
        <f t="shared" si="1"/>
        <v>Roofer</v>
      </c>
      <c r="U13" s="57">
        <f t="shared" si="3"/>
        <v>252.7</v>
      </c>
      <c r="V13" s="72">
        <f t="shared" si="2"/>
        <v>1.5793749999999998</v>
      </c>
    </row>
    <row r="14" spans="2:22" x14ac:dyDescent="0.25">
      <c r="B14" s="49" t="s">
        <v>337</v>
      </c>
      <c r="C14" s="87">
        <f>+(50+30+30)*10</f>
        <v>1100</v>
      </c>
      <c r="D14" t="s">
        <v>40</v>
      </c>
      <c r="E14" s="109">
        <v>0.27</v>
      </c>
      <c r="F14" s="108">
        <f>+C14*E14</f>
        <v>297</v>
      </c>
      <c r="H14" s="132" t="s">
        <v>427</v>
      </c>
      <c r="I14" s="136">
        <f>+I13</f>
        <v>475</v>
      </c>
      <c r="J14" s="116" t="s">
        <v>40</v>
      </c>
      <c r="K14" s="145">
        <f>+K13</f>
        <v>2.8</v>
      </c>
      <c r="L14" s="135">
        <f>+K14/100</f>
        <v>2.7999999999999997E-2</v>
      </c>
      <c r="M14" s="136">
        <f t="shared" si="8"/>
        <v>13.299999999999999</v>
      </c>
      <c r="N14" s="137">
        <v>10</v>
      </c>
      <c r="O14" s="138">
        <v>1</v>
      </c>
      <c r="P14" s="139">
        <f>+M14/O14</f>
        <v>13.299999999999999</v>
      </c>
      <c r="Q14" s="140">
        <f>+P14/160</f>
        <v>8.3124999999999991E-2</v>
      </c>
      <c r="R14" s="154">
        <f>+N14*M14*O14</f>
        <v>133</v>
      </c>
      <c r="T14" t="str">
        <f t="shared" si="1"/>
        <v>Helper</v>
      </c>
      <c r="U14" s="57">
        <f t="shared" si="3"/>
        <v>252.7</v>
      </c>
      <c r="V14" s="72">
        <f t="shared" si="2"/>
        <v>1.5793749999999998</v>
      </c>
    </row>
    <row r="15" spans="2:22" x14ac:dyDescent="0.25">
      <c r="B15" s="49" t="s">
        <v>338</v>
      </c>
      <c r="C15" s="87">
        <f>+C14</f>
        <v>1100</v>
      </c>
      <c r="D15" t="s">
        <v>40</v>
      </c>
      <c r="E15" s="109">
        <v>2.5</v>
      </c>
      <c r="F15" s="108">
        <f>+C15*E15</f>
        <v>2750</v>
      </c>
      <c r="G15" s="87" t="s">
        <v>339</v>
      </c>
      <c r="H15" s="125" t="s">
        <v>231</v>
      </c>
      <c r="I15" s="125"/>
      <c r="J15" s="125"/>
      <c r="K15" s="125"/>
      <c r="L15" s="125"/>
      <c r="M15" s="125"/>
      <c r="N15" s="125"/>
      <c r="O15" s="125"/>
      <c r="P15" s="125"/>
      <c r="Q15" s="125"/>
      <c r="R15" s="126">
        <f>+R16+R17</f>
        <v>130</v>
      </c>
      <c r="T15" s="89" t="str">
        <f t="shared" si="1"/>
        <v>Windows</v>
      </c>
      <c r="U15" s="57">
        <f t="shared" si="3"/>
        <v>0</v>
      </c>
      <c r="V15" s="72">
        <f t="shared" si="2"/>
        <v>0</v>
      </c>
    </row>
    <row r="16" spans="2:22" x14ac:dyDescent="0.25">
      <c r="B16" s="48" t="s">
        <v>340</v>
      </c>
      <c r="C16" s="48"/>
      <c r="D16" s="48"/>
      <c r="E16" s="48"/>
      <c r="F16" s="66"/>
      <c r="H16" s="132" t="s">
        <v>421</v>
      </c>
      <c r="I16" s="116">
        <f>+'HOUSE EST MODEL 2'!$C$11+'HOUSE EST MODEL 2'!$C$12</f>
        <v>5</v>
      </c>
      <c r="J16" s="133" t="s">
        <v>324</v>
      </c>
      <c r="K16" s="133"/>
      <c r="L16" s="133">
        <v>1</v>
      </c>
      <c r="M16" s="136">
        <f t="shared" ref="M16:M17" si="9">+L16*I16</f>
        <v>5</v>
      </c>
      <c r="N16" s="137">
        <v>16</v>
      </c>
      <c r="O16" s="138">
        <v>1</v>
      </c>
      <c r="P16" s="139">
        <f>+M16/O16</f>
        <v>5</v>
      </c>
      <c r="Q16" s="140">
        <f>+P16/160</f>
        <v>3.125E-2</v>
      </c>
      <c r="R16" s="154">
        <f>+N16*M16*O16</f>
        <v>80</v>
      </c>
      <c r="T16" t="str">
        <f t="shared" si="1"/>
        <v>Laborer</v>
      </c>
      <c r="U16" s="57">
        <f t="shared" si="3"/>
        <v>95</v>
      </c>
      <c r="V16" s="72">
        <f t="shared" si="2"/>
        <v>0.59375</v>
      </c>
    </row>
    <row r="17" spans="2:22" x14ac:dyDescent="0.25">
      <c r="B17" s="49" t="s">
        <v>341</v>
      </c>
      <c r="C17">
        <f>+(7+7+3)+((3+3+5+5)*4)+(3+3+2+2)</f>
        <v>91</v>
      </c>
      <c r="D17" s="87" t="s">
        <v>163</v>
      </c>
      <c r="E17" s="11">
        <f>+SPECS!I50</f>
        <v>2</v>
      </c>
      <c r="F17" s="108">
        <f>+C17*E17</f>
        <v>182</v>
      </c>
      <c r="H17" s="132" t="s">
        <v>427</v>
      </c>
      <c r="I17" s="116">
        <f>+I16</f>
        <v>5</v>
      </c>
      <c r="J17" s="133" t="s">
        <v>324</v>
      </c>
      <c r="K17" s="133"/>
      <c r="L17" s="133">
        <v>1</v>
      </c>
      <c r="M17" s="136">
        <f t="shared" si="9"/>
        <v>5</v>
      </c>
      <c r="N17" s="137">
        <v>10</v>
      </c>
      <c r="O17" s="138">
        <v>1</v>
      </c>
      <c r="P17" s="139">
        <f>+M17/O17</f>
        <v>5</v>
      </c>
      <c r="Q17" s="140">
        <f>+P17/160</f>
        <v>3.125E-2</v>
      </c>
      <c r="R17" s="154">
        <f>+N17*M17*O17</f>
        <v>50</v>
      </c>
      <c r="T17" t="str">
        <f t="shared" si="1"/>
        <v>Helper</v>
      </c>
      <c r="U17" s="57">
        <f t="shared" si="3"/>
        <v>95</v>
      </c>
      <c r="V17" s="72">
        <f t="shared" si="2"/>
        <v>0.59375</v>
      </c>
    </row>
    <row r="18" spans="2:22" x14ac:dyDescent="0.25">
      <c r="B18" s="49" t="s">
        <v>342</v>
      </c>
      <c r="C18">
        <f>80+30</f>
        <v>110</v>
      </c>
      <c r="D18" s="87" t="s">
        <v>163</v>
      </c>
      <c r="E18" s="11">
        <v>4</v>
      </c>
      <c r="F18" s="108">
        <f>+C18*E18</f>
        <v>440</v>
      </c>
      <c r="H18" s="125" t="s">
        <v>234</v>
      </c>
      <c r="I18" s="125"/>
      <c r="J18" s="125"/>
      <c r="K18" s="125"/>
      <c r="L18" s="125"/>
      <c r="M18" s="125"/>
      <c r="N18" s="125"/>
      <c r="O18" s="125"/>
      <c r="P18" s="125"/>
      <c r="Q18" s="125"/>
      <c r="R18" s="126">
        <f>+R19+R20</f>
        <v>1201.2</v>
      </c>
      <c r="T18" s="89" t="str">
        <f t="shared" si="1"/>
        <v>Siding</v>
      </c>
      <c r="U18" s="57">
        <f t="shared" si="3"/>
        <v>0</v>
      </c>
      <c r="V18" s="72">
        <f t="shared" si="2"/>
        <v>0</v>
      </c>
    </row>
    <row r="19" spans="2:22" x14ac:dyDescent="0.25">
      <c r="B19" s="48" t="s">
        <v>343</v>
      </c>
      <c r="C19" s="48"/>
      <c r="D19" s="48"/>
      <c r="E19" s="48"/>
      <c r="F19" s="66"/>
      <c r="H19" s="132" t="s">
        <v>421</v>
      </c>
      <c r="I19" s="136">
        <f>+'HOUSE EST MODEL 2'!$C$14</f>
        <v>1100</v>
      </c>
      <c r="J19" s="116" t="s">
        <v>40</v>
      </c>
      <c r="K19" s="134">
        <v>4.2</v>
      </c>
      <c r="L19" s="135">
        <f>+K19/100</f>
        <v>4.2000000000000003E-2</v>
      </c>
      <c r="M19" s="136">
        <f t="shared" ref="M19:M20" si="10">+L19*I19</f>
        <v>46.2</v>
      </c>
      <c r="N19" s="137">
        <v>16</v>
      </c>
      <c r="O19" s="138">
        <v>1</v>
      </c>
      <c r="P19" s="139">
        <f>+M19/O19</f>
        <v>46.2</v>
      </c>
      <c r="Q19" s="140">
        <f>+P19/160</f>
        <v>0.28875000000000001</v>
      </c>
      <c r="R19" s="154">
        <f>+N19*M19*O19</f>
        <v>739.2</v>
      </c>
      <c r="T19" t="str">
        <f t="shared" si="1"/>
        <v>Laborer</v>
      </c>
      <c r="U19" s="57">
        <f t="shared" si="3"/>
        <v>877.80000000000007</v>
      </c>
      <c r="V19" s="72">
        <f t="shared" si="2"/>
        <v>5.4862500000000001</v>
      </c>
    </row>
    <row r="20" spans="2:22" x14ac:dyDescent="0.25">
      <c r="B20" s="49" t="s">
        <v>344</v>
      </c>
      <c r="C20">
        <v>1</v>
      </c>
      <c r="D20" s="87" t="s">
        <v>324</v>
      </c>
      <c r="E20" s="11">
        <f>+SPECS!I7</f>
        <v>421.20000000000005</v>
      </c>
      <c r="F20" s="108">
        <f>+C20*E20</f>
        <v>421.20000000000005</v>
      </c>
      <c r="H20" s="132" t="s">
        <v>427</v>
      </c>
      <c r="I20" s="136">
        <f>+I19</f>
        <v>1100</v>
      </c>
      <c r="J20" s="116" t="s">
        <v>40</v>
      </c>
      <c r="K20" s="145">
        <f>+K19</f>
        <v>4.2</v>
      </c>
      <c r="L20" s="135">
        <f>+K20/100</f>
        <v>4.2000000000000003E-2</v>
      </c>
      <c r="M20" s="136">
        <f t="shared" si="10"/>
        <v>46.2</v>
      </c>
      <c r="N20" s="137">
        <v>10</v>
      </c>
      <c r="O20" s="138">
        <v>1</v>
      </c>
      <c r="P20" s="139">
        <f>+M20/O20</f>
        <v>46.2</v>
      </c>
      <c r="Q20" s="140">
        <f>+P20/160</f>
        <v>0.28875000000000001</v>
      </c>
      <c r="R20" s="154">
        <f>+N20*M20*O20</f>
        <v>462</v>
      </c>
      <c r="T20" t="str">
        <f t="shared" si="1"/>
        <v>Helper</v>
      </c>
      <c r="U20" s="57">
        <f t="shared" si="3"/>
        <v>877.80000000000007</v>
      </c>
      <c r="V20" s="72">
        <f t="shared" si="2"/>
        <v>5.4862500000000001</v>
      </c>
    </row>
    <row r="21" spans="2:22" x14ac:dyDescent="0.25">
      <c r="B21" s="48" t="s">
        <v>242</v>
      </c>
      <c r="C21" s="48"/>
      <c r="D21" s="48"/>
      <c r="E21" s="48"/>
      <c r="F21" s="66"/>
      <c r="H21" s="125" t="s">
        <v>340</v>
      </c>
      <c r="I21" s="125"/>
      <c r="J21" s="125"/>
      <c r="K21" s="125"/>
      <c r="L21" s="125"/>
      <c r="M21" s="125"/>
      <c r="N21" s="125"/>
      <c r="O21" s="125"/>
      <c r="P21" s="125"/>
      <c r="Q21" s="125"/>
      <c r="R21" s="126">
        <f>+R22+R23</f>
        <v>355.36800000000005</v>
      </c>
      <c r="T21" s="89" t="str">
        <f t="shared" si="1"/>
        <v>Exterior Trim</v>
      </c>
      <c r="U21" s="57">
        <f t="shared" si="3"/>
        <v>0</v>
      </c>
      <c r="V21" s="72">
        <f t="shared" si="2"/>
        <v>0</v>
      </c>
    </row>
    <row r="22" spans="2:22" x14ac:dyDescent="0.25">
      <c r="B22" s="49" t="s">
        <v>345</v>
      </c>
      <c r="C22">
        <f>+C18</f>
        <v>110</v>
      </c>
      <c r="D22" s="87" t="s">
        <v>163</v>
      </c>
      <c r="E22" s="11">
        <v>5</v>
      </c>
      <c r="F22" s="108">
        <f>+C22*E22</f>
        <v>550</v>
      </c>
      <c r="H22" s="132" t="s">
        <v>421</v>
      </c>
      <c r="I22" s="116">
        <f>+'HOUSE EST MODEL 2'!$C$17+'HOUSE EST MODEL 2'!$C$18</f>
        <v>201</v>
      </c>
      <c r="J22" s="133" t="s">
        <v>163</v>
      </c>
      <c r="K22" s="134">
        <v>6.8</v>
      </c>
      <c r="L22" s="135">
        <f>+K22/100</f>
        <v>6.8000000000000005E-2</v>
      </c>
      <c r="M22" s="136">
        <f t="shared" ref="M22:M23" si="11">+L22*I22</f>
        <v>13.668000000000001</v>
      </c>
      <c r="N22" s="137">
        <v>16</v>
      </c>
      <c r="O22" s="138">
        <v>1</v>
      </c>
      <c r="P22" s="139">
        <f>+M22/O22</f>
        <v>13.668000000000001</v>
      </c>
      <c r="Q22" s="140">
        <f>+P22/160</f>
        <v>8.5425000000000001E-2</v>
      </c>
      <c r="R22" s="154">
        <f>+N22*M22*O22</f>
        <v>218.68800000000002</v>
      </c>
      <c r="T22" t="str">
        <f t="shared" si="1"/>
        <v>Laborer</v>
      </c>
      <c r="U22" s="57">
        <f t="shared" si="3"/>
        <v>259.69200000000001</v>
      </c>
      <c r="V22" s="72">
        <f t="shared" si="2"/>
        <v>1.623075</v>
      </c>
    </row>
    <row r="23" spans="2:22" x14ac:dyDescent="0.25">
      <c r="B23" s="49" t="s">
        <v>346</v>
      </c>
      <c r="C23">
        <f>6*10</f>
        <v>60</v>
      </c>
      <c r="D23" s="87" t="s">
        <v>163</v>
      </c>
      <c r="E23" s="11">
        <v>5</v>
      </c>
      <c r="F23" s="108">
        <f t="shared" ref="F23" si="12">+C23*E23</f>
        <v>300</v>
      </c>
      <c r="H23" s="132" t="s">
        <v>427</v>
      </c>
      <c r="I23" s="116">
        <f>+I22</f>
        <v>201</v>
      </c>
      <c r="J23" s="133" t="s">
        <v>163</v>
      </c>
      <c r="K23" s="145">
        <f>+K22</f>
        <v>6.8</v>
      </c>
      <c r="L23" s="135">
        <f>+K23/100</f>
        <v>6.8000000000000005E-2</v>
      </c>
      <c r="M23" s="136">
        <f t="shared" si="11"/>
        <v>13.668000000000001</v>
      </c>
      <c r="N23" s="137">
        <v>10</v>
      </c>
      <c r="O23" s="138">
        <v>1</v>
      </c>
      <c r="P23" s="139">
        <f>+M23/O23</f>
        <v>13.668000000000001</v>
      </c>
      <c r="Q23" s="140">
        <f>+P23/160</f>
        <v>8.5425000000000001E-2</v>
      </c>
      <c r="R23" s="154">
        <f>+N23*M23*O23</f>
        <v>136.68</v>
      </c>
      <c r="T23" t="str">
        <f t="shared" si="1"/>
        <v>Helper</v>
      </c>
      <c r="U23" s="57">
        <f t="shared" si="3"/>
        <v>259.69200000000001</v>
      </c>
      <c r="V23" s="72">
        <f t="shared" si="2"/>
        <v>1.623075</v>
      </c>
    </row>
    <row r="24" spans="2:22" x14ac:dyDescent="0.25">
      <c r="B24" s="47" t="s">
        <v>347</v>
      </c>
      <c r="C24" s="47"/>
      <c r="D24" s="47"/>
      <c r="E24" s="47"/>
      <c r="F24" s="65"/>
      <c r="H24" s="125" t="s">
        <v>343</v>
      </c>
      <c r="I24" s="125"/>
      <c r="J24" s="125"/>
      <c r="K24" s="125"/>
      <c r="L24" s="125"/>
      <c r="M24" s="125"/>
      <c r="N24" s="125"/>
      <c r="O24" s="125"/>
      <c r="P24" s="125"/>
      <c r="Q24" s="125"/>
      <c r="R24" s="126">
        <f>+R25+R26</f>
        <v>72.8</v>
      </c>
      <c r="T24" s="89" t="str">
        <f t="shared" si="1"/>
        <v>Exterior Doors</v>
      </c>
      <c r="U24" s="57">
        <f t="shared" si="3"/>
        <v>0</v>
      </c>
      <c r="V24" s="72">
        <f t="shared" si="2"/>
        <v>0</v>
      </c>
    </row>
    <row r="25" spans="2:22" x14ac:dyDescent="0.25">
      <c r="B25" s="48" t="s">
        <v>348</v>
      </c>
      <c r="C25" s="48"/>
      <c r="D25" s="48"/>
      <c r="E25" s="48"/>
      <c r="F25" s="66"/>
      <c r="H25" s="132" t="s">
        <v>421</v>
      </c>
      <c r="I25" s="116">
        <f>+'HOUSE EST MODEL 2'!$C$20</f>
        <v>1</v>
      </c>
      <c r="J25" s="133" t="s">
        <v>324</v>
      </c>
      <c r="K25" s="133"/>
      <c r="L25" s="133">
        <v>2.8</v>
      </c>
      <c r="M25" s="136">
        <f t="shared" ref="M25:M26" si="13">+L25*I25</f>
        <v>2.8</v>
      </c>
      <c r="N25" s="137">
        <v>16</v>
      </c>
      <c r="O25" s="138">
        <v>1</v>
      </c>
      <c r="P25" s="139">
        <f>+M25/O25</f>
        <v>2.8</v>
      </c>
      <c r="Q25" s="140">
        <f>+P25/160</f>
        <v>1.7499999999999998E-2</v>
      </c>
      <c r="R25" s="154">
        <f>+N25*M25*O25</f>
        <v>44.8</v>
      </c>
      <c r="T25" t="str">
        <f t="shared" si="1"/>
        <v>Laborer</v>
      </c>
      <c r="U25" s="57">
        <f t="shared" si="3"/>
        <v>53.199999999999996</v>
      </c>
      <c r="V25" s="72">
        <f t="shared" si="2"/>
        <v>0.33249999999999996</v>
      </c>
    </row>
    <row r="26" spans="2:22" x14ac:dyDescent="0.25">
      <c r="B26" s="49" t="s">
        <v>349</v>
      </c>
      <c r="C26" s="57">
        <v>50</v>
      </c>
      <c r="D26" s="87" t="s">
        <v>163</v>
      </c>
      <c r="E26" s="11">
        <v>23</v>
      </c>
      <c r="F26" s="108">
        <f t="shared" ref="F26:F32" si="14">+C26*E26</f>
        <v>1150</v>
      </c>
      <c r="G26" s="13"/>
      <c r="H26" s="132" t="s">
        <v>427</v>
      </c>
      <c r="I26" s="116">
        <f>+I25</f>
        <v>1</v>
      </c>
      <c r="J26" s="133" t="s">
        <v>324</v>
      </c>
      <c r="K26" s="133"/>
      <c r="L26" s="133">
        <f>+L25</f>
        <v>2.8</v>
      </c>
      <c r="M26" s="136">
        <f t="shared" si="13"/>
        <v>2.8</v>
      </c>
      <c r="N26" s="137">
        <v>10</v>
      </c>
      <c r="O26" s="138">
        <v>1</v>
      </c>
      <c r="P26" s="139">
        <f>+M26/O26</f>
        <v>2.8</v>
      </c>
      <c r="Q26" s="140">
        <f>+P26/160</f>
        <v>1.7499999999999998E-2</v>
      </c>
      <c r="R26" s="154">
        <f>+N26*M26*O26</f>
        <v>28</v>
      </c>
      <c r="T26" t="str">
        <f t="shared" si="1"/>
        <v>Helper</v>
      </c>
      <c r="U26" s="57">
        <f t="shared" si="3"/>
        <v>53.199999999999996</v>
      </c>
      <c r="V26" s="72">
        <f t="shared" si="2"/>
        <v>0.33249999999999996</v>
      </c>
    </row>
    <row r="27" spans="2:22" x14ac:dyDescent="0.25">
      <c r="B27" s="49" t="s">
        <v>350</v>
      </c>
      <c r="C27" s="57">
        <v>50</v>
      </c>
      <c r="D27" s="87" t="s">
        <v>163</v>
      </c>
      <c r="E27" s="11">
        <v>38</v>
      </c>
      <c r="F27" s="108">
        <f t="shared" si="14"/>
        <v>1900</v>
      </c>
      <c r="G27" s="13"/>
      <c r="H27" s="125" t="s">
        <v>242</v>
      </c>
      <c r="I27" s="125"/>
      <c r="J27" s="125"/>
      <c r="K27" s="125"/>
      <c r="L27" s="125"/>
      <c r="M27" s="125"/>
      <c r="N27" s="125"/>
      <c r="O27" s="125"/>
      <c r="P27" s="125"/>
      <c r="Q27" s="125"/>
      <c r="R27" s="126">
        <f>+R28+R29</f>
        <v>147.33333333333334</v>
      </c>
      <c r="T27" s="89" t="str">
        <f t="shared" si="1"/>
        <v>Gutters</v>
      </c>
      <c r="U27" s="57">
        <f t="shared" si="3"/>
        <v>0</v>
      </c>
      <c r="V27" s="72">
        <f t="shared" si="2"/>
        <v>0</v>
      </c>
    </row>
    <row r="28" spans="2:22" x14ac:dyDescent="0.25">
      <c r="B28" s="49" t="s">
        <v>351</v>
      </c>
      <c r="C28">
        <v>1</v>
      </c>
      <c r="D28" s="87" t="s">
        <v>324</v>
      </c>
      <c r="E28" s="11">
        <v>625</v>
      </c>
      <c r="F28" s="108">
        <f t="shared" si="14"/>
        <v>625</v>
      </c>
      <c r="H28" s="132" t="s">
        <v>421</v>
      </c>
      <c r="I28" s="116">
        <f>+'HOUSE EST MODEL 2'!$C$22+'HOUSE EST MODEL 2'!$C$23</f>
        <v>170</v>
      </c>
      <c r="J28" s="133" t="s">
        <v>163</v>
      </c>
      <c r="K28" s="133"/>
      <c r="L28" s="146">
        <f>1/30</f>
        <v>3.3333333333333333E-2</v>
      </c>
      <c r="M28" s="136">
        <f t="shared" ref="M28:M29" si="15">+L28*I28</f>
        <v>5.666666666666667</v>
      </c>
      <c r="N28" s="137">
        <v>16</v>
      </c>
      <c r="O28" s="138">
        <v>1</v>
      </c>
      <c r="P28" s="139">
        <f>+M28/O28</f>
        <v>5.666666666666667</v>
      </c>
      <c r="Q28" s="140">
        <f>+P28/160</f>
        <v>3.5416666666666666E-2</v>
      </c>
      <c r="R28" s="154">
        <f>+N28*M28*O28</f>
        <v>90.666666666666671</v>
      </c>
      <c r="T28" t="str">
        <f t="shared" si="1"/>
        <v>Laborer</v>
      </c>
      <c r="U28" s="57">
        <f t="shared" si="3"/>
        <v>107.66666666666667</v>
      </c>
      <c r="V28" s="72">
        <f t="shared" si="2"/>
        <v>0.67291666666666661</v>
      </c>
    </row>
    <row r="29" spans="2:22" x14ac:dyDescent="0.25">
      <c r="B29" s="48" t="s">
        <v>352</v>
      </c>
      <c r="C29" s="48"/>
      <c r="D29" s="48"/>
      <c r="E29" s="48"/>
      <c r="F29" s="66"/>
      <c r="H29" s="132" t="s">
        <v>427</v>
      </c>
      <c r="I29" s="116">
        <f>+I28</f>
        <v>170</v>
      </c>
      <c r="J29" s="133" t="s">
        <v>163</v>
      </c>
      <c r="K29" s="133"/>
      <c r="L29" s="146">
        <f>+L28</f>
        <v>3.3333333333333333E-2</v>
      </c>
      <c r="M29" s="136">
        <f t="shared" si="15"/>
        <v>5.666666666666667</v>
      </c>
      <c r="N29" s="137">
        <v>10</v>
      </c>
      <c r="O29" s="138">
        <v>1</v>
      </c>
      <c r="P29" s="139">
        <f>+M29/O29</f>
        <v>5.666666666666667</v>
      </c>
      <c r="Q29" s="140">
        <f>+P29/160</f>
        <v>3.5416666666666666E-2</v>
      </c>
      <c r="R29" s="154">
        <f>+N29*M29*O29</f>
        <v>56.666666666666671</v>
      </c>
      <c r="T29" t="str">
        <f t="shared" si="1"/>
        <v>Helper</v>
      </c>
      <c r="U29" s="57">
        <f t="shared" si="3"/>
        <v>107.66666666666667</v>
      </c>
      <c r="V29" s="72">
        <f t="shared" si="2"/>
        <v>0.67291666666666661</v>
      </c>
    </row>
    <row r="30" spans="2:22" x14ac:dyDescent="0.25">
      <c r="B30" s="49" t="s">
        <v>353</v>
      </c>
      <c r="C30">
        <f>80+30</f>
        <v>110</v>
      </c>
      <c r="D30" s="87" t="s">
        <v>163</v>
      </c>
      <c r="E30" s="11">
        <v>23.4375</v>
      </c>
      <c r="F30" s="108">
        <f t="shared" si="14"/>
        <v>2578.125</v>
      </c>
      <c r="H30" s="123" t="s">
        <v>347</v>
      </c>
      <c r="I30" s="123"/>
      <c r="J30" s="123"/>
      <c r="K30" s="123"/>
      <c r="L30" s="123"/>
      <c r="M30" s="123"/>
      <c r="N30" s="123"/>
      <c r="O30" s="123"/>
      <c r="P30" s="123"/>
      <c r="Q30" s="123"/>
      <c r="R30" s="124"/>
      <c r="T30" s="90" t="str">
        <f t="shared" si="1"/>
        <v xml:space="preserve">MEP's </v>
      </c>
      <c r="U30" s="57">
        <f t="shared" si="3"/>
        <v>0</v>
      </c>
      <c r="V30" s="72">
        <f t="shared" si="2"/>
        <v>0</v>
      </c>
    </row>
    <row r="31" spans="2:22" x14ac:dyDescent="0.25">
      <c r="B31" s="48" t="s">
        <v>258</v>
      </c>
      <c r="C31" s="48"/>
      <c r="D31" s="48"/>
      <c r="E31" s="48"/>
      <c r="F31" s="66"/>
      <c r="H31" s="125" t="s">
        <v>348</v>
      </c>
      <c r="I31" s="125"/>
      <c r="J31" s="125"/>
      <c r="K31" s="125"/>
      <c r="L31" s="125"/>
      <c r="M31" s="125"/>
      <c r="N31" s="125"/>
      <c r="O31" s="125"/>
      <c r="P31" s="125"/>
      <c r="Q31" s="125"/>
      <c r="R31" s="126">
        <f>+R32+R33</f>
        <v>364.00000000000006</v>
      </c>
      <c r="T31" s="89" t="str">
        <f t="shared" si="1"/>
        <v>Plumbing Roughs</v>
      </c>
      <c r="U31" s="57">
        <f t="shared" si="3"/>
        <v>0</v>
      </c>
      <c r="V31" s="72">
        <f t="shared" si="2"/>
        <v>0</v>
      </c>
    </row>
    <row r="32" spans="2:22" x14ac:dyDescent="0.25">
      <c r="B32" s="49" t="s">
        <v>354</v>
      </c>
      <c r="C32">
        <v>1</v>
      </c>
      <c r="D32" s="87" t="s">
        <v>324</v>
      </c>
      <c r="E32" s="11">
        <v>6000</v>
      </c>
      <c r="F32" s="108">
        <f t="shared" si="14"/>
        <v>6000</v>
      </c>
      <c r="H32" s="132" t="s">
        <v>428</v>
      </c>
      <c r="I32" s="136">
        <f>+'HOUSE EST MODEL 2'!$C$26+'HOUSE EST MODEL 2'!$C$27</f>
        <v>100</v>
      </c>
      <c r="J32" s="133" t="s">
        <v>163</v>
      </c>
      <c r="K32" s="133"/>
      <c r="L32" s="133">
        <v>0.14000000000000001</v>
      </c>
      <c r="M32" s="136">
        <f t="shared" ref="M32:M33" si="16">+L32*I32</f>
        <v>14.000000000000002</v>
      </c>
      <c r="N32" s="137">
        <v>16</v>
      </c>
      <c r="O32" s="138">
        <v>1</v>
      </c>
      <c r="P32" s="139">
        <f>+M32/O32</f>
        <v>14.000000000000002</v>
      </c>
      <c r="Q32" s="140">
        <f>+P32/160</f>
        <v>8.7500000000000008E-2</v>
      </c>
      <c r="R32" s="154">
        <f>+N32*M32*O32</f>
        <v>224.00000000000003</v>
      </c>
      <c r="T32" t="str">
        <f t="shared" si="1"/>
        <v>Plumber</v>
      </c>
      <c r="U32" s="57">
        <f t="shared" si="3"/>
        <v>266.00000000000006</v>
      </c>
      <c r="V32" s="72">
        <f t="shared" si="2"/>
        <v>1.6625000000000001</v>
      </c>
    </row>
    <row r="33" spans="2:22" x14ac:dyDescent="0.25">
      <c r="B33" s="47" t="s">
        <v>263</v>
      </c>
      <c r="C33" s="47"/>
      <c r="D33" s="47"/>
      <c r="E33" s="47"/>
      <c r="F33" s="65"/>
      <c r="H33" s="132" t="s">
        <v>427</v>
      </c>
      <c r="I33" s="136">
        <f>+I32</f>
        <v>100</v>
      </c>
      <c r="J33" s="133" t="s">
        <v>163</v>
      </c>
      <c r="K33" s="133"/>
      <c r="L33" s="133">
        <f>+L32</f>
        <v>0.14000000000000001</v>
      </c>
      <c r="M33" s="136">
        <f t="shared" si="16"/>
        <v>14.000000000000002</v>
      </c>
      <c r="N33" s="137">
        <v>10</v>
      </c>
      <c r="O33" s="138">
        <v>1</v>
      </c>
      <c r="P33" s="139">
        <f>+M33/O33</f>
        <v>14.000000000000002</v>
      </c>
      <c r="Q33" s="140">
        <f>+P33/160</f>
        <v>8.7500000000000008E-2</v>
      </c>
      <c r="R33" s="154">
        <f>+N33*M33*O33</f>
        <v>140.00000000000003</v>
      </c>
      <c r="T33" t="str">
        <f t="shared" si="1"/>
        <v>Helper</v>
      </c>
      <c r="U33" s="57">
        <f t="shared" si="3"/>
        <v>266.00000000000006</v>
      </c>
      <c r="V33" s="72">
        <f t="shared" si="2"/>
        <v>1.6625000000000001</v>
      </c>
    </row>
    <row r="34" spans="2:22" x14ac:dyDescent="0.25">
      <c r="B34" s="48" t="s">
        <v>264</v>
      </c>
      <c r="C34" s="48"/>
      <c r="D34" s="48"/>
      <c r="E34" s="48"/>
      <c r="F34" s="66"/>
      <c r="H34" s="125" t="s">
        <v>352</v>
      </c>
      <c r="I34" s="125"/>
      <c r="J34" s="125"/>
      <c r="K34" s="125"/>
      <c r="L34" s="125"/>
      <c r="M34" s="125"/>
      <c r="N34" s="125"/>
      <c r="O34" s="125"/>
      <c r="P34" s="125"/>
      <c r="Q34" s="125"/>
      <c r="R34" s="126">
        <f>+R35+R36</f>
        <v>1430</v>
      </c>
      <c r="T34" s="89" t="str">
        <f t="shared" si="1"/>
        <v>Electrical Roughs</v>
      </c>
      <c r="U34" s="57">
        <f t="shared" si="3"/>
        <v>0</v>
      </c>
      <c r="V34" s="72">
        <f t="shared" si="2"/>
        <v>0</v>
      </c>
    </row>
    <row r="35" spans="2:22" x14ac:dyDescent="0.25">
      <c r="B35" s="49" t="s">
        <v>355</v>
      </c>
      <c r="C35">
        <f>9*110</f>
        <v>990</v>
      </c>
      <c r="D35" s="87" t="s">
        <v>40</v>
      </c>
      <c r="E35" s="11">
        <v>2.5</v>
      </c>
      <c r="F35" s="108">
        <f t="shared" ref="F35:F60" si="17">+C35*E35</f>
        <v>2475</v>
      </c>
      <c r="H35" s="147" t="s">
        <v>429</v>
      </c>
      <c r="I35" s="116">
        <f>+'HOUSE EST MODEL 2'!$C$30</f>
        <v>110</v>
      </c>
      <c r="J35" s="133" t="s">
        <v>163</v>
      </c>
      <c r="K35" s="133"/>
      <c r="L35" s="133">
        <v>0.5</v>
      </c>
      <c r="M35" s="136">
        <f t="shared" ref="M35:M36" si="18">+L35*I35</f>
        <v>55</v>
      </c>
      <c r="N35" s="137">
        <v>16</v>
      </c>
      <c r="O35" s="138">
        <v>1</v>
      </c>
      <c r="P35" s="139">
        <f>+M35/O35</f>
        <v>55</v>
      </c>
      <c r="Q35" s="140">
        <f>+P35/160</f>
        <v>0.34375</v>
      </c>
      <c r="R35" s="154">
        <f>+N35*M35*O35</f>
        <v>880</v>
      </c>
      <c r="T35" t="str">
        <f t="shared" si="1"/>
        <v>Electrician</v>
      </c>
      <c r="U35" s="57">
        <f t="shared" si="3"/>
        <v>1045</v>
      </c>
      <c r="V35" s="72">
        <f t="shared" si="2"/>
        <v>6.53125</v>
      </c>
    </row>
    <row r="36" spans="2:22" x14ac:dyDescent="0.25">
      <c r="B36" s="49" t="s">
        <v>356</v>
      </c>
      <c r="C36" s="57">
        <f>+$F$1</f>
        <v>475</v>
      </c>
      <c r="D36" s="87" t="s">
        <v>40</v>
      </c>
      <c r="E36" s="11">
        <v>2.5</v>
      </c>
      <c r="F36" s="108">
        <f t="shared" si="17"/>
        <v>1187.5</v>
      </c>
      <c r="H36" s="147" t="s">
        <v>427</v>
      </c>
      <c r="I36" s="116">
        <f>+I35</f>
        <v>110</v>
      </c>
      <c r="J36" s="133" t="s">
        <v>163</v>
      </c>
      <c r="K36" s="133"/>
      <c r="L36" s="133">
        <f>+L35</f>
        <v>0.5</v>
      </c>
      <c r="M36" s="136">
        <f t="shared" si="18"/>
        <v>55</v>
      </c>
      <c r="N36" s="137">
        <v>10</v>
      </c>
      <c r="O36" s="138">
        <v>1</v>
      </c>
      <c r="P36" s="139">
        <f>+M36/O36</f>
        <v>55</v>
      </c>
      <c r="Q36" s="140">
        <f>+P36/160</f>
        <v>0.34375</v>
      </c>
      <c r="R36" s="154">
        <f>+N36*M36*O36</f>
        <v>550</v>
      </c>
      <c r="T36" t="str">
        <f t="shared" si="1"/>
        <v>Helper</v>
      </c>
      <c r="U36" s="57">
        <f t="shared" si="3"/>
        <v>1045</v>
      </c>
      <c r="V36" s="72">
        <f t="shared" si="2"/>
        <v>6.53125</v>
      </c>
    </row>
    <row r="37" spans="2:22" x14ac:dyDescent="0.25">
      <c r="B37" s="48" t="s">
        <v>266</v>
      </c>
      <c r="C37" s="48"/>
      <c r="D37" s="48"/>
      <c r="E37" s="48"/>
      <c r="F37" s="66"/>
      <c r="H37" s="125" t="s">
        <v>258</v>
      </c>
      <c r="I37" s="125"/>
      <c r="J37" s="125"/>
      <c r="K37" s="125"/>
      <c r="L37" s="125"/>
      <c r="M37" s="125"/>
      <c r="N37" s="125"/>
      <c r="O37" s="125"/>
      <c r="P37" s="125"/>
      <c r="Q37" s="125"/>
      <c r="R37" s="126">
        <f>+R38+R39</f>
        <v>1440</v>
      </c>
      <c r="T37" s="89" t="str">
        <f t="shared" si="1"/>
        <v>HVAC</v>
      </c>
      <c r="U37" s="57">
        <f t="shared" si="3"/>
        <v>0</v>
      </c>
      <c r="V37" s="72">
        <f t="shared" si="2"/>
        <v>0</v>
      </c>
    </row>
    <row r="38" spans="2:22" x14ac:dyDescent="0.25">
      <c r="B38" s="49" t="s">
        <v>357</v>
      </c>
      <c r="C38">
        <f>150*9</f>
        <v>1350</v>
      </c>
      <c r="D38" s="87" t="s">
        <v>40</v>
      </c>
      <c r="E38" s="11">
        <v>2.21</v>
      </c>
      <c r="F38" s="108">
        <f t="shared" si="17"/>
        <v>2983.5</v>
      </c>
      <c r="H38" s="132" t="s">
        <v>421</v>
      </c>
      <c r="I38" s="116">
        <f>+'HOUSE EST MODEL 2'!$C$32</f>
        <v>1</v>
      </c>
      <c r="J38" s="133" t="s">
        <v>324</v>
      </c>
      <c r="K38" s="133"/>
      <c r="L38" s="133">
        <v>24</v>
      </c>
      <c r="M38" s="136">
        <f t="shared" ref="M38:M39" si="19">+L38*I38</f>
        <v>24</v>
      </c>
      <c r="N38" s="137">
        <v>30</v>
      </c>
      <c r="O38" s="138">
        <v>1</v>
      </c>
      <c r="P38" s="139">
        <f>+M38/O38</f>
        <v>24</v>
      </c>
      <c r="Q38" s="140">
        <f>+P38/160</f>
        <v>0.15</v>
      </c>
      <c r="R38" s="154">
        <f>+N38*M38*O38</f>
        <v>720</v>
      </c>
      <c r="T38" t="str">
        <f t="shared" si="1"/>
        <v>Laborer</v>
      </c>
      <c r="U38" s="57">
        <f t="shared" si="3"/>
        <v>456</v>
      </c>
      <c r="V38" s="72">
        <f t="shared" si="2"/>
        <v>2.85</v>
      </c>
    </row>
    <row r="39" spans="2:22" x14ac:dyDescent="0.25">
      <c r="B39" s="48" t="s">
        <v>359</v>
      </c>
      <c r="C39" s="48"/>
      <c r="D39" s="48"/>
      <c r="E39" s="48"/>
      <c r="F39" s="66"/>
      <c r="H39" s="132" t="s">
        <v>421</v>
      </c>
      <c r="I39" s="116">
        <v>1</v>
      </c>
      <c r="J39" s="133" t="s">
        <v>324</v>
      </c>
      <c r="K39" s="133"/>
      <c r="L39" s="133">
        <f>+L38</f>
        <v>24</v>
      </c>
      <c r="M39" s="136">
        <f t="shared" si="19"/>
        <v>24</v>
      </c>
      <c r="N39" s="137">
        <v>30</v>
      </c>
      <c r="O39" s="138">
        <v>1</v>
      </c>
      <c r="P39" s="139">
        <f>+M39/O39</f>
        <v>24</v>
      </c>
      <c r="Q39" s="140">
        <f>+P39/160</f>
        <v>0.15</v>
      </c>
      <c r="R39" s="154">
        <f>+N39*M39*O39</f>
        <v>720</v>
      </c>
      <c r="T39" t="str">
        <f t="shared" si="1"/>
        <v>Laborer</v>
      </c>
      <c r="U39" s="57">
        <f t="shared" si="3"/>
        <v>456</v>
      </c>
      <c r="V39" s="72">
        <f t="shared" si="2"/>
        <v>2.85</v>
      </c>
    </row>
    <row r="40" spans="2:22" x14ac:dyDescent="0.25">
      <c r="B40" s="49" t="s">
        <v>360</v>
      </c>
      <c r="C40">
        <v>5</v>
      </c>
      <c r="D40" s="87" t="s">
        <v>324</v>
      </c>
      <c r="E40" s="11">
        <f>+SPECS!I37</f>
        <v>141.48000000000002</v>
      </c>
      <c r="F40" s="108">
        <f t="shared" si="17"/>
        <v>707.40000000000009</v>
      </c>
      <c r="H40" s="123" t="s">
        <v>263</v>
      </c>
      <c r="I40" s="123"/>
      <c r="J40" s="123"/>
      <c r="K40" s="123"/>
      <c r="L40" s="123"/>
      <c r="M40" s="123"/>
      <c r="N40" s="123"/>
      <c r="O40" s="123"/>
      <c r="P40" s="123"/>
      <c r="Q40" s="123"/>
      <c r="R40" s="124"/>
      <c r="T40" s="90" t="str">
        <f t="shared" si="1"/>
        <v>Finishes</v>
      </c>
      <c r="U40" s="57">
        <f t="shared" si="3"/>
        <v>0</v>
      </c>
      <c r="V40" s="72">
        <f t="shared" si="2"/>
        <v>0</v>
      </c>
    </row>
    <row r="41" spans="2:22" x14ac:dyDescent="0.25">
      <c r="B41" s="49" t="s">
        <v>361</v>
      </c>
      <c r="C41">
        <v>1</v>
      </c>
      <c r="D41" s="87" t="s">
        <v>324</v>
      </c>
      <c r="E41" s="11">
        <f>+SPECS!I38</f>
        <v>109.47960000000002</v>
      </c>
      <c r="F41" s="108">
        <f t="shared" si="17"/>
        <v>109.47960000000002</v>
      </c>
      <c r="H41" s="125" t="s">
        <v>264</v>
      </c>
      <c r="I41" s="125"/>
      <c r="J41" s="125"/>
      <c r="K41" s="125"/>
      <c r="L41" s="125"/>
      <c r="M41" s="125"/>
      <c r="N41" s="125"/>
      <c r="O41" s="125"/>
      <c r="P41" s="125"/>
      <c r="Q41" s="125"/>
      <c r="R41" s="126">
        <f>+R42+R43</f>
        <v>571.34999999999991</v>
      </c>
      <c r="T41" s="89" t="str">
        <f t="shared" si="1"/>
        <v>Insulation</v>
      </c>
      <c r="U41" s="57">
        <f t="shared" si="3"/>
        <v>0</v>
      </c>
      <c r="V41" s="72">
        <f t="shared" si="2"/>
        <v>0</v>
      </c>
    </row>
    <row r="42" spans="2:22" x14ac:dyDescent="0.25">
      <c r="B42" s="49" t="s">
        <v>362</v>
      </c>
      <c r="C42">
        <v>150</v>
      </c>
      <c r="D42" s="87" t="s">
        <v>163</v>
      </c>
      <c r="E42" s="11">
        <f>+SPECS!I50</f>
        <v>2</v>
      </c>
      <c r="F42" s="108">
        <f t="shared" si="17"/>
        <v>300</v>
      </c>
      <c r="H42" s="132" t="s">
        <v>421</v>
      </c>
      <c r="I42" s="136">
        <f>+'HOUSE EST MODEL 2'!$C$35+'HOUSE EST MODEL 2'!$C$36</f>
        <v>1465</v>
      </c>
      <c r="J42" s="133" t="s">
        <v>40</v>
      </c>
      <c r="K42" s="133">
        <v>1.5</v>
      </c>
      <c r="L42" s="133">
        <f>+K42/100</f>
        <v>1.4999999999999999E-2</v>
      </c>
      <c r="M42" s="136">
        <f t="shared" ref="M42:M43" si="20">+L42*I42</f>
        <v>21.974999999999998</v>
      </c>
      <c r="N42" s="137">
        <v>16</v>
      </c>
      <c r="O42" s="138">
        <v>1</v>
      </c>
      <c r="P42" s="139">
        <f>+M42/O42</f>
        <v>21.974999999999998</v>
      </c>
      <c r="Q42" s="140">
        <f>+P42/160</f>
        <v>0.13734374999999999</v>
      </c>
      <c r="R42" s="154">
        <f>+N42*M42*O42</f>
        <v>351.59999999999997</v>
      </c>
      <c r="T42" t="str">
        <f t="shared" si="1"/>
        <v>Laborer</v>
      </c>
      <c r="U42" s="57">
        <f t="shared" si="3"/>
        <v>417.52499999999998</v>
      </c>
      <c r="V42" s="72">
        <f t="shared" si="2"/>
        <v>2.6095312499999999</v>
      </c>
    </row>
    <row r="43" spans="2:22" x14ac:dyDescent="0.25">
      <c r="B43" s="49" t="s">
        <v>363</v>
      </c>
      <c r="C43">
        <f>+(C40*(7+3))+((C40+C41)*(6+10))</f>
        <v>146</v>
      </c>
      <c r="D43" s="87" t="s">
        <v>163</v>
      </c>
      <c r="E43" s="11">
        <f>+E42</f>
        <v>2</v>
      </c>
      <c r="F43" s="108">
        <f t="shared" si="17"/>
        <v>292</v>
      </c>
      <c r="H43" s="132" t="s">
        <v>427</v>
      </c>
      <c r="I43" s="136">
        <f>+I42</f>
        <v>1465</v>
      </c>
      <c r="J43" s="133" t="s">
        <v>40</v>
      </c>
      <c r="K43" s="133">
        <f>+K42</f>
        <v>1.5</v>
      </c>
      <c r="L43" s="133">
        <f>+L42</f>
        <v>1.4999999999999999E-2</v>
      </c>
      <c r="M43" s="136">
        <f t="shared" si="20"/>
        <v>21.974999999999998</v>
      </c>
      <c r="N43" s="137">
        <v>10</v>
      </c>
      <c r="O43" s="138">
        <v>1</v>
      </c>
      <c r="P43" s="139">
        <f>+M43/O43</f>
        <v>21.974999999999998</v>
      </c>
      <c r="Q43" s="140">
        <f>+P43/160</f>
        <v>0.13734374999999999</v>
      </c>
      <c r="R43" s="154">
        <f>+N43*M43*O43</f>
        <v>219.74999999999997</v>
      </c>
      <c r="T43" t="str">
        <f t="shared" si="1"/>
        <v>Helper</v>
      </c>
      <c r="U43" s="57">
        <f t="shared" si="3"/>
        <v>417.52499999999998</v>
      </c>
      <c r="V43" s="72">
        <f t="shared" si="2"/>
        <v>2.6095312499999999</v>
      </c>
    </row>
    <row r="44" spans="2:22" x14ac:dyDescent="0.25">
      <c r="B44" s="48" t="s">
        <v>364</v>
      </c>
      <c r="C44" s="48"/>
      <c r="D44" s="48"/>
      <c r="E44" s="48"/>
      <c r="F44" s="66"/>
      <c r="H44" s="125" t="s">
        <v>266</v>
      </c>
      <c r="I44" s="125"/>
      <c r="J44" s="125"/>
      <c r="K44" s="125"/>
      <c r="L44" s="125"/>
      <c r="M44" s="125"/>
      <c r="N44" s="125"/>
      <c r="O44" s="125"/>
      <c r="P44" s="125"/>
      <c r="Q44" s="125"/>
      <c r="R44" s="126">
        <f>+R45+R46</f>
        <v>1298.7000000000003</v>
      </c>
      <c r="T44" s="89" t="str">
        <f t="shared" si="1"/>
        <v>Drywall</v>
      </c>
      <c r="U44" s="57">
        <f t="shared" si="3"/>
        <v>0</v>
      </c>
      <c r="V44" s="72">
        <f t="shared" si="2"/>
        <v>0</v>
      </c>
    </row>
    <row r="45" spans="2:22" x14ac:dyDescent="0.25">
      <c r="B45" s="49" t="s">
        <v>365</v>
      </c>
      <c r="C45">
        <f>+C38</f>
        <v>1350</v>
      </c>
      <c r="D45" s="87" t="s">
        <v>40</v>
      </c>
      <c r="E45" s="11">
        <v>2</v>
      </c>
      <c r="F45" s="108">
        <f t="shared" si="17"/>
        <v>2700</v>
      </c>
      <c r="H45" s="132" t="s">
        <v>421</v>
      </c>
      <c r="I45" s="116">
        <f>+'HOUSE EST MODEL 2'!$C$38</f>
        <v>1350</v>
      </c>
      <c r="J45" s="133" t="s">
        <v>40</v>
      </c>
      <c r="K45" s="133">
        <v>3.7</v>
      </c>
      <c r="L45" s="133">
        <f>+K45/100</f>
        <v>3.7000000000000005E-2</v>
      </c>
      <c r="M45" s="136">
        <f t="shared" ref="M45:M46" si="21">+L45*I45</f>
        <v>49.95000000000001</v>
      </c>
      <c r="N45" s="137">
        <v>16</v>
      </c>
      <c r="O45" s="138">
        <v>1</v>
      </c>
      <c r="P45" s="139">
        <f>+M45/O45</f>
        <v>49.95000000000001</v>
      </c>
      <c r="Q45" s="140">
        <f>+P45/160</f>
        <v>0.31218750000000006</v>
      </c>
      <c r="R45" s="154">
        <f>+N45*M45*O45</f>
        <v>799.20000000000016</v>
      </c>
      <c r="T45" t="str">
        <f t="shared" si="1"/>
        <v>Laborer</v>
      </c>
      <c r="U45" s="57">
        <f t="shared" si="3"/>
        <v>949.05000000000018</v>
      </c>
      <c r="V45" s="72">
        <f t="shared" si="2"/>
        <v>5.931562500000001</v>
      </c>
    </row>
    <row r="46" spans="2:22" x14ac:dyDescent="0.25">
      <c r="B46" s="49" t="s">
        <v>276</v>
      </c>
      <c r="C46" s="87">
        <f>+C14</f>
        <v>1100</v>
      </c>
      <c r="D46" s="87" t="s">
        <v>40</v>
      </c>
      <c r="E46" s="11">
        <v>3</v>
      </c>
      <c r="F46" s="108">
        <f t="shared" si="17"/>
        <v>3300</v>
      </c>
      <c r="H46" s="132" t="s">
        <v>427</v>
      </c>
      <c r="I46" s="133">
        <f>+I45</f>
        <v>1350</v>
      </c>
      <c r="J46" s="133" t="s">
        <v>40</v>
      </c>
      <c r="K46" s="133">
        <f>+K45</f>
        <v>3.7</v>
      </c>
      <c r="L46" s="133">
        <f>+L45</f>
        <v>3.7000000000000005E-2</v>
      </c>
      <c r="M46" s="136">
        <f t="shared" si="21"/>
        <v>49.95000000000001</v>
      </c>
      <c r="N46" s="137">
        <v>10</v>
      </c>
      <c r="O46" s="138">
        <v>1</v>
      </c>
      <c r="P46" s="139">
        <f>+M46/O46</f>
        <v>49.95000000000001</v>
      </c>
      <c r="Q46" s="140">
        <f>+P46/160</f>
        <v>0.31218750000000006</v>
      </c>
      <c r="R46" s="154">
        <f>+N46*M46*O46</f>
        <v>499.50000000000011</v>
      </c>
      <c r="T46" t="str">
        <f t="shared" si="1"/>
        <v>Helper</v>
      </c>
      <c r="U46" s="57">
        <f t="shared" si="3"/>
        <v>949.05000000000018</v>
      </c>
      <c r="V46" s="72">
        <f t="shared" si="2"/>
        <v>5.931562500000001</v>
      </c>
    </row>
    <row r="47" spans="2:22" x14ac:dyDescent="0.25">
      <c r="B47" s="48" t="s">
        <v>279</v>
      </c>
      <c r="C47" s="48"/>
      <c r="D47" s="48"/>
      <c r="E47" s="48"/>
      <c r="F47" s="66"/>
      <c r="H47" s="125" t="s">
        <v>359</v>
      </c>
      <c r="I47" s="125"/>
      <c r="J47" s="125"/>
      <c r="K47" s="125"/>
      <c r="L47" s="125"/>
      <c r="M47" s="125"/>
      <c r="N47" s="125"/>
      <c r="O47" s="125"/>
      <c r="P47" s="125"/>
      <c r="Q47" s="125"/>
      <c r="R47" s="126">
        <f>+R48+R49</f>
        <v>436.79999999999995</v>
      </c>
      <c r="T47" s="89" t="str">
        <f t="shared" si="1"/>
        <v>Interior Doors and Trim</v>
      </c>
      <c r="U47" s="57">
        <f t="shared" si="3"/>
        <v>0</v>
      </c>
      <c r="V47" s="72">
        <f t="shared" si="2"/>
        <v>0</v>
      </c>
    </row>
    <row r="48" spans="2:22" x14ac:dyDescent="0.25">
      <c r="B48" s="49" t="s">
        <v>366</v>
      </c>
      <c r="C48">
        <f>90+90</f>
        <v>180</v>
      </c>
      <c r="D48" s="87" t="s">
        <v>40</v>
      </c>
      <c r="E48" s="11">
        <f>+SPECS!I16</f>
        <v>3.0132000000000003</v>
      </c>
      <c r="F48" s="108">
        <f t="shared" si="17"/>
        <v>542.37600000000009</v>
      </c>
      <c r="H48" s="132" t="s">
        <v>421</v>
      </c>
      <c r="I48" s="116">
        <f>+'HOUSE EST MODEL 2'!$C$40+'HOUSE EST MODEL 2'!$C$41</f>
        <v>6</v>
      </c>
      <c r="J48" s="133" t="s">
        <v>324</v>
      </c>
      <c r="K48" s="133">
        <v>3.7</v>
      </c>
      <c r="L48" s="133">
        <v>2.8</v>
      </c>
      <c r="M48" s="136">
        <f t="shared" ref="M48:M49" si="22">+L48*I48</f>
        <v>16.799999999999997</v>
      </c>
      <c r="N48" s="137">
        <v>16</v>
      </c>
      <c r="O48" s="138">
        <v>1</v>
      </c>
      <c r="P48" s="139">
        <f>+M48/O48</f>
        <v>16.799999999999997</v>
      </c>
      <c r="Q48" s="140">
        <f>+P48/160</f>
        <v>0.10499999999999998</v>
      </c>
      <c r="R48" s="154">
        <f>+N48*M48*O48</f>
        <v>268.79999999999995</v>
      </c>
      <c r="T48" t="str">
        <f t="shared" si="1"/>
        <v>Laborer</v>
      </c>
      <c r="U48" s="57">
        <f t="shared" si="3"/>
        <v>319.19999999999993</v>
      </c>
      <c r="V48" s="72">
        <f t="shared" si="2"/>
        <v>1.9949999999999997</v>
      </c>
    </row>
    <row r="49" spans="2:22" x14ac:dyDescent="0.25">
      <c r="B49" s="49" t="s">
        <v>367</v>
      </c>
      <c r="C49" s="57">
        <v>274</v>
      </c>
      <c r="D49" s="87" t="s">
        <v>40</v>
      </c>
      <c r="E49" s="11">
        <f>+SPECS!I17</f>
        <v>4.4820000000000011</v>
      </c>
      <c r="F49" s="108">
        <f t="shared" si="17"/>
        <v>1228.0680000000002</v>
      </c>
      <c r="H49" s="132" t="s">
        <v>427</v>
      </c>
      <c r="I49" s="133">
        <f>+I48</f>
        <v>6</v>
      </c>
      <c r="J49" s="133" t="s">
        <v>324</v>
      </c>
      <c r="K49" s="133">
        <f>+K48</f>
        <v>3.7</v>
      </c>
      <c r="L49" s="133">
        <f>+L48</f>
        <v>2.8</v>
      </c>
      <c r="M49" s="136">
        <f t="shared" si="22"/>
        <v>16.799999999999997</v>
      </c>
      <c r="N49" s="137">
        <v>10</v>
      </c>
      <c r="O49" s="138">
        <v>1</v>
      </c>
      <c r="P49" s="139">
        <f>+M49/O49</f>
        <v>16.799999999999997</v>
      </c>
      <c r="Q49" s="140">
        <f>+P49/160</f>
        <v>0.10499999999999998</v>
      </c>
      <c r="R49" s="154">
        <f>+N49*M49*O49</f>
        <v>167.99999999999997</v>
      </c>
      <c r="T49" t="str">
        <f t="shared" si="1"/>
        <v>Helper</v>
      </c>
      <c r="U49" s="57">
        <f t="shared" si="3"/>
        <v>319.19999999999993</v>
      </c>
      <c r="V49" s="72">
        <f t="shared" si="2"/>
        <v>1.9949999999999997</v>
      </c>
    </row>
    <row r="50" spans="2:22" x14ac:dyDescent="0.25">
      <c r="B50" s="48" t="s">
        <v>282</v>
      </c>
      <c r="C50" s="48"/>
      <c r="D50" s="48"/>
      <c r="E50" s="48"/>
      <c r="F50" s="66"/>
      <c r="H50" s="125" t="s">
        <v>364</v>
      </c>
      <c r="I50" s="125"/>
      <c r="J50" s="125"/>
      <c r="K50" s="125"/>
      <c r="L50" s="125"/>
      <c r="M50" s="125"/>
      <c r="N50" s="125"/>
      <c r="O50" s="125"/>
      <c r="P50" s="125"/>
      <c r="Q50" s="125"/>
      <c r="R50" s="126">
        <f>+R51+R52</f>
        <v>1082.9000000000001</v>
      </c>
      <c r="T50" s="89" t="str">
        <f t="shared" si="1"/>
        <v>Painting</v>
      </c>
      <c r="U50" s="57">
        <f t="shared" si="3"/>
        <v>0</v>
      </c>
      <c r="V50" s="72">
        <f t="shared" si="2"/>
        <v>0</v>
      </c>
    </row>
    <row r="51" spans="2:22" x14ac:dyDescent="0.25">
      <c r="B51" s="49" t="s">
        <v>368</v>
      </c>
      <c r="C51">
        <v>21</v>
      </c>
      <c r="D51" s="87" t="s">
        <v>40</v>
      </c>
      <c r="E51" s="11">
        <f>+SPECS!I59</f>
        <v>4.6100000000000003</v>
      </c>
      <c r="F51" s="108">
        <f t="shared" si="17"/>
        <v>96.81</v>
      </c>
      <c r="H51" s="132" t="s">
        <v>421</v>
      </c>
      <c r="I51" s="116">
        <f>+'HOUSE EST MODEL 2'!$C$45+'HOUSE EST MODEL 2'!$C$46</f>
        <v>2450</v>
      </c>
      <c r="J51" s="133" t="s">
        <v>40</v>
      </c>
      <c r="K51" s="133">
        <v>1.7</v>
      </c>
      <c r="L51" s="133">
        <f>+K51/100</f>
        <v>1.7000000000000001E-2</v>
      </c>
      <c r="M51" s="136">
        <f t="shared" ref="M51:M52" si="23">+L51*I51</f>
        <v>41.650000000000006</v>
      </c>
      <c r="N51" s="137">
        <v>16</v>
      </c>
      <c r="O51" s="138">
        <v>1</v>
      </c>
      <c r="P51" s="139">
        <f>+M51/O51</f>
        <v>41.650000000000006</v>
      </c>
      <c r="Q51" s="140">
        <f>+P51/160</f>
        <v>0.26031250000000006</v>
      </c>
      <c r="R51" s="154">
        <f>+N51*M51*O51</f>
        <v>666.40000000000009</v>
      </c>
      <c r="T51" t="str">
        <f t="shared" si="1"/>
        <v>Laborer</v>
      </c>
      <c r="U51" s="57">
        <f t="shared" si="3"/>
        <v>791.35000000000014</v>
      </c>
      <c r="V51" s="72">
        <f t="shared" si="2"/>
        <v>4.9459375000000012</v>
      </c>
    </row>
    <row r="52" spans="2:22" x14ac:dyDescent="0.25">
      <c r="B52" s="49" t="s">
        <v>369</v>
      </c>
      <c r="C52">
        <f>8.5*9</f>
        <v>76.5</v>
      </c>
      <c r="D52" s="87" t="s">
        <v>40</v>
      </c>
      <c r="E52" s="11">
        <f>+SPECS!I61</f>
        <v>4.7300000000000004</v>
      </c>
      <c r="F52" s="108">
        <f t="shared" si="17"/>
        <v>361.84500000000003</v>
      </c>
      <c r="H52" s="132" t="s">
        <v>427</v>
      </c>
      <c r="I52" s="133">
        <f>+I51</f>
        <v>2450</v>
      </c>
      <c r="J52" s="133" t="s">
        <v>40</v>
      </c>
      <c r="K52" s="133">
        <f>+K51</f>
        <v>1.7</v>
      </c>
      <c r="L52" s="133">
        <f>+L51</f>
        <v>1.7000000000000001E-2</v>
      </c>
      <c r="M52" s="136">
        <f t="shared" si="23"/>
        <v>41.650000000000006</v>
      </c>
      <c r="N52" s="137">
        <v>10</v>
      </c>
      <c r="O52" s="138">
        <v>1</v>
      </c>
      <c r="P52" s="139">
        <f>+M52/O52</f>
        <v>41.650000000000006</v>
      </c>
      <c r="Q52" s="140">
        <f>+P52/160</f>
        <v>0.26031250000000006</v>
      </c>
      <c r="R52" s="154">
        <f>+N52*M52*O52</f>
        <v>416.50000000000006</v>
      </c>
      <c r="T52" t="str">
        <f t="shared" si="1"/>
        <v>Helper</v>
      </c>
      <c r="U52" s="57">
        <f t="shared" si="3"/>
        <v>791.35000000000014</v>
      </c>
      <c r="V52" s="72">
        <f t="shared" si="2"/>
        <v>4.9459375000000012</v>
      </c>
    </row>
    <row r="53" spans="2:22" x14ac:dyDescent="0.25">
      <c r="B53" s="49" t="s">
        <v>370</v>
      </c>
      <c r="C53">
        <v>7</v>
      </c>
      <c r="D53" s="87" t="s">
        <v>40</v>
      </c>
      <c r="E53" s="11">
        <f>+SPECS!I60</f>
        <v>4.5599999999999996</v>
      </c>
      <c r="F53" s="108">
        <f t="shared" si="17"/>
        <v>31.919999999999998</v>
      </c>
      <c r="H53" s="125" t="s">
        <v>279</v>
      </c>
      <c r="I53" s="125"/>
      <c r="J53" s="125"/>
      <c r="K53" s="125"/>
      <c r="L53" s="125"/>
      <c r="M53" s="125"/>
      <c r="N53" s="125"/>
      <c r="O53" s="125"/>
      <c r="P53" s="125"/>
      <c r="Q53" s="125"/>
      <c r="R53" s="126">
        <f>+R54+R55</f>
        <v>802.67200000000003</v>
      </c>
      <c r="T53" s="89" t="str">
        <f t="shared" si="1"/>
        <v>Flooring</v>
      </c>
      <c r="U53" s="57">
        <f t="shared" si="3"/>
        <v>0</v>
      </c>
      <c r="V53" s="72">
        <f t="shared" si="2"/>
        <v>0</v>
      </c>
    </row>
    <row r="54" spans="2:22" x14ac:dyDescent="0.25">
      <c r="B54" s="48" t="s">
        <v>371</v>
      </c>
      <c r="C54" s="48"/>
      <c r="D54" s="48"/>
      <c r="E54" s="48"/>
      <c r="F54" s="66"/>
      <c r="H54" s="132" t="s">
        <v>421</v>
      </c>
      <c r="I54" s="136">
        <f>+'HOUSE EST MODEL 2'!$C$48+'HOUSE EST MODEL 2'!$C$49</f>
        <v>454</v>
      </c>
      <c r="J54" s="133" t="s">
        <v>40</v>
      </c>
      <c r="K54" s="133">
        <v>6.8</v>
      </c>
      <c r="L54" s="133">
        <f>+K54/100</f>
        <v>6.8000000000000005E-2</v>
      </c>
      <c r="M54" s="136">
        <f t="shared" ref="M54:M55" si="24">+L54*I54</f>
        <v>30.872000000000003</v>
      </c>
      <c r="N54" s="137">
        <v>16</v>
      </c>
      <c r="O54" s="138">
        <v>1</v>
      </c>
      <c r="P54" s="139">
        <f>+M54/O54</f>
        <v>30.872000000000003</v>
      </c>
      <c r="Q54" s="140">
        <f>+P54/160</f>
        <v>0.19295000000000001</v>
      </c>
      <c r="R54" s="154">
        <f>+N54*M54*O54</f>
        <v>493.95200000000006</v>
      </c>
      <c r="T54" t="str">
        <f t="shared" si="1"/>
        <v>Laborer</v>
      </c>
      <c r="U54" s="57">
        <f t="shared" si="3"/>
        <v>586.5680000000001</v>
      </c>
      <c r="V54" s="72">
        <f t="shared" si="2"/>
        <v>3.6660500000000003</v>
      </c>
    </row>
    <row r="55" spans="2:22" x14ac:dyDescent="0.25">
      <c r="B55" s="49" t="s">
        <v>372</v>
      </c>
      <c r="C55">
        <v>30</v>
      </c>
      <c r="D55" s="87" t="s">
        <v>40</v>
      </c>
      <c r="E55" s="11">
        <f>+SPECS!I58</f>
        <v>4.3</v>
      </c>
      <c r="F55" s="108">
        <f t="shared" si="17"/>
        <v>129</v>
      </c>
      <c r="H55" s="132" t="s">
        <v>427</v>
      </c>
      <c r="I55" s="133">
        <f>+I54</f>
        <v>454</v>
      </c>
      <c r="J55" s="133" t="s">
        <v>40</v>
      </c>
      <c r="K55" s="133">
        <f>+K54</f>
        <v>6.8</v>
      </c>
      <c r="L55" s="133">
        <f>+L54</f>
        <v>6.8000000000000005E-2</v>
      </c>
      <c r="M55" s="136">
        <f t="shared" si="24"/>
        <v>30.872000000000003</v>
      </c>
      <c r="N55" s="137">
        <v>10</v>
      </c>
      <c r="O55" s="138">
        <v>1</v>
      </c>
      <c r="P55" s="139">
        <f>+M55/O55</f>
        <v>30.872000000000003</v>
      </c>
      <c r="Q55" s="140">
        <f>+P55/160</f>
        <v>0.19295000000000001</v>
      </c>
      <c r="R55" s="154">
        <f>+N55*M55*O55</f>
        <v>308.72000000000003</v>
      </c>
      <c r="T55" t="str">
        <f t="shared" si="1"/>
        <v>Helper</v>
      </c>
      <c r="U55" s="57">
        <f t="shared" si="3"/>
        <v>586.5680000000001</v>
      </c>
      <c r="V55" s="72">
        <f t="shared" si="2"/>
        <v>3.6660500000000003</v>
      </c>
    </row>
    <row r="56" spans="2:22" x14ac:dyDescent="0.25">
      <c r="B56" s="48" t="s">
        <v>373</v>
      </c>
      <c r="C56" s="48"/>
      <c r="D56" s="48"/>
      <c r="E56" s="48"/>
      <c r="F56" s="66"/>
      <c r="H56" s="125" t="s">
        <v>282</v>
      </c>
      <c r="I56" s="125"/>
      <c r="J56" s="125"/>
      <c r="K56" s="125"/>
      <c r="L56" s="125"/>
      <c r="M56" s="125"/>
      <c r="N56" s="125"/>
      <c r="O56" s="125"/>
      <c r="P56" s="125"/>
      <c r="Q56" s="125"/>
      <c r="R56" s="126">
        <f>+R57+R58</f>
        <v>214.64299999999997</v>
      </c>
      <c r="T56" s="89" t="str">
        <f t="shared" si="1"/>
        <v>Bathroom Tiling</v>
      </c>
      <c r="U56" s="57">
        <f t="shared" si="3"/>
        <v>0</v>
      </c>
      <c r="V56" s="72">
        <f t="shared" si="2"/>
        <v>0</v>
      </c>
    </row>
    <row r="57" spans="2:22" x14ac:dyDescent="0.25">
      <c r="B57" s="49" t="s">
        <v>374</v>
      </c>
      <c r="C57">
        <v>2</v>
      </c>
      <c r="D57" t="s">
        <v>324</v>
      </c>
      <c r="E57" s="11">
        <v>550</v>
      </c>
      <c r="F57" s="108">
        <f t="shared" si="17"/>
        <v>1100</v>
      </c>
      <c r="H57" s="132" t="s">
        <v>421</v>
      </c>
      <c r="I57" s="136">
        <f>+'HOUSE EST MODEL 2'!$C$51+'HOUSE EST MODEL 2'!$C$52+'HOUSE EST MODEL 2'!$C$53</f>
        <v>104.5</v>
      </c>
      <c r="J57" s="133" t="s">
        <v>40</v>
      </c>
      <c r="K57" s="133">
        <v>7.9</v>
      </c>
      <c r="L57" s="133">
        <f>+K57/100</f>
        <v>7.9000000000000001E-2</v>
      </c>
      <c r="M57" s="136">
        <f t="shared" ref="M57:M58" si="25">+L57*I57</f>
        <v>8.2554999999999996</v>
      </c>
      <c r="N57" s="137">
        <v>16</v>
      </c>
      <c r="O57" s="138">
        <v>1</v>
      </c>
      <c r="P57" s="139">
        <f>+M57/O57</f>
        <v>8.2554999999999996</v>
      </c>
      <c r="Q57" s="140">
        <f>+P57/160</f>
        <v>5.1596875E-2</v>
      </c>
      <c r="R57" s="154">
        <f>+N57*M57*O57</f>
        <v>132.08799999999999</v>
      </c>
      <c r="T57" t="str">
        <f t="shared" si="1"/>
        <v>Laborer</v>
      </c>
      <c r="U57" s="57">
        <f t="shared" si="3"/>
        <v>156.8545</v>
      </c>
      <c r="V57" s="72">
        <f t="shared" si="2"/>
        <v>0.98034062499999997</v>
      </c>
    </row>
    <row r="58" spans="2:22" x14ac:dyDescent="0.25">
      <c r="B58" s="49" t="s">
        <v>375</v>
      </c>
      <c r="C58">
        <v>2</v>
      </c>
      <c r="D58" t="s">
        <v>324</v>
      </c>
      <c r="E58" s="11">
        <v>450</v>
      </c>
      <c r="F58" s="108">
        <f t="shared" si="17"/>
        <v>900</v>
      </c>
      <c r="H58" s="132" t="s">
        <v>427</v>
      </c>
      <c r="I58" s="148">
        <f>+I57</f>
        <v>104.5</v>
      </c>
      <c r="J58" s="133" t="s">
        <v>40</v>
      </c>
      <c r="K58" s="133">
        <f>+K57</f>
        <v>7.9</v>
      </c>
      <c r="L58" s="133">
        <f>+L57</f>
        <v>7.9000000000000001E-2</v>
      </c>
      <c r="M58" s="136">
        <f t="shared" si="25"/>
        <v>8.2554999999999996</v>
      </c>
      <c r="N58" s="137">
        <v>10</v>
      </c>
      <c r="O58" s="138">
        <v>1</v>
      </c>
      <c r="P58" s="139">
        <f>+M58/O58</f>
        <v>8.2554999999999996</v>
      </c>
      <c r="Q58" s="140">
        <f>+P58/160</f>
        <v>5.1596875E-2</v>
      </c>
      <c r="R58" s="154">
        <f>+N58*M58*O58</f>
        <v>82.554999999999993</v>
      </c>
      <c r="T58" t="str">
        <f t="shared" si="1"/>
        <v>Helper</v>
      </c>
      <c r="U58" s="57">
        <f t="shared" si="3"/>
        <v>156.8545</v>
      </c>
      <c r="V58" s="72">
        <f t="shared" si="2"/>
        <v>0.98034062499999997</v>
      </c>
    </row>
    <row r="59" spans="2:22" x14ac:dyDescent="0.25">
      <c r="B59" s="48" t="s">
        <v>376</v>
      </c>
      <c r="C59" s="48"/>
      <c r="D59" s="48"/>
      <c r="E59" s="48"/>
      <c r="F59" s="66"/>
      <c r="H59" s="125" t="s">
        <v>371</v>
      </c>
      <c r="I59" s="125"/>
      <c r="J59" s="125"/>
      <c r="K59" s="125"/>
      <c r="L59" s="125"/>
      <c r="M59" s="125"/>
      <c r="N59" s="125"/>
      <c r="O59" s="125"/>
      <c r="P59" s="125"/>
      <c r="Q59" s="125"/>
      <c r="R59" s="126">
        <f>+R60+R61</f>
        <v>61.620000000000005</v>
      </c>
      <c r="T59" s="89" t="str">
        <f t="shared" si="1"/>
        <v>Kitchen Backsplash</v>
      </c>
      <c r="U59" s="57">
        <f t="shared" si="3"/>
        <v>0</v>
      </c>
      <c r="V59" s="72">
        <f t="shared" si="2"/>
        <v>0</v>
      </c>
    </row>
    <row r="60" spans="2:22" x14ac:dyDescent="0.25">
      <c r="B60" s="49" t="s">
        <v>377</v>
      </c>
      <c r="C60">
        <v>1</v>
      </c>
      <c r="D60" t="s">
        <v>324</v>
      </c>
      <c r="E60" s="11">
        <v>800</v>
      </c>
      <c r="F60" s="108">
        <f t="shared" si="17"/>
        <v>800</v>
      </c>
      <c r="H60" s="132" t="s">
        <v>421</v>
      </c>
      <c r="I60" s="136">
        <f>+'HOUSE EST MODEL 2'!$C$55</f>
        <v>30</v>
      </c>
      <c r="J60" s="133" t="s">
        <v>40</v>
      </c>
      <c r="K60" s="133">
        <v>7.9</v>
      </c>
      <c r="L60" s="133">
        <f>+K60/100</f>
        <v>7.9000000000000001E-2</v>
      </c>
      <c r="M60" s="136">
        <f t="shared" ref="M60:M61" si="26">+L60*I60</f>
        <v>2.37</v>
      </c>
      <c r="N60" s="137">
        <v>16</v>
      </c>
      <c r="O60" s="138">
        <v>1</v>
      </c>
      <c r="P60" s="139">
        <f>+M60/O60</f>
        <v>2.37</v>
      </c>
      <c r="Q60" s="140">
        <f>+P60/160</f>
        <v>1.4812500000000001E-2</v>
      </c>
      <c r="R60" s="154">
        <f>+N60*M60*O60</f>
        <v>37.92</v>
      </c>
      <c r="T60" t="str">
        <f t="shared" si="1"/>
        <v>Laborer</v>
      </c>
      <c r="U60" s="57">
        <f t="shared" si="3"/>
        <v>45.03</v>
      </c>
      <c r="V60" s="72">
        <f t="shared" si="2"/>
        <v>0.28143750000000001</v>
      </c>
    </row>
    <row r="61" spans="2:22" x14ac:dyDescent="0.25">
      <c r="B61" s="48" t="s">
        <v>378</v>
      </c>
      <c r="C61" s="48"/>
      <c r="D61" s="48"/>
      <c r="E61" s="48"/>
      <c r="F61" s="66"/>
      <c r="H61" s="132" t="s">
        <v>427</v>
      </c>
      <c r="I61" s="148">
        <f>+I60</f>
        <v>30</v>
      </c>
      <c r="J61" s="133" t="s">
        <v>40</v>
      </c>
      <c r="K61" s="133">
        <f>+K60</f>
        <v>7.9</v>
      </c>
      <c r="L61" s="133">
        <f>+L60</f>
        <v>7.9000000000000001E-2</v>
      </c>
      <c r="M61" s="136">
        <f t="shared" si="26"/>
        <v>2.37</v>
      </c>
      <c r="N61" s="137">
        <v>10</v>
      </c>
      <c r="O61" s="138">
        <v>1</v>
      </c>
      <c r="P61" s="139">
        <f>+M61/O61</f>
        <v>2.37</v>
      </c>
      <c r="Q61" s="140">
        <f>+P61/160</f>
        <v>1.4812500000000001E-2</v>
      </c>
      <c r="R61" s="154">
        <f>+N61*M61*O61</f>
        <v>23.700000000000003</v>
      </c>
      <c r="T61" t="str">
        <f t="shared" si="1"/>
        <v>Helper</v>
      </c>
      <c r="U61" s="57">
        <f t="shared" si="3"/>
        <v>45.03</v>
      </c>
      <c r="V61" s="72">
        <f t="shared" si="2"/>
        <v>0.28143750000000001</v>
      </c>
    </row>
    <row r="62" spans="2:22" x14ac:dyDescent="0.25">
      <c r="B62" s="49" t="s">
        <v>379</v>
      </c>
      <c r="C62">
        <v>45</v>
      </c>
      <c r="D62" t="s">
        <v>40</v>
      </c>
      <c r="E62" s="11">
        <f>+SPECS!I22</f>
        <v>52.92</v>
      </c>
      <c r="F62" s="108">
        <f>+C62*E62</f>
        <v>2381.4</v>
      </c>
      <c r="H62" s="125" t="s">
        <v>373</v>
      </c>
      <c r="I62" s="125"/>
      <c r="J62" s="125"/>
      <c r="K62" s="125"/>
      <c r="L62" s="125"/>
      <c r="M62" s="125"/>
      <c r="N62" s="125"/>
      <c r="O62" s="125"/>
      <c r="P62" s="125"/>
      <c r="Q62" s="125"/>
      <c r="R62" s="126">
        <f>+R63+R64</f>
        <v>156</v>
      </c>
      <c r="T62" s="89" t="str">
        <f t="shared" si="1"/>
        <v>Kitchen Cabinets</v>
      </c>
      <c r="U62" s="57">
        <f t="shared" si="3"/>
        <v>0</v>
      </c>
      <c r="V62" s="72">
        <f t="shared" si="2"/>
        <v>0</v>
      </c>
    </row>
    <row r="63" spans="2:22" x14ac:dyDescent="0.25">
      <c r="B63" s="48" t="s">
        <v>380</v>
      </c>
      <c r="C63" s="48"/>
      <c r="D63" s="48"/>
      <c r="E63" s="48"/>
      <c r="F63" s="66"/>
      <c r="H63" s="132" t="s">
        <v>421</v>
      </c>
      <c r="I63" s="136">
        <f>+'HOUSE EST MODEL 2'!$C$57</f>
        <v>2</v>
      </c>
      <c r="J63" s="116" t="s">
        <v>324</v>
      </c>
      <c r="K63" s="133"/>
      <c r="L63" s="133">
        <v>3</v>
      </c>
      <c r="M63" s="136">
        <f t="shared" ref="M63:M64" si="27">+L63*I63</f>
        <v>6</v>
      </c>
      <c r="N63" s="137">
        <v>16</v>
      </c>
      <c r="O63" s="138">
        <v>1</v>
      </c>
      <c r="P63" s="139">
        <f>+M63/O63</f>
        <v>6</v>
      </c>
      <c r="Q63" s="140">
        <f>+P63/160</f>
        <v>3.7499999999999999E-2</v>
      </c>
      <c r="R63" s="154">
        <f>+N63*M63*O63</f>
        <v>96</v>
      </c>
      <c r="T63" t="str">
        <f t="shared" si="1"/>
        <v>Laborer</v>
      </c>
      <c r="U63" s="57">
        <f t="shared" si="3"/>
        <v>114</v>
      </c>
      <c r="V63" s="72">
        <f t="shared" si="2"/>
        <v>0.71250000000000002</v>
      </c>
    </row>
    <row r="64" spans="2:22" x14ac:dyDescent="0.25">
      <c r="B64" s="49" t="s">
        <v>381</v>
      </c>
      <c r="C64">
        <v>4</v>
      </c>
      <c r="D64" s="87" t="s">
        <v>324</v>
      </c>
      <c r="E64" s="11">
        <f>+SPECS!I35</f>
        <v>10.8</v>
      </c>
      <c r="F64" s="108">
        <f t="shared" ref="F64:F85" si="28">+C64*E64</f>
        <v>43.2</v>
      </c>
      <c r="H64" s="132" t="s">
        <v>427</v>
      </c>
      <c r="I64" s="148">
        <f>+I63</f>
        <v>2</v>
      </c>
      <c r="J64" s="116" t="s">
        <v>324</v>
      </c>
      <c r="K64" s="133"/>
      <c r="L64" s="133">
        <f>+L63</f>
        <v>3</v>
      </c>
      <c r="M64" s="136">
        <f t="shared" si="27"/>
        <v>6</v>
      </c>
      <c r="N64" s="137">
        <v>10</v>
      </c>
      <c r="O64" s="138">
        <v>1</v>
      </c>
      <c r="P64" s="139">
        <f>+M64/O64</f>
        <v>6</v>
      </c>
      <c r="Q64" s="140">
        <f>+P64/160</f>
        <v>3.7499999999999999E-2</v>
      </c>
      <c r="R64" s="154">
        <f>+N64*M64*O64</f>
        <v>60</v>
      </c>
      <c r="T64" t="str">
        <f t="shared" si="1"/>
        <v>Helper</v>
      </c>
      <c r="U64" s="57">
        <f t="shared" si="3"/>
        <v>114</v>
      </c>
      <c r="V64" s="72">
        <f t="shared" si="2"/>
        <v>0.71250000000000002</v>
      </c>
    </row>
    <row r="65" spans="2:22" x14ac:dyDescent="0.25">
      <c r="B65" s="49" t="s">
        <v>382</v>
      </c>
      <c r="C65">
        <v>1</v>
      </c>
      <c r="D65" s="87" t="s">
        <v>324</v>
      </c>
      <c r="E65" s="11">
        <f>+SPECS!I36</f>
        <v>38.869200000000006</v>
      </c>
      <c r="F65" s="108">
        <f t="shared" si="28"/>
        <v>38.869200000000006</v>
      </c>
      <c r="H65" s="125" t="s">
        <v>376</v>
      </c>
      <c r="I65" s="125"/>
      <c r="J65" s="125"/>
      <c r="K65" s="125"/>
      <c r="L65" s="125"/>
      <c r="M65" s="125"/>
      <c r="N65" s="125"/>
      <c r="O65" s="125"/>
      <c r="P65" s="125"/>
      <c r="Q65" s="125"/>
      <c r="R65" s="126">
        <f>+R66+R67</f>
        <v>78</v>
      </c>
      <c r="T65" s="89" t="str">
        <f t="shared" si="1"/>
        <v>Bathroom Cabinets</v>
      </c>
      <c r="U65" s="57">
        <f t="shared" si="3"/>
        <v>0</v>
      </c>
      <c r="V65" s="72">
        <f t="shared" si="2"/>
        <v>0</v>
      </c>
    </row>
    <row r="66" spans="2:22" x14ac:dyDescent="0.25">
      <c r="B66" s="49" t="s">
        <v>383</v>
      </c>
      <c r="C66">
        <v>20</v>
      </c>
      <c r="D66" s="87" t="s">
        <v>324</v>
      </c>
      <c r="E66" s="11">
        <f>+SPECS!I39</f>
        <v>2.1384000000000003</v>
      </c>
      <c r="F66" s="108">
        <f t="shared" si="28"/>
        <v>42.768000000000008</v>
      </c>
      <c r="H66" s="132" t="s">
        <v>421</v>
      </c>
      <c r="I66" s="136">
        <f>+'HOUSE EST MODEL 2'!$C$60</f>
        <v>1</v>
      </c>
      <c r="J66" s="116" t="s">
        <v>324</v>
      </c>
      <c r="K66" s="133"/>
      <c r="L66" s="133">
        <v>3</v>
      </c>
      <c r="M66" s="136">
        <f t="shared" ref="M66:M67" si="29">+L66*I66</f>
        <v>3</v>
      </c>
      <c r="N66" s="137">
        <v>16</v>
      </c>
      <c r="O66" s="138">
        <v>1</v>
      </c>
      <c r="P66" s="139">
        <f>+M66/O66</f>
        <v>3</v>
      </c>
      <c r="Q66" s="140">
        <f>+P66/160</f>
        <v>1.8749999999999999E-2</v>
      </c>
      <c r="R66" s="154">
        <f>+N66*M66*O66</f>
        <v>48</v>
      </c>
      <c r="T66" t="str">
        <f t="shared" si="1"/>
        <v>Laborer</v>
      </c>
      <c r="U66" s="57">
        <f t="shared" si="3"/>
        <v>57</v>
      </c>
      <c r="V66" s="72">
        <f t="shared" si="2"/>
        <v>0.35625000000000001</v>
      </c>
    </row>
    <row r="67" spans="2:22" x14ac:dyDescent="0.25">
      <c r="B67" s="49" t="s">
        <v>384</v>
      </c>
      <c r="C67">
        <v>5</v>
      </c>
      <c r="D67" s="87" t="s">
        <v>324</v>
      </c>
      <c r="E67" s="11">
        <f>+SPECS!I55</f>
        <v>0.68310000000000004</v>
      </c>
      <c r="F67" s="108">
        <f t="shared" si="28"/>
        <v>3.4155000000000002</v>
      </c>
      <c r="H67" s="132" t="s">
        <v>427</v>
      </c>
      <c r="I67" s="148">
        <f>+I66</f>
        <v>1</v>
      </c>
      <c r="J67" s="116" t="s">
        <v>324</v>
      </c>
      <c r="K67" s="133"/>
      <c r="L67" s="133">
        <f>+L66</f>
        <v>3</v>
      </c>
      <c r="M67" s="136">
        <f t="shared" si="29"/>
        <v>3</v>
      </c>
      <c r="N67" s="137">
        <v>10</v>
      </c>
      <c r="O67" s="138">
        <v>1</v>
      </c>
      <c r="P67" s="139">
        <f>+M67/O67</f>
        <v>3</v>
      </c>
      <c r="Q67" s="140">
        <f>+P67/160</f>
        <v>1.8749999999999999E-2</v>
      </c>
      <c r="R67" s="154">
        <f>+N67*M67*O67</f>
        <v>30</v>
      </c>
      <c r="T67" t="str">
        <f t="shared" si="1"/>
        <v>Helper</v>
      </c>
      <c r="U67" s="57">
        <f t="shared" si="3"/>
        <v>57</v>
      </c>
      <c r="V67" s="72">
        <f t="shared" si="2"/>
        <v>0.35625000000000001</v>
      </c>
    </row>
    <row r="68" spans="2:22" x14ac:dyDescent="0.25">
      <c r="B68" s="49" t="s">
        <v>385</v>
      </c>
      <c r="C68">
        <v>1</v>
      </c>
      <c r="D68" s="87" t="s">
        <v>324</v>
      </c>
      <c r="E68" s="11">
        <f>+SPECS!I14</f>
        <v>32.378399999999999</v>
      </c>
      <c r="F68" s="108">
        <f t="shared" si="28"/>
        <v>32.378399999999999</v>
      </c>
      <c r="H68" s="125" t="s">
        <v>378</v>
      </c>
      <c r="I68" s="125"/>
      <c r="J68" s="125"/>
      <c r="K68" s="125"/>
      <c r="L68" s="125"/>
      <c r="M68" s="125"/>
      <c r="N68" s="125"/>
      <c r="O68" s="125"/>
      <c r="P68" s="125"/>
      <c r="Q68" s="125"/>
      <c r="R68" s="126">
        <f>+R69+R70</f>
        <v>58.5</v>
      </c>
      <c r="T68" s="89" t="str">
        <f t="shared" si="1"/>
        <v>Countertops</v>
      </c>
      <c r="U68" s="57">
        <f t="shared" si="3"/>
        <v>0</v>
      </c>
      <c r="V68" s="72">
        <f t="shared" si="2"/>
        <v>0</v>
      </c>
    </row>
    <row r="69" spans="2:22" x14ac:dyDescent="0.25">
      <c r="B69" s="49" t="s">
        <v>386</v>
      </c>
      <c r="C69">
        <v>3</v>
      </c>
      <c r="D69" s="87" t="s">
        <v>324</v>
      </c>
      <c r="E69" s="11">
        <f>+SPECS!I8</f>
        <v>10.797300000000002</v>
      </c>
      <c r="F69" s="108">
        <f t="shared" si="28"/>
        <v>32.391900000000007</v>
      </c>
      <c r="H69" s="132" t="s">
        <v>421</v>
      </c>
      <c r="I69" s="116">
        <f>+'HOUSE EST MODEL 2'!$C$62</f>
        <v>45</v>
      </c>
      <c r="J69" s="116" t="s">
        <v>40</v>
      </c>
      <c r="K69" s="116"/>
      <c r="L69" s="133">
        <v>0.05</v>
      </c>
      <c r="M69" s="136">
        <f t="shared" ref="M69:M70" si="30">+L69*I69</f>
        <v>2.25</v>
      </c>
      <c r="N69" s="137">
        <v>16</v>
      </c>
      <c r="O69" s="138">
        <v>1</v>
      </c>
      <c r="P69" s="139">
        <f>+M69/O69</f>
        <v>2.25</v>
      </c>
      <c r="Q69" s="140">
        <f>+P69/160</f>
        <v>1.40625E-2</v>
      </c>
      <c r="R69" s="154">
        <f>+N69*M69*O69</f>
        <v>36</v>
      </c>
      <c r="T69" t="str">
        <f t="shared" si="1"/>
        <v>Laborer</v>
      </c>
      <c r="U69" s="57">
        <f t="shared" si="3"/>
        <v>42.75</v>
      </c>
      <c r="V69" s="72">
        <f t="shared" si="2"/>
        <v>0.26718750000000002</v>
      </c>
    </row>
    <row r="70" spans="2:22" x14ac:dyDescent="0.25">
      <c r="B70" s="48" t="s">
        <v>304</v>
      </c>
      <c r="C70" s="48"/>
      <c r="D70" s="48"/>
      <c r="E70" s="48"/>
      <c r="F70" s="66"/>
      <c r="H70" s="132" t="s">
        <v>427</v>
      </c>
      <c r="I70" s="116">
        <f>+I69</f>
        <v>45</v>
      </c>
      <c r="J70" s="116" t="s">
        <v>40</v>
      </c>
      <c r="K70" s="116"/>
      <c r="L70" s="133">
        <f>+L69</f>
        <v>0.05</v>
      </c>
      <c r="M70" s="136">
        <f t="shared" si="30"/>
        <v>2.25</v>
      </c>
      <c r="N70" s="137">
        <v>10</v>
      </c>
      <c r="O70" s="138">
        <v>1</v>
      </c>
      <c r="P70" s="139">
        <f>+M70/O70</f>
        <v>2.25</v>
      </c>
      <c r="Q70" s="140">
        <f>+P70/160</f>
        <v>1.40625E-2</v>
      </c>
      <c r="R70" s="154">
        <f>+N70*M70*O70</f>
        <v>22.5</v>
      </c>
      <c r="T70" t="str">
        <f t="shared" si="1"/>
        <v>Helper</v>
      </c>
      <c r="U70" s="57">
        <f t="shared" si="3"/>
        <v>42.75</v>
      </c>
      <c r="V70" s="72">
        <f t="shared" si="2"/>
        <v>0.26718750000000002</v>
      </c>
    </row>
    <row r="71" spans="2:22" x14ac:dyDescent="0.25">
      <c r="B71" s="49" t="s">
        <v>387</v>
      </c>
      <c r="C71">
        <v>1</v>
      </c>
      <c r="D71" s="87" t="s">
        <v>324</v>
      </c>
      <c r="E71" s="11">
        <f>+SPECS!I18</f>
        <v>1294.92</v>
      </c>
      <c r="F71" s="108">
        <f t="shared" si="28"/>
        <v>1294.92</v>
      </c>
      <c r="H71" s="125" t="s">
        <v>380</v>
      </c>
      <c r="I71" s="125"/>
      <c r="J71" s="125"/>
      <c r="K71" s="125"/>
      <c r="L71" s="125"/>
      <c r="M71" s="125"/>
      <c r="N71" s="125"/>
      <c r="O71" s="125"/>
      <c r="P71" s="125"/>
      <c r="Q71" s="125"/>
      <c r="R71" s="126">
        <f>+R72+R73</f>
        <v>221</v>
      </c>
      <c r="T71" s="89" t="str">
        <f t="shared" ref="T71:T83" si="31">+H71</f>
        <v>House Hardware</v>
      </c>
      <c r="U71" s="57">
        <f t="shared" si="3"/>
        <v>0</v>
      </c>
      <c r="V71" s="72">
        <f t="shared" si="3"/>
        <v>0</v>
      </c>
    </row>
    <row r="72" spans="2:22" x14ac:dyDescent="0.25">
      <c r="B72" s="49" t="s">
        <v>388</v>
      </c>
      <c r="C72">
        <v>1</v>
      </c>
      <c r="D72" s="87" t="s">
        <v>324</v>
      </c>
      <c r="E72" s="11">
        <f>+SPECS!I19</f>
        <v>538.92000000000007</v>
      </c>
      <c r="F72" s="108">
        <f t="shared" si="28"/>
        <v>538.92000000000007</v>
      </c>
      <c r="H72" s="132" t="s">
        <v>421</v>
      </c>
      <c r="I72" s="116">
        <f>+SUM('HOUSE EST MODEL 2'!$C$64:$C$69)</f>
        <v>34</v>
      </c>
      <c r="J72" s="116" t="s">
        <v>324</v>
      </c>
      <c r="K72" s="116"/>
      <c r="L72" s="133">
        <f>15/60</f>
        <v>0.25</v>
      </c>
      <c r="M72" s="136">
        <f t="shared" ref="M72:M73" si="32">+L72*I72</f>
        <v>8.5</v>
      </c>
      <c r="N72" s="137">
        <v>16</v>
      </c>
      <c r="O72" s="138">
        <v>1</v>
      </c>
      <c r="P72" s="139">
        <f>+M72/O72</f>
        <v>8.5</v>
      </c>
      <c r="Q72" s="140">
        <f>+P72/160</f>
        <v>5.3124999999999999E-2</v>
      </c>
      <c r="R72" s="154">
        <f>+N72*M72*O72</f>
        <v>136</v>
      </c>
      <c r="T72" t="str">
        <f t="shared" si="31"/>
        <v>Laborer</v>
      </c>
      <c r="U72" s="57">
        <f t="shared" ref="U72:V83" si="33">+P72*$U$1</f>
        <v>161.5</v>
      </c>
      <c r="V72" s="72">
        <f t="shared" si="33"/>
        <v>1.0093749999999999</v>
      </c>
    </row>
    <row r="73" spans="2:22" x14ac:dyDescent="0.25">
      <c r="B73" s="49" t="s">
        <v>389</v>
      </c>
      <c r="C73">
        <v>1</v>
      </c>
      <c r="D73" s="87" t="s">
        <v>324</v>
      </c>
      <c r="E73" s="11">
        <f>+SPECS!I20</f>
        <v>592.92000000000007</v>
      </c>
      <c r="F73" s="108">
        <f t="shared" si="28"/>
        <v>592.92000000000007</v>
      </c>
      <c r="H73" s="132" t="s">
        <v>427</v>
      </c>
      <c r="I73" s="116">
        <f>+I72</f>
        <v>34</v>
      </c>
      <c r="J73" s="116" t="s">
        <v>324</v>
      </c>
      <c r="K73" s="116"/>
      <c r="L73" s="133">
        <f>+L72</f>
        <v>0.25</v>
      </c>
      <c r="M73" s="136">
        <f t="shared" si="32"/>
        <v>8.5</v>
      </c>
      <c r="N73" s="137">
        <v>10</v>
      </c>
      <c r="O73" s="138">
        <v>1</v>
      </c>
      <c r="P73" s="139">
        <f>+M73/O73</f>
        <v>8.5</v>
      </c>
      <c r="Q73" s="140">
        <f>+P73/160</f>
        <v>5.3124999999999999E-2</v>
      </c>
      <c r="R73" s="154">
        <f>+N73*M73*O73</f>
        <v>85</v>
      </c>
      <c r="T73" t="str">
        <f t="shared" si="31"/>
        <v>Helper</v>
      </c>
      <c r="U73" s="57">
        <f t="shared" si="33"/>
        <v>161.5</v>
      </c>
      <c r="V73" s="72">
        <f t="shared" si="33"/>
        <v>1.0093749999999999</v>
      </c>
    </row>
    <row r="74" spans="2:22" x14ac:dyDescent="0.25">
      <c r="B74" s="49" t="s">
        <v>390</v>
      </c>
      <c r="C74">
        <v>1</v>
      </c>
      <c r="D74" s="87" t="s">
        <v>324</v>
      </c>
      <c r="E74" s="11">
        <f>+SPECS!I21</f>
        <v>431.98920000000004</v>
      </c>
      <c r="F74" s="108">
        <f t="shared" si="28"/>
        <v>431.98920000000004</v>
      </c>
      <c r="H74" s="125" t="s">
        <v>304</v>
      </c>
      <c r="I74" s="125"/>
      <c r="J74" s="125"/>
      <c r="K74" s="125"/>
      <c r="L74" s="125"/>
      <c r="M74" s="125"/>
      <c r="N74" s="125"/>
      <c r="O74" s="125"/>
      <c r="P74" s="125"/>
      <c r="Q74" s="125"/>
      <c r="R74" s="126">
        <f>+R75+R76</f>
        <v>104</v>
      </c>
      <c r="T74" s="89" t="str">
        <f t="shared" si="31"/>
        <v>Appliances</v>
      </c>
      <c r="U74" s="57">
        <f t="shared" si="33"/>
        <v>0</v>
      </c>
      <c r="V74" s="72">
        <f t="shared" si="33"/>
        <v>0</v>
      </c>
    </row>
    <row r="75" spans="2:22" x14ac:dyDescent="0.25">
      <c r="B75" s="48" t="s">
        <v>391</v>
      </c>
      <c r="C75" s="48"/>
      <c r="D75" s="48"/>
      <c r="E75" s="48"/>
      <c r="F75" s="66"/>
      <c r="H75" s="132" t="s">
        <v>421</v>
      </c>
      <c r="I75" s="116">
        <f>+SUM('HOUSE EST MODEL 2'!$C$71:$C$74)</f>
        <v>4</v>
      </c>
      <c r="J75" s="116" t="s">
        <v>324</v>
      </c>
      <c r="K75" s="116"/>
      <c r="L75" s="133">
        <v>1</v>
      </c>
      <c r="M75" s="136">
        <f t="shared" ref="M75:M76" si="34">+L75*I75</f>
        <v>4</v>
      </c>
      <c r="N75" s="137">
        <v>16</v>
      </c>
      <c r="O75" s="138">
        <v>1</v>
      </c>
      <c r="P75" s="139">
        <f>+M75/O75</f>
        <v>4</v>
      </c>
      <c r="Q75" s="140">
        <f>+P75/160</f>
        <v>2.5000000000000001E-2</v>
      </c>
      <c r="R75" s="154">
        <f>+N75*M75*O75</f>
        <v>64</v>
      </c>
      <c r="T75" t="str">
        <f t="shared" si="31"/>
        <v>Laborer</v>
      </c>
      <c r="U75" s="57">
        <f t="shared" si="33"/>
        <v>76</v>
      </c>
      <c r="V75" s="72">
        <f t="shared" si="33"/>
        <v>0.47500000000000003</v>
      </c>
    </row>
    <row r="76" spans="2:22" x14ac:dyDescent="0.25">
      <c r="B76" s="49" t="s">
        <v>392</v>
      </c>
      <c r="C76">
        <v>1</v>
      </c>
      <c r="D76" s="87" t="s">
        <v>324</v>
      </c>
      <c r="E76" s="11">
        <f>+SPECS!I41</f>
        <v>432.30239999999998</v>
      </c>
      <c r="F76" s="108">
        <f t="shared" si="28"/>
        <v>432.30239999999998</v>
      </c>
      <c r="H76" s="132" t="s">
        <v>427</v>
      </c>
      <c r="I76" s="116">
        <f>+I75</f>
        <v>4</v>
      </c>
      <c r="J76" s="116" t="s">
        <v>324</v>
      </c>
      <c r="K76" s="116"/>
      <c r="L76" s="133">
        <f>+L75</f>
        <v>1</v>
      </c>
      <c r="M76" s="136">
        <f t="shared" si="34"/>
        <v>4</v>
      </c>
      <c r="N76" s="137">
        <v>10</v>
      </c>
      <c r="O76" s="138">
        <v>1</v>
      </c>
      <c r="P76" s="139">
        <f>+M76/O76</f>
        <v>4</v>
      </c>
      <c r="Q76" s="140">
        <f>+P76/160</f>
        <v>2.5000000000000001E-2</v>
      </c>
      <c r="R76" s="154">
        <f>+N76*M76*O76</f>
        <v>40</v>
      </c>
      <c r="T76" t="str">
        <f t="shared" si="31"/>
        <v>Helper</v>
      </c>
      <c r="U76" s="57">
        <f t="shared" si="33"/>
        <v>76</v>
      </c>
      <c r="V76" s="72">
        <f t="shared" si="33"/>
        <v>0.47500000000000003</v>
      </c>
    </row>
    <row r="77" spans="2:22" x14ac:dyDescent="0.25">
      <c r="B77" s="49" t="s">
        <v>393</v>
      </c>
      <c r="C77">
        <v>1</v>
      </c>
      <c r="D77" s="87" t="s">
        <v>324</v>
      </c>
      <c r="E77" s="11">
        <f>+SPECS!I42</f>
        <v>139.61160000000001</v>
      </c>
      <c r="F77" s="108">
        <f t="shared" si="28"/>
        <v>139.61160000000001</v>
      </c>
      <c r="H77" s="125" t="s">
        <v>391</v>
      </c>
      <c r="I77" s="125"/>
      <c r="J77" s="125"/>
      <c r="K77" s="125"/>
      <c r="L77" s="125"/>
      <c r="M77" s="125"/>
      <c r="N77" s="125"/>
      <c r="O77" s="125"/>
      <c r="P77" s="125"/>
      <c r="Q77" s="125"/>
      <c r="R77" s="126">
        <f>+R78+R79</f>
        <v>130</v>
      </c>
      <c r="T77" s="89" t="str">
        <f t="shared" si="31"/>
        <v>Plumbing Fixtures</v>
      </c>
      <c r="U77" s="57">
        <f t="shared" si="33"/>
        <v>0</v>
      </c>
      <c r="V77" s="72">
        <f t="shared" si="33"/>
        <v>0</v>
      </c>
    </row>
    <row r="78" spans="2:22" x14ac:dyDescent="0.25">
      <c r="B78" s="49" t="s">
        <v>394</v>
      </c>
      <c r="C78">
        <v>1</v>
      </c>
      <c r="D78" s="87" t="s">
        <v>324</v>
      </c>
      <c r="E78" s="11">
        <f>+SPECS!I40</f>
        <v>187.0128</v>
      </c>
      <c r="F78" s="108">
        <f t="shared" si="28"/>
        <v>187.0128</v>
      </c>
      <c r="H78" s="132" t="s">
        <v>421</v>
      </c>
      <c r="I78" s="116">
        <f>+SUM('HOUSE EST MODEL 2'!$C$76:$C$85)</f>
        <v>10</v>
      </c>
      <c r="J78" s="116" t="s">
        <v>324</v>
      </c>
      <c r="K78" s="116"/>
      <c r="L78" s="133">
        <v>0.5</v>
      </c>
      <c r="M78" s="136">
        <f t="shared" ref="M78:M79" si="35">+L78*I78</f>
        <v>5</v>
      </c>
      <c r="N78" s="137">
        <v>16</v>
      </c>
      <c r="O78" s="138">
        <v>1</v>
      </c>
      <c r="P78" s="139">
        <f>+M78/O78</f>
        <v>5</v>
      </c>
      <c r="Q78" s="140">
        <f>+P78/160</f>
        <v>3.125E-2</v>
      </c>
      <c r="R78" s="154">
        <f>+N78*M78*O78</f>
        <v>80</v>
      </c>
      <c r="T78" t="str">
        <f t="shared" si="31"/>
        <v>Laborer</v>
      </c>
      <c r="U78" s="57">
        <f t="shared" si="33"/>
        <v>95</v>
      </c>
      <c r="V78" s="72">
        <f t="shared" si="33"/>
        <v>0.59375</v>
      </c>
    </row>
    <row r="79" spans="2:22" x14ac:dyDescent="0.25">
      <c r="B79" s="49" t="s">
        <v>395</v>
      </c>
      <c r="C79">
        <v>1</v>
      </c>
      <c r="D79" s="87" t="s">
        <v>324</v>
      </c>
      <c r="E79" s="11">
        <f>+SPECS!I43</f>
        <v>108.6156</v>
      </c>
      <c r="F79" s="108">
        <f t="shared" si="28"/>
        <v>108.6156</v>
      </c>
      <c r="H79" s="132" t="s">
        <v>427</v>
      </c>
      <c r="I79" s="116">
        <f>+I78</f>
        <v>10</v>
      </c>
      <c r="J79" s="116" t="s">
        <v>324</v>
      </c>
      <c r="K79" s="116"/>
      <c r="L79" s="133">
        <f>+L78</f>
        <v>0.5</v>
      </c>
      <c r="M79" s="136">
        <f t="shared" si="35"/>
        <v>5</v>
      </c>
      <c r="N79" s="137">
        <v>10</v>
      </c>
      <c r="O79" s="138">
        <v>1</v>
      </c>
      <c r="P79" s="139">
        <f>+M79/O79</f>
        <v>5</v>
      </c>
      <c r="Q79" s="140">
        <f>+P79/160</f>
        <v>3.125E-2</v>
      </c>
      <c r="R79" s="154">
        <f>+N79*M79*O79</f>
        <v>50</v>
      </c>
      <c r="T79" t="str">
        <f t="shared" si="31"/>
        <v>Helper</v>
      </c>
      <c r="U79" s="57">
        <f t="shared" si="33"/>
        <v>95</v>
      </c>
      <c r="V79" s="72">
        <f t="shared" si="33"/>
        <v>0.59375</v>
      </c>
    </row>
    <row r="80" spans="2:22" x14ac:dyDescent="0.25">
      <c r="B80" s="49" t="s">
        <v>396</v>
      </c>
      <c r="C80">
        <v>1</v>
      </c>
      <c r="D80" s="87" t="s">
        <v>324</v>
      </c>
      <c r="E80" s="11">
        <f>+SPECS!I46</f>
        <v>87.469200000000001</v>
      </c>
      <c r="F80" s="108">
        <f t="shared" si="28"/>
        <v>87.469200000000001</v>
      </c>
      <c r="H80" s="125" t="s">
        <v>402</v>
      </c>
      <c r="I80" s="125"/>
      <c r="J80" s="125"/>
      <c r="K80" s="125"/>
      <c r="L80" s="125"/>
      <c r="M80" s="125"/>
      <c r="N80" s="125"/>
      <c r="O80" s="125"/>
      <c r="P80" s="125"/>
      <c r="Q80" s="125"/>
      <c r="R80" s="126">
        <f>+R81+R82</f>
        <v>520</v>
      </c>
      <c r="T80" s="89" t="str">
        <f t="shared" si="31"/>
        <v>Electrical Fixtures</v>
      </c>
      <c r="U80" s="57">
        <f t="shared" si="33"/>
        <v>0</v>
      </c>
      <c r="V80" s="72">
        <f t="shared" si="33"/>
        <v>0</v>
      </c>
    </row>
    <row r="81" spans="2:22" x14ac:dyDescent="0.25">
      <c r="B81" s="49" t="s">
        <v>397</v>
      </c>
      <c r="C81">
        <v>1</v>
      </c>
      <c r="D81" s="87" t="s">
        <v>324</v>
      </c>
      <c r="E81" s="11">
        <f>+SPECS!I44</f>
        <v>64.800000000000011</v>
      </c>
      <c r="F81" s="108">
        <f t="shared" si="28"/>
        <v>64.800000000000011</v>
      </c>
      <c r="H81" s="132" t="s">
        <v>421</v>
      </c>
      <c r="I81" s="116">
        <f>+SUM('HOUSE EST MODEL 2'!$C$87:$C$94)</f>
        <v>40</v>
      </c>
      <c r="J81" s="116" t="s">
        <v>324</v>
      </c>
      <c r="K81" s="116"/>
      <c r="L81" s="133">
        <v>0.5</v>
      </c>
      <c r="M81" s="136">
        <f t="shared" ref="M81:M82" si="36">+L81*I81</f>
        <v>20</v>
      </c>
      <c r="N81" s="137">
        <v>16</v>
      </c>
      <c r="O81" s="138">
        <v>1</v>
      </c>
      <c r="P81" s="139">
        <f>+M81/O81</f>
        <v>20</v>
      </c>
      <c r="Q81" s="140">
        <f>+P81/160</f>
        <v>0.125</v>
      </c>
      <c r="R81" s="154">
        <f>+N81*M81*O81</f>
        <v>320</v>
      </c>
      <c r="T81" t="str">
        <f t="shared" si="31"/>
        <v>Laborer</v>
      </c>
      <c r="U81" s="57">
        <f t="shared" si="33"/>
        <v>380</v>
      </c>
      <c r="V81" s="72">
        <f t="shared" si="33"/>
        <v>2.375</v>
      </c>
    </row>
    <row r="82" spans="2:22" x14ac:dyDescent="0.25">
      <c r="B82" s="49" t="s">
        <v>398</v>
      </c>
      <c r="C82">
        <v>1</v>
      </c>
      <c r="D82" s="87" t="s">
        <v>324</v>
      </c>
      <c r="E82" s="11">
        <f>+SPECS!I45</f>
        <v>38.577600000000004</v>
      </c>
      <c r="F82" s="108">
        <f t="shared" si="28"/>
        <v>38.577600000000004</v>
      </c>
      <c r="H82" s="132" t="s">
        <v>427</v>
      </c>
      <c r="I82" s="116">
        <f>+I81</f>
        <v>40</v>
      </c>
      <c r="J82" s="116" t="s">
        <v>324</v>
      </c>
      <c r="K82" s="116"/>
      <c r="L82" s="133">
        <f>+L81</f>
        <v>0.5</v>
      </c>
      <c r="M82" s="136">
        <f t="shared" si="36"/>
        <v>20</v>
      </c>
      <c r="N82" s="137">
        <v>10</v>
      </c>
      <c r="O82" s="138">
        <v>1</v>
      </c>
      <c r="P82" s="139">
        <f>+M82/O82</f>
        <v>20</v>
      </c>
      <c r="Q82" s="140">
        <f>+P82/160</f>
        <v>0.125</v>
      </c>
      <c r="R82" s="154">
        <f>+N82*M82*O82</f>
        <v>200</v>
      </c>
      <c r="T82" t="str">
        <f t="shared" si="31"/>
        <v>Helper</v>
      </c>
      <c r="U82" s="57">
        <f t="shared" si="33"/>
        <v>380</v>
      </c>
      <c r="V82" s="72">
        <f t="shared" si="33"/>
        <v>2.375</v>
      </c>
    </row>
    <row r="83" spans="2:22" x14ac:dyDescent="0.25">
      <c r="B83" s="49" t="s">
        <v>399</v>
      </c>
      <c r="C83">
        <v>1</v>
      </c>
      <c r="D83" s="87" t="s">
        <v>324</v>
      </c>
      <c r="E83" s="11">
        <f>+SPECS!I47</f>
        <v>28.069199999999999</v>
      </c>
      <c r="F83" s="108">
        <f t="shared" si="28"/>
        <v>28.069199999999999</v>
      </c>
      <c r="H83" s="149" t="s">
        <v>436</v>
      </c>
      <c r="I83" s="149"/>
      <c r="J83" s="149"/>
      <c r="K83" s="149"/>
      <c r="L83" s="149"/>
      <c r="M83" s="149"/>
      <c r="N83" s="149"/>
      <c r="O83" s="149"/>
      <c r="P83" s="149"/>
      <c r="Q83" s="149"/>
      <c r="R83" s="152">
        <f>+R4+R12+R15+R18+R21+R24+R27+R31+R34+R37+R41+R44+R47+R50+R53+R59+R56+R62+R65+R68+R71+R74+R77+R80</f>
        <v>16721.036333333337</v>
      </c>
      <c r="T83" t="str">
        <f t="shared" si="31"/>
        <v>SUB TOTAL LABOR</v>
      </c>
      <c r="U83" s="57">
        <f t="shared" si="33"/>
        <v>0</v>
      </c>
      <c r="V83" s="72">
        <f t="shared" si="33"/>
        <v>0</v>
      </c>
    </row>
    <row r="84" spans="2:22" x14ac:dyDescent="0.25">
      <c r="B84" s="49" t="s">
        <v>400</v>
      </c>
      <c r="C84">
        <v>1</v>
      </c>
      <c r="D84" s="87" t="s">
        <v>324</v>
      </c>
      <c r="E84" s="11">
        <f>+SPECS!I48</f>
        <v>51.224400000000003</v>
      </c>
      <c r="F84" s="108">
        <f t="shared" si="28"/>
        <v>51.224400000000003</v>
      </c>
      <c r="H84" s="116"/>
      <c r="I84" s="116"/>
      <c r="J84" s="116"/>
      <c r="K84" s="116"/>
      <c r="L84" s="116"/>
      <c r="M84" s="116"/>
      <c r="N84" s="116"/>
      <c r="O84" s="116"/>
      <c r="P84" s="116"/>
      <c r="Q84" s="116"/>
      <c r="R84" s="116"/>
    </row>
    <row r="85" spans="2:22" x14ac:dyDescent="0.25">
      <c r="B85" s="49" t="s">
        <v>401</v>
      </c>
      <c r="C85">
        <v>1</v>
      </c>
      <c r="D85" s="87" t="s">
        <v>324</v>
      </c>
      <c r="E85" s="11">
        <f>+SPECS!I49</f>
        <v>204.17400000000004</v>
      </c>
      <c r="F85" s="108">
        <f t="shared" si="28"/>
        <v>204.17400000000004</v>
      </c>
      <c r="H85" s="151" t="s">
        <v>437</v>
      </c>
      <c r="I85" s="152">
        <f>+F95+R83</f>
        <v>68702.408133333316</v>
      </c>
      <c r="J85" s="116"/>
      <c r="K85" s="116"/>
      <c r="L85" s="116"/>
      <c r="M85" s="116"/>
      <c r="N85" s="116"/>
      <c r="O85" s="116"/>
      <c r="P85" s="116"/>
      <c r="Q85" s="116"/>
      <c r="R85" s="116"/>
    </row>
    <row r="86" spans="2:22" x14ac:dyDescent="0.25">
      <c r="B86" s="48" t="s">
        <v>402</v>
      </c>
      <c r="C86" s="48"/>
      <c r="D86" s="48"/>
      <c r="E86" s="48"/>
      <c r="F86" s="66"/>
    </row>
    <row r="87" spans="2:22" x14ac:dyDescent="0.25">
      <c r="B87" s="49" t="s">
        <v>403</v>
      </c>
      <c r="C87">
        <v>2</v>
      </c>
      <c r="D87" t="s">
        <v>324</v>
      </c>
      <c r="E87" s="11">
        <f>+SPECS!I31</f>
        <v>41.040000000000006</v>
      </c>
      <c r="F87" s="108">
        <f t="shared" ref="F87:F94" si="37">+C87*E87</f>
        <v>82.080000000000013</v>
      </c>
    </row>
    <row r="88" spans="2:22" x14ac:dyDescent="0.25">
      <c r="B88" s="49" t="s">
        <v>404</v>
      </c>
      <c r="C88">
        <v>12</v>
      </c>
      <c r="D88" t="s">
        <v>324</v>
      </c>
      <c r="E88" s="11">
        <f>+SPECS!I33</f>
        <v>17.917200000000001</v>
      </c>
      <c r="F88" s="108">
        <f t="shared" si="37"/>
        <v>215.00640000000001</v>
      </c>
    </row>
    <row r="89" spans="2:22" x14ac:dyDescent="0.25">
      <c r="B89" s="49" t="s">
        <v>405</v>
      </c>
      <c r="C89">
        <v>2</v>
      </c>
      <c r="D89" t="s">
        <v>324</v>
      </c>
      <c r="E89" s="11">
        <f>+SPECS!I34</f>
        <v>81.183600000000013</v>
      </c>
      <c r="F89" s="108">
        <f t="shared" si="37"/>
        <v>162.36720000000003</v>
      </c>
    </row>
    <row r="90" spans="2:22" x14ac:dyDescent="0.25">
      <c r="B90" s="49" t="s">
        <v>406</v>
      </c>
      <c r="C90">
        <v>1</v>
      </c>
      <c r="D90" t="s">
        <v>324</v>
      </c>
      <c r="E90" s="11">
        <f>+SPECS!I32</f>
        <v>21.578400000000002</v>
      </c>
      <c r="F90" s="108">
        <f t="shared" si="37"/>
        <v>21.578400000000002</v>
      </c>
    </row>
    <row r="91" spans="2:22" x14ac:dyDescent="0.25">
      <c r="B91" s="49" t="s">
        <v>407</v>
      </c>
      <c r="C91">
        <v>1</v>
      </c>
      <c r="D91" t="s">
        <v>324</v>
      </c>
      <c r="E91" s="11">
        <f>+SPECS!I56</f>
        <v>25.92</v>
      </c>
      <c r="F91" s="108">
        <f t="shared" si="37"/>
        <v>25.92</v>
      </c>
    </row>
    <row r="92" spans="2:22" x14ac:dyDescent="0.25">
      <c r="B92" s="49" t="s">
        <v>408</v>
      </c>
      <c r="C92">
        <v>10</v>
      </c>
      <c r="D92" t="s">
        <v>324</v>
      </c>
      <c r="E92" s="11">
        <f>+SPECS!I51</f>
        <v>2.4084000000000003</v>
      </c>
      <c r="F92" s="108">
        <f t="shared" si="37"/>
        <v>24.084000000000003</v>
      </c>
    </row>
    <row r="93" spans="2:22" x14ac:dyDescent="0.25">
      <c r="B93" s="49" t="s">
        <v>409</v>
      </c>
      <c r="C93">
        <v>10</v>
      </c>
      <c r="D93" t="s">
        <v>324</v>
      </c>
      <c r="E93" s="11">
        <f>+SPECS!I52</f>
        <v>2.5099999999999998</v>
      </c>
      <c r="F93" s="108">
        <f t="shared" si="37"/>
        <v>25.099999999999998</v>
      </c>
    </row>
    <row r="94" spans="2:22" x14ac:dyDescent="0.25">
      <c r="B94" s="49" t="s">
        <v>410</v>
      </c>
      <c r="C94">
        <v>2</v>
      </c>
      <c r="D94" t="s">
        <v>324</v>
      </c>
      <c r="E94" s="11">
        <f>+SPECS!I57</f>
        <v>16.491600000000002</v>
      </c>
      <c r="F94" s="108">
        <f t="shared" si="37"/>
        <v>32.983200000000004</v>
      </c>
    </row>
    <row r="95" spans="2:22" x14ac:dyDescent="0.25">
      <c r="B95" s="58" t="s">
        <v>438</v>
      </c>
      <c r="C95" s="58"/>
      <c r="D95" s="58"/>
      <c r="E95" s="58"/>
      <c r="F95" s="67">
        <f>SUM(F3:F94)</f>
        <v>51981.371799999986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75D11530213BE4992265C793FCF1ECC" ma:contentTypeVersion="4" ma:contentTypeDescription="Crear nuevo documento." ma:contentTypeScope="" ma:versionID="47c4c02c0f2dbcdc4603d32f7b411d40">
  <xsd:schema xmlns:xsd="http://www.w3.org/2001/XMLSchema" xmlns:xs="http://www.w3.org/2001/XMLSchema" xmlns:p="http://schemas.microsoft.com/office/2006/metadata/properties" xmlns:ns2="f3026833-144c-48f5-9b35-65a813ee0acf" targetNamespace="http://schemas.microsoft.com/office/2006/metadata/properties" ma:root="true" ma:fieldsID="b0faeefd99ad7876f322f5ab5c27058e" ns2:_="">
    <xsd:import namespace="f3026833-144c-48f5-9b35-65a813ee0ac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026833-144c-48f5-9b35-65a813ee0a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D6A2B2-CFB3-4D5B-BEF3-78E0FAFA200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D801A4D-8EFC-44AE-B61F-07EE685006F7}">
  <ds:schemaRefs>
    <ds:schemaRef ds:uri="http://schemas.microsoft.com/sharepoint/v3/contenttype/forms"/>
  </ds:schemaRefs>
</ds:datastoreItem>
</file>

<file path=customXml/itemProps3.xml><?xml version="1.0" encoding="utf-8"?>
<ds:datastoreItem xmlns:ds="http://schemas.openxmlformats.org/officeDocument/2006/customXml" ds:itemID="{300777F7-C45C-405C-A6D1-6F5895A245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026833-144c-48f5-9b35-65a813ee0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SPECS</vt:lpstr>
      <vt:lpstr>Resumen</vt:lpstr>
      <vt:lpstr>Mayor a menor</vt:lpstr>
      <vt:lpstr>HOUSE EST 1</vt:lpstr>
      <vt:lpstr>HOUSE EST 2</vt:lpstr>
      <vt:lpstr>HOUSE EST 3</vt:lpstr>
      <vt:lpstr>HOUSE EST 1 LABOR</vt:lpstr>
      <vt:lpstr>HOUSE EST MODEL 1</vt:lpstr>
      <vt:lpstr>HOUSE EST MODEL 2</vt:lpstr>
      <vt:lpstr>HOUSE EST MODEL 3</vt:lpstr>
      <vt:lpstr>HOUSE EST TOTAL</vt:lpstr>
      <vt:lpstr>HOUSE YEAR TOTAL 57</vt:lpstr>
      <vt:lpstr>LABOR</vt:lpstr>
      <vt:lpstr>LABOR DINAM</vt:lpstr>
      <vt:lpstr>SPECS!Área_de_impresión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sebastian perdigon</dc:creator>
  <cp:keywords/>
  <dc:description/>
  <cp:lastModifiedBy>Arlex Gomez Arroyave</cp:lastModifiedBy>
  <cp:revision/>
  <dcterms:created xsi:type="dcterms:W3CDTF">2023-05-06T17:29:35Z</dcterms:created>
  <dcterms:modified xsi:type="dcterms:W3CDTF">2024-06-25T02:06:47Z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0x010100675D11530213BE4992265C793FCF1ECC</vt:lpwstr>
  </property>
</Properties>
</file>