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orpoicaorg-my.sharepoint.com/personal/czuluaga_agrosavia_co/Documents/Documentos/Documentos/Carolina Zuluaga Mejia/Tesis GP/Documento/Final/"/>
    </mc:Choice>
  </mc:AlternateContent>
  <xr:revisionPtr revIDLastSave="1396" documentId="8_{F008C272-6994-475A-B483-9F473D45D700}" xr6:coauthVersionLast="47" xr6:coauthVersionMax="47" xr10:uidLastSave="{C227C8E1-28B9-438D-8778-15FD213AFA22}"/>
  <bookViews>
    <workbookView xWindow="-120" yWindow="-120" windowWidth="20730" windowHeight="11160" firstSheet="8" activeTab="11" xr2:uid="{7299E861-67A2-4090-A80A-671CE1EFD903}"/>
  </bookViews>
  <sheets>
    <sheet name="Costos de Producción (A)" sheetId="1" r:id="rId1"/>
    <sheet name="Ingresos (A)" sheetId="2" r:id="rId2"/>
    <sheet name="Costos DO" sheetId="6" r:id="rId3"/>
    <sheet name="Flujo de caja (A)" sheetId="3" r:id="rId4"/>
    <sheet name="Ingresos (DO)" sheetId="4" r:id="rId5"/>
    <sheet name="Flujo de caja (DO)" sheetId="5" r:id="rId6"/>
    <sheet name="gráficas" sheetId="7" r:id="rId7"/>
    <sheet name="Sensibilidad P1" sheetId="8" r:id="rId8"/>
    <sheet name="Sensibilidad P2" sheetId="9" r:id="rId9"/>
    <sheet name="Flujo de caja Escenario 1" sheetId="11" r:id="rId10"/>
    <sheet name="Flujo de caja Escenario 2" sheetId="12" r:id="rId11"/>
    <sheet name="Flujo de caja Escenario 3" sheetId="14" r:id="rId1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7" l="1"/>
  <c r="F40" i="5"/>
  <c r="F41" i="5"/>
  <c r="F39" i="5"/>
  <c r="F24" i="5"/>
  <c r="E29" i="5"/>
  <c r="E30" i="5"/>
  <c r="E31" i="5"/>
  <c r="J24" i="5"/>
  <c r="I24" i="5"/>
  <c r="H24" i="5"/>
  <c r="G24" i="5"/>
  <c r="E24" i="5"/>
  <c r="J17" i="5"/>
  <c r="I17" i="5"/>
  <c r="H17" i="5"/>
  <c r="G17" i="5"/>
  <c r="F17" i="5"/>
  <c r="E17" i="5"/>
  <c r="G16" i="5"/>
  <c r="H16" i="5" s="1"/>
  <c r="I16" i="5" s="1"/>
  <c r="J16" i="5" s="1"/>
  <c r="F16" i="5"/>
  <c r="G38" i="14"/>
  <c r="G39" i="14"/>
  <c r="G37" i="14"/>
  <c r="F38" i="14"/>
  <c r="F39" i="14"/>
  <c r="F37" i="14"/>
  <c r="E38" i="14"/>
  <c r="E39" i="14"/>
  <c r="E37" i="14"/>
  <c r="F15" i="14"/>
  <c r="F13" i="14"/>
  <c r="F12" i="14"/>
  <c r="G11" i="11"/>
  <c r="F11" i="11"/>
  <c r="F15" i="11"/>
  <c r="F13" i="11"/>
  <c r="F12" i="11"/>
  <c r="G14" i="9"/>
  <c r="H14" i="9"/>
  <c r="I14" i="9" s="1"/>
  <c r="J14" i="9" s="1"/>
  <c r="F14" i="9"/>
  <c r="G12" i="9"/>
  <c r="H12" i="9" s="1"/>
  <c r="I12" i="9" s="1"/>
  <c r="J12" i="9" s="1"/>
  <c r="F12" i="9"/>
  <c r="F11" i="9"/>
  <c r="F14" i="8"/>
  <c r="G14" i="8"/>
  <c r="H14" i="8"/>
  <c r="I14" i="8" s="1"/>
  <c r="J14" i="8" s="1"/>
  <c r="G12" i="8"/>
  <c r="H12" i="8" s="1"/>
  <c r="I12" i="8" s="1"/>
  <c r="J12" i="8" s="1"/>
  <c r="G11" i="8"/>
  <c r="F12" i="8"/>
  <c r="F11" i="8"/>
  <c r="F15" i="5"/>
  <c r="G15" i="5" s="1"/>
  <c r="H15" i="5" s="1"/>
  <c r="I15" i="5" s="1"/>
  <c r="J15" i="5" s="1"/>
  <c r="F19" i="3"/>
  <c r="F15" i="3"/>
  <c r="G15" i="3"/>
  <c r="H15" i="3"/>
  <c r="I15" i="3" s="1"/>
  <c r="J15" i="3" s="1"/>
  <c r="F13" i="3"/>
  <c r="G13" i="3"/>
  <c r="H13" i="3" s="1"/>
  <c r="I13" i="3" s="1"/>
  <c r="J13" i="3" s="1"/>
  <c r="F12" i="3"/>
  <c r="E14" i="3"/>
  <c r="E13" i="3"/>
  <c r="E12" i="3"/>
  <c r="G6" i="3"/>
  <c r="H6" i="3" s="1"/>
  <c r="F6" i="3"/>
  <c r="I6" i="3"/>
  <c r="G11" i="14"/>
  <c r="G13" i="14"/>
  <c r="H13" i="14" s="1"/>
  <c r="I13" i="14" s="1"/>
  <c r="J13" i="14" s="1"/>
  <c r="G12" i="14"/>
  <c r="E23" i="14"/>
  <c r="F19" i="14"/>
  <c r="G19" i="14" s="1"/>
  <c r="J16" i="14"/>
  <c r="I16" i="14"/>
  <c r="H16" i="14"/>
  <c r="G16" i="14"/>
  <c r="F16" i="14"/>
  <c r="E15" i="14"/>
  <c r="G15" i="14" s="1"/>
  <c r="H15" i="14" s="1"/>
  <c r="I15" i="14" s="1"/>
  <c r="J15" i="14" s="1"/>
  <c r="E14" i="14"/>
  <c r="E13" i="14"/>
  <c r="E12" i="14"/>
  <c r="I6" i="14"/>
  <c r="G6" i="14"/>
  <c r="H6" i="14" s="1"/>
  <c r="F6" i="14"/>
  <c r="G13" i="12"/>
  <c r="F13" i="12"/>
  <c r="H13" i="12"/>
  <c r="I13" i="12" s="1"/>
  <c r="J13" i="12" s="1"/>
  <c r="F12" i="12"/>
  <c r="E4" i="12"/>
  <c r="F23" i="12"/>
  <c r="E23" i="12"/>
  <c r="F19" i="12"/>
  <c r="G19" i="12" s="1"/>
  <c r="J16" i="12"/>
  <c r="I16" i="12"/>
  <c r="H16" i="12"/>
  <c r="G16" i="12"/>
  <c r="F16" i="12"/>
  <c r="E15" i="12"/>
  <c r="F15" i="12" s="1"/>
  <c r="G15" i="12" s="1"/>
  <c r="H15" i="12" s="1"/>
  <c r="I15" i="12" s="1"/>
  <c r="J15" i="12" s="1"/>
  <c r="E14" i="12"/>
  <c r="E13" i="12"/>
  <c r="E12" i="12"/>
  <c r="I6" i="12"/>
  <c r="G6" i="12"/>
  <c r="H6" i="12" s="1"/>
  <c r="F6" i="12"/>
  <c r="G16" i="11"/>
  <c r="H16" i="11"/>
  <c r="I16" i="11"/>
  <c r="J16" i="11"/>
  <c r="F16" i="11"/>
  <c r="G15" i="11"/>
  <c r="H15" i="11" s="1"/>
  <c r="I15" i="11" s="1"/>
  <c r="J15" i="11" s="1"/>
  <c r="G13" i="11"/>
  <c r="H13" i="11" s="1"/>
  <c r="I13" i="11" s="1"/>
  <c r="J13" i="11" s="1"/>
  <c r="G12" i="11"/>
  <c r="H12" i="11" s="1"/>
  <c r="I12" i="11" s="1"/>
  <c r="J12" i="11" s="1"/>
  <c r="E23" i="11"/>
  <c r="F19" i="11"/>
  <c r="F23" i="11" s="1"/>
  <c r="E15" i="11"/>
  <c r="E14" i="11"/>
  <c r="E13" i="11"/>
  <c r="E12" i="11"/>
  <c r="I6" i="11"/>
  <c r="G6" i="11"/>
  <c r="H6" i="11" s="1"/>
  <c r="F6" i="11"/>
  <c r="G11" i="9"/>
  <c r="H11" i="9" s="1"/>
  <c r="I11" i="9" s="1"/>
  <c r="J11" i="9" s="1"/>
  <c r="H11" i="8"/>
  <c r="I11" i="8" s="1"/>
  <c r="J11" i="8" s="1"/>
  <c r="F37" i="9"/>
  <c r="C17" i="4"/>
  <c r="D17" i="4" s="1"/>
  <c r="F10" i="9" s="1"/>
  <c r="G10" i="9" s="1"/>
  <c r="H10" i="9" s="1"/>
  <c r="I10" i="9" s="1"/>
  <c r="J10" i="9" s="1"/>
  <c r="C12" i="4"/>
  <c r="F39" i="9" s="1"/>
  <c r="E22" i="9"/>
  <c r="F18" i="9"/>
  <c r="G18" i="9" s="1"/>
  <c r="G15" i="9"/>
  <c r="H15" i="9" s="1"/>
  <c r="I15" i="9" s="1"/>
  <c r="J15" i="9" s="1"/>
  <c r="F15" i="9"/>
  <c r="E14" i="9"/>
  <c r="E13" i="9"/>
  <c r="E12" i="9"/>
  <c r="E11" i="9"/>
  <c r="I5" i="9"/>
  <c r="G5" i="9"/>
  <c r="H5" i="9" s="1"/>
  <c r="F5" i="9"/>
  <c r="D12" i="4"/>
  <c r="F10" i="8" s="1"/>
  <c r="G10" i="8" s="1"/>
  <c r="H10" i="8" s="1"/>
  <c r="I10" i="8" s="1"/>
  <c r="J10" i="8" s="1"/>
  <c r="C3" i="4"/>
  <c r="D3" i="4" s="1"/>
  <c r="E22" i="8"/>
  <c r="F18" i="8"/>
  <c r="G18" i="8" s="1"/>
  <c r="G15" i="8"/>
  <c r="H15" i="8" s="1"/>
  <c r="I15" i="8" s="1"/>
  <c r="J15" i="8" s="1"/>
  <c r="F15" i="8"/>
  <c r="E14" i="8"/>
  <c r="E13" i="8"/>
  <c r="E12" i="8"/>
  <c r="E11" i="8"/>
  <c r="E16" i="8" s="1"/>
  <c r="I5" i="8"/>
  <c r="G5" i="8"/>
  <c r="H5" i="8" s="1"/>
  <c r="F5" i="8"/>
  <c r="B39" i="7"/>
  <c r="B38" i="7"/>
  <c r="B37" i="7"/>
  <c r="D5" i="6"/>
  <c r="D4" i="6"/>
  <c r="C23" i="1"/>
  <c r="C16" i="1"/>
  <c r="C20" i="1"/>
  <c r="C19" i="1"/>
  <c r="C18" i="1"/>
  <c r="C17" i="1"/>
  <c r="E23" i="5"/>
  <c r="F19" i="5"/>
  <c r="E14" i="5"/>
  <c r="F14" i="5" s="1"/>
  <c r="G14" i="5" s="1"/>
  <c r="H14" i="5" s="1"/>
  <c r="I14" i="5" s="1"/>
  <c r="J14" i="5" s="1"/>
  <c r="E13" i="5"/>
  <c r="E12" i="5"/>
  <c r="F12" i="5" s="1"/>
  <c r="G12" i="5" s="1"/>
  <c r="H12" i="5" s="1"/>
  <c r="I12" i="5" s="1"/>
  <c r="J12" i="5" s="1"/>
  <c r="I5" i="5"/>
  <c r="G5" i="5"/>
  <c r="H5" i="5" s="1"/>
  <c r="F5" i="5"/>
  <c r="E22" i="3"/>
  <c r="F18" i="3"/>
  <c r="G18" i="3" s="1"/>
  <c r="E32" i="1"/>
  <c r="E45" i="1"/>
  <c r="E41" i="1"/>
  <c r="E34" i="1"/>
  <c r="E35" i="1"/>
  <c r="E36" i="1"/>
  <c r="E37" i="1"/>
  <c r="E38" i="1"/>
  <c r="E39" i="1"/>
  <c r="E40" i="1"/>
  <c r="E42" i="1"/>
  <c r="E43" i="1"/>
  <c r="E44" i="1"/>
  <c r="D3" i="2"/>
  <c r="F11" i="3" s="1"/>
  <c r="G11" i="3" s="1"/>
  <c r="H11" i="3" s="1"/>
  <c r="I11" i="3" s="1"/>
  <c r="J11" i="3" s="1"/>
  <c r="E15" i="3"/>
  <c r="F79" i="1"/>
  <c r="F89" i="1"/>
  <c r="F88" i="1"/>
  <c r="F87" i="1"/>
  <c r="F86" i="1"/>
  <c r="F85" i="1"/>
  <c r="F84" i="1"/>
  <c r="F83" i="1"/>
  <c r="F82" i="1"/>
  <c r="F81" i="1"/>
  <c r="F80" i="1"/>
  <c r="F38" i="9" l="1"/>
  <c r="F40" i="9"/>
  <c r="H18" i="3"/>
  <c r="G22" i="3"/>
  <c r="F22" i="3"/>
  <c r="H11" i="11"/>
  <c r="I11" i="11" s="1"/>
  <c r="J11" i="11" s="1"/>
  <c r="F10" i="5"/>
  <c r="G10" i="5" s="1"/>
  <c r="H10" i="5" s="1"/>
  <c r="I10" i="5" s="1"/>
  <c r="J10" i="5" s="1"/>
  <c r="F11" i="12"/>
  <c r="G11" i="12" s="1"/>
  <c r="H11" i="12" s="1"/>
  <c r="I11" i="12" s="1"/>
  <c r="J11" i="12" s="1"/>
  <c r="H11" i="14"/>
  <c r="F17" i="14"/>
  <c r="F18" i="14" s="1"/>
  <c r="F20" i="14" s="1"/>
  <c r="H19" i="14"/>
  <c r="G23" i="14"/>
  <c r="F23" i="14"/>
  <c r="E17" i="14"/>
  <c r="G12" i="12"/>
  <c r="F17" i="12"/>
  <c r="F18" i="12" s="1"/>
  <c r="F20" i="12" s="1"/>
  <c r="H19" i="12"/>
  <c r="G23" i="12"/>
  <c r="E17" i="12"/>
  <c r="G19" i="11"/>
  <c r="H19" i="11" s="1"/>
  <c r="F17" i="11"/>
  <c r="I19" i="11"/>
  <c r="H23" i="11"/>
  <c r="E17" i="11"/>
  <c r="G23" i="11"/>
  <c r="H18" i="9"/>
  <c r="G22" i="9"/>
  <c r="F16" i="9"/>
  <c r="F17" i="9" s="1"/>
  <c r="F19" i="9" s="1"/>
  <c r="E16" i="9"/>
  <c r="F22" i="9"/>
  <c r="E17" i="8"/>
  <c r="E19" i="8" s="1"/>
  <c r="E21" i="8" s="1"/>
  <c r="E23" i="8" s="1"/>
  <c r="H18" i="8"/>
  <c r="G22" i="8"/>
  <c r="F22" i="8"/>
  <c r="D11" i="6"/>
  <c r="F23" i="5"/>
  <c r="G19" i="5"/>
  <c r="F90" i="1"/>
  <c r="F18" i="11" l="1"/>
  <c r="F20" i="11" s="1"/>
  <c r="E30" i="11"/>
  <c r="I18" i="3"/>
  <c r="H22" i="3"/>
  <c r="F21" i="14"/>
  <c r="F22" i="14" s="1"/>
  <c r="F24" i="14" s="1"/>
  <c r="E18" i="14"/>
  <c r="E20" i="14" s="1"/>
  <c r="E22" i="14" s="1"/>
  <c r="E24" i="14" s="1"/>
  <c r="I19" i="14"/>
  <c r="H23" i="14"/>
  <c r="H12" i="14"/>
  <c r="G17" i="14"/>
  <c r="G18" i="14" s="1"/>
  <c r="G20" i="14" s="1"/>
  <c r="E18" i="12"/>
  <c r="E20" i="12" s="1"/>
  <c r="E22" i="12" s="1"/>
  <c r="E24" i="12" s="1"/>
  <c r="I19" i="12"/>
  <c r="H23" i="12"/>
  <c r="F21" i="12"/>
  <c r="F22" i="12" s="1"/>
  <c r="F24" i="12" s="1"/>
  <c r="F25" i="12" s="1"/>
  <c r="G17" i="12"/>
  <c r="H12" i="12"/>
  <c r="F21" i="11"/>
  <c r="F22" i="11" s="1"/>
  <c r="F24" i="11" s="1"/>
  <c r="F25" i="11" s="1"/>
  <c r="G17" i="11"/>
  <c r="G18" i="11" s="1"/>
  <c r="G20" i="11" s="1"/>
  <c r="I23" i="11"/>
  <c r="J19" i="11"/>
  <c r="J23" i="11" s="1"/>
  <c r="E18" i="11"/>
  <c r="E20" i="11" s="1"/>
  <c r="E22" i="11" s="1"/>
  <c r="E24" i="11" s="1"/>
  <c r="F20" i="9"/>
  <c r="F21" i="9" s="1"/>
  <c r="F23" i="9" s="1"/>
  <c r="I18" i="9"/>
  <c r="H22" i="9"/>
  <c r="E17" i="9"/>
  <c r="E19" i="9" s="1"/>
  <c r="E21" i="9" s="1"/>
  <c r="E23" i="9" s="1"/>
  <c r="G16" i="9"/>
  <c r="G17" i="9" s="1"/>
  <c r="G19" i="9" s="1"/>
  <c r="F16" i="8"/>
  <c r="I18" i="8"/>
  <c r="H22" i="8"/>
  <c r="G23" i="5"/>
  <c r="H19" i="5"/>
  <c r="E26" i="1"/>
  <c r="J8" i="1"/>
  <c r="J9" i="1"/>
  <c r="J10" i="1"/>
  <c r="J11" i="1"/>
  <c r="J12" i="1"/>
  <c r="J13" i="1"/>
  <c r="J15" i="1"/>
  <c r="J16" i="1"/>
  <c r="J18" i="1"/>
  <c r="J17" i="1" s="1"/>
  <c r="E29" i="1" s="1"/>
  <c r="J20" i="1"/>
  <c r="J21" i="1"/>
  <c r="J22" i="1"/>
  <c r="J23" i="1"/>
  <c r="J25" i="1"/>
  <c r="J26" i="1"/>
  <c r="J27" i="1"/>
  <c r="J28" i="1"/>
  <c r="J7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6" i="1"/>
  <c r="J18" i="3" l="1"/>
  <c r="J22" i="3" s="1"/>
  <c r="I22" i="3"/>
  <c r="F25" i="14"/>
  <c r="I23" i="14"/>
  <c r="J19" i="14"/>
  <c r="J23" i="14" s="1"/>
  <c r="G21" i="14"/>
  <c r="G22" i="14" s="1"/>
  <c r="G24" i="14" s="1"/>
  <c r="G25" i="14" s="1"/>
  <c r="I11" i="14"/>
  <c r="I12" i="14"/>
  <c r="H17" i="14"/>
  <c r="I23" i="12"/>
  <c r="J19" i="12"/>
  <c r="J23" i="12" s="1"/>
  <c r="G18" i="12"/>
  <c r="G20" i="12" s="1"/>
  <c r="I12" i="12"/>
  <c r="H17" i="12"/>
  <c r="H18" i="12" s="1"/>
  <c r="H20" i="12" s="1"/>
  <c r="G21" i="11"/>
  <c r="G22" i="11" s="1"/>
  <c r="G24" i="11" s="1"/>
  <c r="H17" i="11"/>
  <c r="F24" i="9"/>
  <c r="C51" i="7"/>
  <c r="G20" i="9"/>
  <c r="G21" i="9" s="1"/>
  <c r="G23" i="9" s="1"/>
  <c r="D51" i="7" s="1"/>
  <c r="H16" i="9"/>
  <c r="H17" i="9" s="1"/>
  <c r="H19" i="9" s="1"/>
  <c r="I22" i="9"/>
  <c r="J18" i="9"/>
  <c r="J22" i="9" s="1"/>
  <c r="E29" i="9"/>
  <c r="E29" i="8"/>
  <c r="I22" i="8"/>
  <c r="J18" i="8"/>
  <c r="J22" i="8" s="1"/>
  <c r="F17" i="8"/>
  <c r="F19" i="8" s="1"/>
  <c r="G16" i="8"/>
  <c r="G17" i="8" s="1"/>
  <c r="G19" i="8" s="1"/>
  <c r="E29" i="3"/>
  <c r="H23" i="5"/>
  <c r="I19" i="5"/>
  <c r="J24" i="1"/>
  <c r="E31" i="1" s="1"/>
  <c r="E4" i="1"/>
  <c r="J19" i="1"/>
  <c r="E30" i="1" s="1"/>
  <c r="J6" i="1"/>
  <c r="E27" i="1" s="1"/>
  <c r="J14" i="1"/>
  <c r="E28" i="1" s="1"/>
  <c r="E24" i="1" s="1"/>
  <c r="J11" i="14" l="1"/>
  <c r="J12" i="14"/>
  <c r="J17" i="14" s="1"/>
  <c r="I17" i="14"/>
  <c r="E31" i="14" s="1"/>
  <c r="H18" i="14"/>
  <c r="H20" i="14" s="1"/>
  <c r="E30" i="14"/>
  <c r="G21" i="12"/>
  <c r="G22" i="12" s="1"/>
  <c r="G24" i="12" s="1"/>
  <c r="H21" i="12"/>
  <c r="H22" i="12" s="1"/>
  <c r="H24" i="12" s="1"/>
  <c r="H25" i="12" s="1"/>
  <c r="J12" i="12"/>
  <c r="J17" i="12" s="1"/>
  <c r="I17" i="12"/>
  <c r="E31" i="12" s="1"/>
  <c r="G25" i="11"/>
  <c r="H18" i="11"/>
  <c r="H20" i="11" s="1"/>
  <c r="J17" i="11"/>
  <c r="J18" i="11" s="1"/>
  <c r="J20" i="11" s="1"/>
  <c r="I17" i="11"/>
  <c r="I18" i="11" s="1"/>
  <c r="I20" i="11" s="1"/>
  <c r="G24" i="9"/>
  <c r="J16" i="9"/>
  <c r="J17" i="9" s="1"/>
  <c r="J19" i="9" s="1"/>
  <c r="I16" i="9"/>
  <c r="H20" i="9"/>
  <c r="H21" i="9" s="1"/>
  <c r="H23" i="9" s="1"/>
  <c r="E51" i="7" s="1"/>
  <c r="G20" i="8"/>
  <c r="G21" i="8" s="1"/>
  <c r="G23" i="8" s="1"/>
  <c r="H16" i="8"/>
  <c r="H17" i="8" s="1"/>
  <c r="H19" i="8" s="1"/>
  <c r="F20" i="8"/>
  <c r="F21" i="8" s="1"/>
  <c r="F23" i="8" s="1"/>
  <c r="C50" i="7" s="1"/>
  <c r="E11" i="5"/>
  <c r="F11" i="5" s="1"/>
  <c r="G11" i="5" s="1"/>
  <c r="H11" i="5" s="1"/>
  <c r="I11" i="5" s="1"/>
  <c r="J11" i="5" s="1"/>
  <c r="I23" i="5"/>
  <c r="J19" i="5"/>
  <c r="J23" i="5" s="1"/>
  <c r="D54" i="1"/>
  <c r="E95" i="1" s="1"/>
  <c r="G12" i="3" l="1"/>
  <c r="H12" i="3" s="1"/>
  <c r="I12" i="3" s="1"/>
  <c r="J12" i="3" s="1"/>
  <c r="E16" i="3"/>
  <c r="E17" i="3" s="1"/>
  <c r="E19" i="3" s="1"/>
  <c r="E21" i="3" s="1"/>
  <c r="E23" i="3" s="1"/>
  <c r="B48" i="7" s="1"/>
  <c r="E29" i="14"/>
  <c r="I18" i="14"/>
  <c r="I20" i="14" s="1"/>
  <c r="H21" i="14"/>
  <c r="H22" i="14" s="1"/>
  <c r="H24" i="14" s="1"/>
  <c r="J18" i="14"/>
  <c r="J20" i="14" s="1"/>
  <c r="G25" i="12"/>
  <c r="I18" i="12"/>
  <c r="I20" i="12" s="1"/>
  <c r="J18" i="12"/>
  <c r="J20" i="12" s="1"/>
  <c r="E30" i="12"/>
  <c r="E29" i="12" s="1"/>
  <c r="J21" i="11"/>
  <c r="J22" i="11" s="1"/>
  <c r="J24" i="11" s="1"/>
  <c r="J25" i="11" s="1"/>
  <c r="H21" i="11"/>
  <c r="H22" i="11" s="1"/>
  <c r="H24" i="11" s="1"/>
  <c r="I21" i="11"/>
  <c r="I22" i="11" s="1"/>
  <c r="I24" i="11" s="1"/>
  <c r="I25" i="11" s="1"/>
  <c r="E31" i="11"/>
  <c r="E29" i="11" s="1"/>
  <c r="G24" i="8"/>
  <c r="D50" i="7"/>
  <c r="H24" i="9"/>
  <c r="J20" i="9"/>
  <c r="J21" i="9" s="1"/>
  <c r="J23" i="9" s="1"/>
  <c r="I17" i="9"/>
  <c r="I19" i="9" s="1"/>
  <c r="E30" i="9"/>
  <c r="E28" i="9" s="1"/>
  <c r="F24" i="8"/>
  <c r="H20" i="8"/>
  <c r="H21" i="8" s="1"/>
  <c r="H23" i="8" s="1"/>
  <c r="E50" i="7" s="1"/>
  <c r="J16" i="8"/>
  <c r="J17" i="8" s="1"/>
  <c r="J19" i="8" s="1"/>
  <c r="I16" i="8"/>
  <c r="D5" i="2"/>
  <c r="D6" i="2" s="1"/>
  <c r="D5" i="4"/>
  <c r="D6" i="4" s="1"/>
  <c r="F16" i="3"/>
  <c r="H25" i="14" l="1"/>
  <c r="J21" i="14"/>
  <c r="J22" i="14" s="1"/>
  <c r="J24" i="14" s="1"/>
  <c r="J25" i="14" s="1"/>
  <c r="I21" i="14"/>
  <c r="I22" i="14" s="1"/>
  <c r="I24" i="14" s="1"/>
  <c r="E28" i="14" s="1"/>
  <c r="J21" i="12"/>
  <c r="J22" i="12" s="1"/>
  <c r="J24" i="12" s="1"/>
  <c r="J25" i="12" s="1"/>
  <c r="I21" i="12"/>
  <c r="I22" i="12" s="1"/>
  <c r="I24" i="12" s="1"/>
  <c r="H25" i="11"/>
  <c r="E27" i="11"/>
  <c r="E28" i="11"/>
  <c r="J24" i="9"/>
  <c r="G51" i="7"/>
  <c r="I20" i="9"/>
  <c r="I21" i="9" s="1"/>
  <c r="I23" i="9" s="1"/>
  <c r="F51" i="7" s="1"/>
  <c r="H24" i="8"/>
  <c r="I17" i="8"/>
  <c r="I19" i="8" s="1"/>
  <c r="E30" i="8"/>
  <c r="E28" i="8" s="1"/>
  <c r="J20" i="8"/>
  <c r="J21" i="8" s="1"/>
  <c r="J23" i="8" s="1"/>
  <c r="F17" i="3"/>
  <c r="F21" i="3" s="1"/>
  <c r="F23" i="3" s="1"/>
  <c r="E18" i="5"/>
  <c r="E20" i="5" s="1"/>
  <c r="E22" i="5" s="1"/>
  <c r="F18" i="5"/>
  <c r="F20" i="5" s="1"/>
  <c r="F21" i="5" s="1"/>
  <c r="F22" i="5" s="1"/>
  <c r="G16" i="3"/>
  <c r="B49" i="7" l="1"/>
  <c r="I25" i="14"/>
  <c r="E27" i="14"/>
  <c r="I25" i="12"/>
  <c r="E28" i="12"/>
  <c r="E27" i="12"/>
  <c r="J24" i="8"/>
  <c r="G50" i="7"/>
  <c r="I24" i="9"/>
  <c r="E27" i="9"/>
  <c r="E26" i="9"/>
  <c r="I20" i="8"/>
  <c r="I21" i="8" s="1"/>
  <c r="I23" i="8" s="1"/>
  <c r="F50" i="7" s="1"/>
  <c r="F25" i="5"/>
  <c r="B3" i="7"/>
  <c r="B4" i="7" s="1"/>
  <c r="G17" i="3"/>
  <c r="G19" i="3" s="1"/>
  <c r="G21" i="3" s="1"/>
  <c r="G23" i="3" s="1"/>
  <c r="F24" i="3"/>
  <c r="H16" i="3"/>
  <c r="H17" i="3" s="1"/>
  <c r="H19" i="3" s="1"/>
  <c r="I24" i="8" l="1"/>
  <c r="E27" i="8"/>
  <c r="E26" i="8"/>
  <c r="G24" i="3"/>
  <c r="C2" i="7"/>
  <c r="H18" i="5"/>
  <c r="H20" i="5" s="1"/>
  <c r="H21" i="5" s="1"/>
  <c r="H22" i="5" s="1"/>
  <c r="G18" i="5"/>
  <c r="G20" i="5" s="1"/>
  <c r="G21" i="5" s="1"/>
  <c r="G22" i="5" s="1"/>
  <c r="H21" i="3"/>
  <c r="H23" i="3" s="1"/>
  <c r="I16" i="3"/>
  <c r="J16" i="3"/>
  <c r="J17" i="3" s="1"/>
  <c r="J19" i="3" s="1"/>
  <c r="C3" i="7" l="1"/>
  <c r="C4" i="7" s="1"/>
  <c r="H24" i="3"/>
  <c r="D2" i="7"/>
  <c r="H25" i="5"/>
  <c r="D3" i="7"/>
  <c r="D4" i="7" s="1"/>
  <c r="I17" i="3"/>
  <c r="I19" i="3" s="1"/>
  <c r="I21" i="3" s="1"/>
  <c r="I23" i="3" s="1"/>
  <c r="E30" i="3"/>
  <c r="E28" i="3" s="1"/>
  <c r="G25" i="5"/>
  <c r="J21" i="3"/>
  <c r="J23" i="3" s="1"/>
  <c r="I24" i="3" l="1"/>
  <c r="E2" i="7"/>
  <c r="J24" i="3"/>
  <c r="F2" i="7"/>
  <c r="J18" i="5"/>
  <c r="J20" i="5" s="1"/>
  <c r="J21" i="5" s="1"/>
  <c r="J22" i="5" s="1"/>
  <c r="I18" i="5"/>
  <c r="I20" i="5" s="1"/>
  <c r="I21" i="5" s="1"/>
  <c r="I22" i="5" s="1"/>
  <c r="E27" i="3"/>
  <c r="E26" i="3"/>
  <c r="E3" i="7" l="1"/>
  <c r="E4" i="7" s="1"/>
  <c r="E28" i="5"/>
  <c r="J25" i="5"/>
  <c r="F3" i="7"/>
  <c r="F4" i="7" s="1"/>
  <c r="I25" i="5"/>
  <c r="E27" i="5"/>
  <c r="G4" i="7" l="1"/>
</calcChain>
</file>

<file path=xl/sharedStrings.xml><?xml version="1.0" encoding="utf-8"?>
<sst xmlns="http://schemas.openxmlformats.org/spreadsheetml/2006/main" count="476" uniqueCount="169">
  <si>
    <t>Mano de Obra</t>
  </si>
  <si>
    <t>Total por hectárea</t>
  </si>
  <si>
    <t>Insumos desagregado</t>
  </si>
  <si>
    <t>Labor</t>
  </si>
  <si>
    <t>N° Jornales</t>
  </si>
  <si>
    <t>Valor Unitario</t>
  </si>
  <si>
    <t>Costo Total</t>
  </si>
  <si>
    <t>Item</t>
  </si>
  <si>
    <t>Cantidad</t>
  </si>
  <si>
    <t>Valor unitario</t>
  </si>
  <si>
    <t>Limpieza del terreno</t>
  </si>
  <si>
    <t>Ferti quimico</t>
  </si>
  <si>
    <t>Pica</t>
  </si>
  <si>
    <t>Urea kg</t>
  </si>
  <si>
    <t>Repique</t>
  </si>
  <si>
    <t>Triple 15 kg</t>
  </si>
  <si>
    <t>Preparación del suelo</t>
  </si>
  <si>
    <t>Producción kg</t>
  </si>
  <si>
    <t>Aplicación de enmiendas</t>
  </si>
  <si>
    <t>10 30 10 kg</t>
  </si>
  <si>
    <t>Preparación de semilla</t>
  </si>
  <si>
    <t>Agrimin kg</t>
  </si>
  <si>
    <t>Transporte de plantas</t>
  </si>
  <si>
    <t>10 20 20 kg</t>
  </si>
  <si>
    <t>Aplicación de Materia Orgánica</t>
  </si>
  <si>
    <t>Nitrón kg</t>
  </si>
  <si>
    <t>Siembra</t>
  </si>
  <si>
    <t xml:space="preserve">Orgánico </t>
  </si>
  <si>
    <t>Resiembras</t>
  </si>
  <si>
    <t>Gallinaza kg</t>
  </si>
  <si>
    <t>Riego</t>
  </si>
  <si>
    <t>Abonaza kg</t>
  </si>
  <si>
    <t>Deshierba, aporque y limpieza de surcos</t>
  </si>
  <si>
    <t>Emiendas</t>
  </si>
  <si>
    <t>Aplicación de fertilizantes</t>
  </si>
  <si>
    <t>Cal kg</t>
  </si>
  <si>
    <t>Aplicación de gallinaza</t>
  </si>
  <si>
    <t>Fungicidas</t>
  </si>
  <si>
    <t>Control de Plagas</t>
  </si>
  <si>
    <t>Amistar top Litro</t>
  </si>
  <si>
    <t>Control de Enfermedades</t>
  </si>
  <si>
    <t>Alto 100 SL Litro</t>
  </si>
  <si>
    <t>Aplicación de fungicidas</t>
  </si>
  <si>
    <t>Dithane Litro</t>
  </si>
  <si>
    <t>Cosecha, recolección y selección</t>
  </si>
  <si>
    <t>Manzate kg</t>
  </si>
  <si>
    <t>Insumos</t>
  </si>
  <si>
    <t>Insecticidas</t>
  </si>
  <si>
    <t>Insumo</t>
  </si>
  <si>
    <t>Losrban Litro</t>
  </si>
  <si>
    <t>Semilla por kilogramo</t>
  </si>
  <si>
    <t>Invetrina Litro</t>
  </si>
  <si>
    <t xml:space="preserve">Fertilizantes químicos </t>
  </si>
  <si>
    <t>Global</t>
  </si>
  <si>
    <t>Roxion Litro</t>
  </si>
  <si>
    <t xml:space="preserve">Fertilizantes orgánicos </t>
  </si>
  <si>
    <t>Athrim Litro</t>
  </si>
  <si>
    <t>Enmiendas</t>
  </si>
  <si>
    <t>Herramientas depreciación por año</t>
  </si>
  <si>
    <t>Fumigadora de espalda químicos</t>
  </si>
  <si>
    <t>Fumigadora de espalda biológicos</t>
  </si>
  <si>
    <t>Guantes</t>
  </si>
  <si>
    <t>Boquillas (fumigadoras)</t>
  </si>
  <si>
    <t>Empaques (fumigadoras)</t>
  </si>
  <si>
    <t xml:space="preserve">Machetes </t>
  </si>
  <si>
    <t>Asadón</t>
  </si>
  <si>
    <t>Sistema de riego</t>
  </si>
  <si>
    <t>Limas</t>
  </si>
  <si>
    <t>Guadaña</t>
  </si>
  <si>
    <t xml:space="preserve">Canastillas plásticas 15 kg. </t>
  </si>
  <si>
    <t xml:space="preserve">Otros Costos </t>
  </si>
  <si>
    <t>Análisis de suelo (fertilidad)</t>
  </si>
  <si>
    <t>Análisis de suelo (CRH)</t>
  </si>
  <si>
    <t>Análisis de tejido vegetal</t>
  </si>
  <si>
    <t>Análisis de agua</t>
  </si>
  <si>
    <t>Administración</t>
  </si>
  <si>
    <t>Asistencia técnica</t>
  </si>
  <si>
    <t>Otros</t>
  </si>
  <si>
    <t>Costos totales por hectárea/año</t>
  </si>
  <si>
    <t>COSTOS DE INVERSIÓN</t>
  </si>
  <si>
    <t>Herramientas, Materiales y Equipos</t>
  </si>
  <si>
    <t xml:space="preserve">Unidad </t>
  </si>
  <si>
    <t>Total unidades</t>
  </si>
  <si>
    <t>Valor unidad</t>
  </si>
  <si>
    <t>Total</t>
  </si>
  <si>
    <t>Unidad</t>
  </si>
  <si>
    <t>Caja</t>
  </si>
  <si>
    <t>caja</t>
  </si>
  <si>
    <t xml:space="preserve">Total </t>
  </si>
  <si>
    <t>Productividad kg ha/año</t>
  </si>
  <si>
    <t>Precio de venta kg</t>
  </si>
  <si>
    <t>Total Ingresos</t>
  </si>
  <si>
    <t>=</t>
  </si>
  <si>
    <t>TOTAL INGRESOS</t>
  </si>
  <si>
    <t xml:space="preserve">- </t>
  </si>
  <si>
    <t>Costos Mano de Obra</t>
  </si>
  <si>
    <t>Costos Insumos</t>
  </si>
  <si>
    <t>Herramientas</t>
  </si>
  <si>
    <t>Otros Costos</t>
  </si>
  <si>
    <t>Costos y gastos totales</t>
  </si>
  <si>
    <t>UTILIDAD BRUTA</t>
  </si>
  <si>
    <t>-</t>
  </si>
  <si>
    <t>Depreciaciones</t>
  </si>
  <si>
    <t>UAI</t>
  </si>
  <si>
    <t xml:space="preserve">IMPUESTOS </t>
  </si>
  <si>
    <t xml:space="preserve">= </t>
  </si>
  <si>
    <t xml:space="preserve">UTILIDAD NETA </t>
  </si>
  <si>
    <t>F caja NEto</t>
  </si>
  <si>
    <t>Tasa de descuento</t>
  </si>
  <si>
    <t>VPN</t>
  </si>
  <si>
    <t>TIR</t>
  </si>
  <si>
    <t>RBC</t>
  </si>
  <si>
    <t>VPI</t>
  </si>
  <si>
    <t>VPE</t>
  </si>
  <si>
    <t>PRID</t>
  </si>
  <si>
    <t>Costos DO</t>
  </si>
  <si>
    <t>4 cortes</t>
  </si>
  <si>
    <t>Flujo de  caja Neto</t>
  </si>
  <si>
    <t>Banco de la republica 2024</t>
  </si>
  <si>
    <t>Inflación</t>
  </si>
  <si>
    <t>Ingresos $/mes</t>
  </si>
  <si>
    <t>Año</t>
  </si>
  <si>
    <t>Tratamiento poscosecha</t>
  </si>
  <si>
    <t>Mano de obra</t>
  </si>
  <si>
    <t>160 jornales</t>
  </si>
  <si>
    <t>Limpieza y empaque</t>
  </si>
  <si>
    <t>80 jornales</t>
  </si>
  <si>
    <t>Costos asociados a la solicitud DO</t>
  </si>
  <si>
    <t>Solicitud</t>
  </si>
  <si>
    <t>unidad</t>
  </si>
  <si>
    <t>conglomerado</t>
  </si>
  <si>
    <t xml:space="preserve">Asesoria </t>
  </si>
  <si>
    <t>honorarios</t>
  </si>
  <si>
    <t>Publicidad</t>
  </si>
  <si>
    <t>Total Costos DO</t>
  </si>
  <si>
    <t xml:space="preserve">transporte </t>
  </si>
  <si>
    <t>Ingresos sin DO</t>
  </si>
  <si>
    <t>Ingresos con DO</t>
  </si>
  <si>
    <t>en millones</t>
  </si>
  <si>
    <t>Con DO</t>
  </si>
  <si>
    <t>Actual</t>
  </si>
  <si>
    <t>Indicador</t>
  </si>
  <si>
    <t>% aumento</t>
  </si>
  <si>
    <t>Precio 1</t>
  </si>
  <si>
    <t>Ingresos DO</t>
  </si>
  <si>
    <t>Ingresos Actual</t>
  </si>
  <si>
    <t>Precio 2</t>
  </si>
  <si>
    <t>Sensibilidad P1</t>
  </si>
  <si>
    <t>Sensibiliad P2</t>
  </si>
  <si>
    <t>Precio Actual $/kg</t>
  </si>
  <si>
    <t>Precio con D.O $/kg</t>
  </si>
  <si>
    <t>Precio 1 $/kg</t>
  </si>
  <si>
    <t>Precio 2$/kg</t>
  </si>
  <si>
    <t>Escenario 1</t>
  </si>
  <si>
    <t xml:space="preserve">Inflación </t>
  </si>
  <si>
    <t>dólar 5000</t>
  </si>
  <si>
    <t>precio de venta fijo</t>
  </si>
  <si>
    <t>Rendimiento baje</t>
  </si>
  <si>
    <t>Cortes al año</t>
  </si>
  <si>
    <t>Ingresos Situación Actual</t>
  </si>
  <si>
    <t>Flujo de caja situación Actual</t>
  </si>
  <si>
    <t>Impuestos según UVT</t>
  </si>
  <si>
    <t>Tope declaración UVT</t>
  </si>
  <si>
    <t>Escenario 2</t>
  </si>
  <si>
    <t>Escenario 3</t>
  </si>
  <si>
    <t>Administración D.O</t>
  </si>
  <si>
    <t>Costos D.O</t>
  </si>
  <si>
    <t>F caja Neto</t>
  </si>
  <si>
    <t>Valor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</si>
</sst>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2" formatCode="_-&quot;$&quot;\ * #,##0_-;\-&quot;$&quot;\ * #,##0_-;_-&quot;$&quot;\ 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-&quot;$&quot;\ * #,##0_-;\-&quot;$&quot;\ * #,##0_-;_-&quot;$&quot;\ * &quot;-&quot;??_-;_-@_-"/>
    <numFmt numFmtId="165" formatCode="_(* #,##0.00_);_(* \(#,##0.00\);_(* &quot;-&quot;??_);_(@_)"/>
    <numFmt numFmtId="166" formatCode="&quot;$&quot;\ #,##0.00_);[Red]\(&quot;$&quot;\ #,##0.00\)"/>
    <numFmt numFmtId="167" formatCode="_-[$$-409]* #,##0.00_ ;_-[$$-409]* \-#,##0.00\ ;_-[$$-409]* &quot;-&quot;??_ ;_-@_ "/>
    <numFmt numFmtId="168" formatCode="_-[$$-409]* #,##0_ ;_-[$$-409]* \-#,##0\ ;_-[$$-409]* &quot;-&quot;??_ ;_-@_ "/>
    <numFmt numFmtId="169" formatCode="_-* #,##0_-;\-* #,##0_-;_-* &quot;-&quot;??_-;_-@_-"/>
    <numFmt numFmtId="170" formatCode="_-&quot;$&quot;\ * #,##0.0_-;\-&quot;$&quot;\ * #,##0.0_-;_-&quot;$&quot;\ * &quot;-&quot;??_-;_-@_-"/>
    <numFmt numFmtId="176" formatCode="0.00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1"/>
      <color rgb="FFFFFFFF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8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E9EDF4"/>
        <bgColor indexed="64"/>
      </patternFill>
    </fill>
    <fill>
      <patternFill patternType="solid">
        <fgColor rgb="FFD0D8E8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indexed="64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FFFFFF"/>
      </right>
      <top/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rgb="FFFFFFFF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51">
    <xf numFmtId="0" fontId="0" fillId="0" borderId="0" xfId="0"/>
    <xf numFmtId="0" fontId="3" fillId="0" borderId="1" xfId="0" applyFont="1" applyBorder="1"/>
    <xf numFmtId="0" fontId="0" fillId="0" borderId="1" xfId="0" applyBorder="1"/>
    <xf numFmtId="164" fontId="3" fillId="0" borderId="1" xfId="0" applyNumberFormat="1" applyFont="1" applyBorder="1"/>
    <xf numFmtId="44" fontId="0" fillId="0" borderId="1" xfId="1" applyFont="1" applyBorder="1"/>
    <xf numFmtId="164" fontId="0" fillId="0" borderId="1" xfId="0" applyNumberFormat="1" applyBorder="1"/>
    <xf numFmtId="44" fontId="2" fillId="0" borderId="1" xfId="1" applyFont="1" applyBorder="1"/>
    <xf numFmtId="0" fontId="6" fillId="0" borderId="3" xfId="0" applyFont="1" applyBorder="1" applyAlignment="1">
      <alignment horizontal="justify" vertical="center" wrapText="1"/>
    </xf>
    <xf numFmtId="0" fontId="6" fillId="0" borderId="4" xfId="0" applyFont="1" applyBorder="1" applyAlignment="1">
      <alignment horizontal="center" vertical="center" wrapText="1"/>
    </xf>
    <xf numFmtId="42" fontId="6" fillId="0" borderId="4" xfId="2" applyFont="1" applyBorder="1" applyAlignment="1">
      <alignment horizontal="center" vertical="center" wrapText="1"/>
    </xf>
    <xf numFmtId="42" fontId="6" fillId="0" borderId="4" xfId="2" applyFont="1" applyBorder="1" applyAlignment="1">
      <alignment vertical="center"/>
    </xf>
    <xf numFmtId="0" fontId="5" fillId="0" borderId="3" xfId="0" applyFont="1" applyBorder="1" applyAlignment="1">
      <alignment horizontal="justify" vertical="center" wrapText="1"/>
    </xf>
    <xf numFmtId="0" fontId="5" fillId="0" borderId="4" xfId="0" applyFont="1" applyBorder="1" applyAlignment="1">
      <alignment horizontal="center" vertical="center" wrapText="1"/>
    </xf>
    <xf numFmtId="42" fontId="5" fillId="0" borderId="4" xfId="2" applyFont="1" applyBorder="1" applyAlignment="1">
      <alignment horizontal="center" vertical="center" wrapText="1"/>
    </xf>
    <xf numFmtId="42" fontId="0" fillId="0" borderId="0" xfId="0" applyNumberFormat="1"/>
    <xf numFmtId="0" fontId="7" fillId="2" borderId="1" xfId="0" applyFont="1" applyFill="1" applyBorder="1" applyAlignment="1">
      <alignment horizontal="center" vertical="center"/>
    </xf>
    <xf numFmtId="164" fontId="7" fillId="2" borderId="1" xfId="0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164" fontId="8" fillId="0" borderId="1" xfId="1" applyNumberFormat="1" applyFont="1" applyBorder="1" applyAlignment="1">
      <alignment horizontal="center" vertical="center"/>
    </xf>
    <xf numFmtId="164" fontId="8" fillId="0" borderId="1" xfId="0" applyNumberFormat="1" applyFont="1" applyBorder="1" applyAlignment="1">
      <alignment horizontal="center" vertical="center"/>
    </xf>
    <xf numFmtId="0" fontId="8" fillId="0" borderId="1" xfId="0" applyFont="1" applyBorder="1"/>
    <xf numFmtId="0" fontId="7" fillId="2" borderId="1" xfId="0" applyFont="1" applyFill="1" applyBorder="1"/>
    <xf numFmtId="44" fontId="7" fillId="2" borderId="1" xfId="1" applyFont="1" applyFill="1" applyBorder="1"/>
    <xf numFmtId="164" fontId="8" fillId="0" borderId="1" xfId="1" applyNumberFormat="1" applyFont="1" applyBorder="1"/>
    <xf numFmtId="164" fontId="7" fillId="0" borderId="1" xfId="0" applyNumberFormat="1" applyFont="1" applyBorder="1" applyAlignment="1">
      <alignment horizontal="center" vertical="center"/>
    </xf>
    <xf numFmtId="0" fontId="7" fillId="0" borderId="1" xfId="0" applyFont="1" applyBorder="1"/>
    <xf numFmtId="44" fontId="0" fillId="0" borderId="1" xfId="0" applyNumberFormat="1" applyBorder="1"/>
    <xf numFmtId="43" fontId="0" fillId="0" borderId="0" xfId="0" applyNumberFormat="1"/>
    <xf numFmtId="0" fontId="0" fillId="0" borderId="0" xfId="0" applyAlignment="1">
      <alignment horizontal="center"/>
    </xf>
    <xf numFmtId="0" fontId="9" fillId="3" borderId="6" xfId="0" applyFont="1" applyFill="1" applyBorder="1" applyAlignment="1">
      <alignment horizontal="center" vertical="center" wrapText="1" readingOrder="1"/>
    </xf>
    <xf numFmtId="0" fontId="10" fillId="4" borderId="6" xfId="0" applyFont="1" applyFill="1" applyBorder="1" applyAlignment="1">
      <alignment horizontal="left" vertical="center" wrapText="1" readingOrder="1"/>
    </xf>
    <xf numFmtId="165" fontId="3" fillId="0" borderId="0" xfId="0" applyNumberFormat="1" applyFont="1"/>
    <xf numFmtId="0" fontId="11" fillId="5" borderId="6" xfId="0" applyFont="1" applyFill="1" applyBorder="1" applyAlignment="1">
      <alignment horizontal="left" vertical="center" wrapText="1" readingOrder="1"/>
    </xf>
    <xf numFmtId="165" fontId="0" fillId="0" borderId="0" xfId="0" applyNumberFormat="1"/>
    <xf numFmtId="0" fontId="11" fillId="2" borderId="6" xfId="0" applyFont="1" applyFill="1" applyBorder="1" applyAlignment="1">
      <alignment horizontal="left" vertical="center" wrapText="1" readingOrder="1"/>
    </xf>
    <xf numFmtId="165" fontId="0" fillId="2" borderId="0" xfId="0" applyNumberFormat="1" applyFill="1"/>
    <xf numFmtId="0" fontId="10" fillId="5" borderId="6" xfId="0" applyFont="1" applyFill="1" applyBorder="1" applyAlignment="1">
      <alignment horizontal="left" vertical="center" wrapText="1" readingOrder="1"/>
    </xf>
    <xf numFmtId="0" fontId="11" fillId="4" borderId="6" xfId="0" applyFont="1" applyFill="1" applyBorder="1" applyAlignment="1">
      <alignment horizontal="left" vertical="center" wrapText="1" readingOrder="1"/>
    </xf>
    <xf numFmtId="166" fontId="0" fillId="0" borderId="0" xfId="0" applyNumberFormat="1"/>
    <xf numFmtId="0" fontId="9" fillId="0" borderId="6" xfId="0" applyFont="1" applyBorder="1" applyAlignment="1">
      <alignment horizontal="center" vertical="center" wrapText="1" readingOrder="1"/>
    </xf>
    <xf numFmtId="0" fontId="10" fillId="0" borderId="6" xfId="0" applyFont="1" applyBorder="1" applyAlignment="1">
      <alignment horizontal="left" vertical="center" wrapText="1" readingOrder="1"/>
    </xf>
    <xf numFmtId="167" fontId="0" fillId="0" borderId="0" xfId="0" applyNumberFormat="1"/>
    <xf numFmtId="168" fontId="0" fillId="0" borderId="0" xfId="0" applyNumberFormat="1"/>
    <xf numFmtId="168" fontId="3" fillId="0" borderId="0" xfId="0" applyNumberFormat="1" applyFont="1"/>
    <xf numFmtId="43" fontId="3" fillId="0" borderId="0" xfId="0" applyNumberFormat="1" applyFont="1"/>
    <xf numFmtId="9" fontId="0" fillId="0" borderId="0" xfId="0" applyNumberFormat="1"/>
    <xf numFmtId="0" fontId="9" fillId="3" borderId="7" xfId="0" applyFont="1" applyFill="1" applyBorder="1" applyAlignment="1">
      <alignment horizontal="center" vertical="center" wrapText="1" readingOrder="1"/>
    </xf>
    <xf numFmtId="165" fontId="3" fillId="0" borderId="8" xfId="0" applyNumberFormat="1" applyFont="1" applyBorder="1"/>
    <xf numFmtId="165" fontId="0" fillId="0" borderId="8" xfId="0" applyNumberFormat="1" applyBorder="1"/>
    <xf numFmtId="166" fontId="0" fillId="0" borderId="8" xfId="0" applyNumberFormat="1" applyBorder="1"/>
    <xf numFmtId="43" fontId="0" fillId="0" borderId="8" xfId="0" applyNumberFormat="1" applyBorder="1"/>
    <xf numFmtId="0" fontId="9" fillId="0" borderId="7" xfId="0" applyFont="1" applyBorder="1" applyAlignment="1">
      <alignment horizontal="center" vertical="center" wrapText="1" readingOrder="1"/>
    </xf>
    <xf numFmtId="43" fontId="3" fillId="0" borderId="8" xfId="0" applyNumberFormat="1" applyFont="1" applyBorder="1"/>
    <xf numFmtId="0" fontId="0" fillId="0" borderId="9" xfId="0" applyBorder="1"/>
    <xf numFmtId="0" fontId="0" fillId="0" borderId="10" xfId="0" applyBorder="1"/>
    <xf numFmtId="0" fontId="0" fillId="0" borderId="5" xfId="0" applyBorder="1"/>
    <xf numFmtId="43" fontId="0" fillId="0" borderId="5" xfId="0" applyNumberFormat="1" applyBorder="1"/>
    <xf numFmtId="43" fontId="0" fillId="0" borderId="4" xfId="0" applyNumberFormat="1" applyBorder="1"/>
    <xf numFmtId="0" fontId="3" fillId="6" borderId="11" xfId="0" applyFont="1" applyFill="1" applyBorder="1"/>
    <xf numFmtId="43" fontId="3" fillId="6" borderId="12" xfId="0" applyNumberFormat="1" applyFont="1" applyFill="1" applyBorder="1"/>
    <xf numFmtId="43" fontId="3" fillId="6" borderId="13" xfId="0" applyNumberFormat="1" applyFont="1" applyFill="1" applyBorder="1"/>
    <xf numFmtId="0" fontId="9" fillId="3" borderId="14" xfId="0" applyFont="1" applyFill="1" applyBorder="1" applyAlignment="1">
      <alignment horizontal="center" vertical="center" wrapText="1" readingOrder="1"/>
    </xf>
    <xf numFmtId="0" fontId="10" fillId="4" borderId="15" xfId="0" applyFont="1" applyFill="1" applyBorder="1" applyAlignment="1">
      <alignment horizontal="left" vertical="center" wrapText="1" readingOrder="1"/>
    </xf>
    <xf numFmtId="0" fontId="0" fillId="0" borderId="16" xfId="0" applyBorder="1"/>
    <xf numFmtId="44" fontId="0" fillId="0" borderId="17" xfId="1" applyFont="1" applyBorder="1"/>
    <xf numFmtId="44" fontId="3" fillId="0" borderId="18" xfId="0" applyNumberFormat="1" applyFont="1" applyBorder="1"/>
    <xf numFmtId="164" fontId="0" fillId="0" borderId="0" xfId="1" applyNumberFormat="1" applyFont="1"/>
    <xf numFmtId="169" fontId="0" fillId="0" borderId="0" xfId="0" applyNumberFormat="1"/>
    <xf numFmtId="168" fontId="3" fillId="7" borderId="0" xfId="0" applyNumberFormat="1" applyFont="1" applyFill="1"/>
    <xf numFmtId="165" fontId="3" fillId="7" borderId="0" xfId="0" applyNumberFormat="1" applyFont="1" applyFill="1"/>
    <xf numFmtId="9" fontId="0" fillId="0" borderId="0" xfId="3" applyFont="1"/>
    <xf numFmtId="44" fontId="0" fillId="0" borderId="0" xfId="1" applyFont="1"/>
    <xf numFmtId="170" fontId="0" fillId="0" borderId="0" xfId="1" applyNumberFormat="1" applyFont="1"/>
    <xf numFmtId="2" fontId="0" fillId="0" borderId="0" xfId="0" applyNumberFormat="1"/>
    <xf numFmtId="0" fontId="0" fillId="0" borderId="1" xfId="0" applyBorder="1" applyAlignment="1">
      <alignment horizontal="center"/>
    </xf>
    <xf numFmtId="164" fontId="0" fillId="0" borderId="1" xfId="1" applyNumberFormat="1" applyFont="1" applyBorder="1" applyAlignment="1">
      <alignment horizontal="center"/>
    </xf>
    <xf numFmtId="9" fontId="0" fillId="0" borderId="1" xfId="3" applyFont="1" applyBorder="1"/>
    <xf numFmtId="9" fontId="0" fillId="0" borderId="1" xfId="3" applyFont="1" applyBorder="1" applyAlignment="1">
      <alignment horizontal="center"/>
    </xf>
    <xf numFmtId="2" fontId="0" fillId="0" borderId="1" xfId="0" applyNumberFormat="1" applyBorder="1"/>
    <xf numFmtId="2" fontId="0" fillId="0" borderId="1" xfId="0" applyNumberFormat="1" applyBorder="1" applyAlignment="1">
      <alignment horizontal="center"/>
    </xf>
    <xf numFmtId="44" fontId="0" fillId="0" borderId="1" xfId="1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9" fontId="2" fillId="0" borderId="0" xfId="0" applyNumberFormat="1" applyFont="1"/>
    <xf numFmtId="0" fontId="3" fillId="0" borderId="1" xfId="0" applyFont="1" applyBorder="1" applyAlignment="1">
      <alignment horizontal="center"/>
    </xf>
    <xf numFmtId="0" fontId="3" fillId="0" borderId="22" xfId="0" applyFont="1" applyBorder="1"/>
    <xf numFmtId="0" fontId="3" fillId="0" borderId="23" xfId="0" applyFont="1" applyBorder="1"/>
    <xf numFmtId="0" fontId="3" fillId="0" borderId="24" xfId="0" applyFont="1" applyBorder="1"/>
    <xf numFmtId="0" fontId="3" fillId="0" borderId="10" xfId="0" applyFont="1" applyBorder="1"/>
    <xf numFmtId="0" fontId="3" fillId="0" borderId="5" xfId="0" applyFont="1" applyBorder="1"/>
    <xf numFmtId="0" fontId="3" fillId="0" borderId="4" xfId="0" applyFont="1" applyBorder="1" applyAlignment="1">
      <alignment horizontal="center"/>
    </xf>
    <xf numFmtId="9" fontId="0" fillId="0" borderId="1" xfId="0" applyNumberFormat="1" applyBorder="1"/>
    <xf numFmtId="0" fontId="0" fillId="6" borderId="1" xfId="0" applyFill="1" applyBorder="1"/>
    <xf numFmtId="9" fontId="0" fillId="6" borderId="1" xfId="0" applyNumberFormat="1" applyFill="1" applyBorder="1"/>
    <xf numFmtId="0" fontId="0" fillId="6" borderId="0" xfId="0" applyFill="1"/>
    <xf numFmtId="9" fontId="0" fillId="6" borderId="0" xfId="0" applyNumberFormat="1" applyFill="1"/>
    <xf numFmtId="167" fontId="0" fillId="0" borderId="1" xfId="0" applyNumberFormat="1" applyBorder="1"/>
    <xf numFmtId="43" fontId="0" fillId="0" borderId="1" xfId="4" applyFont="1" applyBorder="1"/>
    <xf numFmtId="0" fontId="9" fillId="3" borderId="1" xfId="0" applyFont="1" applyFill="1" applyBorder="1" applyAlignment="1">
      <alignment horizontal="center" vertical="center" wrapText="1" readingOrder="1"/>
    </xf>
    <xf numFmtId="0" fontId="10" fillId="4" borderId="1" xfId="0" applyFont="1" applyFill="1" applyBorder="1" applyAlignment="1">
      <alignment horizontal="left" vertical="center" wrapText="1" readingOrder="1"/>
    </xf>
    <xf numFmtId="165" fontId="3" fillId="0" borderId="1" xfId="0" applyNumberFormat="1" applyFont="1" applyBorder="1"/>
    <xf numFmtId="0" fontId="11" fillId="5" borderId="1" xfId="0" applyFont="1" applyFill="1" applyBorder="1" applyAlignment="1">
      <alignment horizontal="left" vertical="center" wrapText="1" readingOrder="1"/>
    </xf>
    <xf numFmtId="168" fontId="0" fillId="0" borderId="1" xfId="0" applyNumberFormat="1" applyBorder="1"/>
    <xf numFmtId="165" fontId="0" fillId="0" borderId="1" xfId="0" applyNumberFormat="1" applyBorder="1"/>
    <xf numFmtId="0" fontId="11" fillId="2" borderId="1" xfId="0" applyFont="1" applyFill="1" applyBorder="1" applyAlignment="1">
      <alignment horizontal="left" vertical="center" wrapText="1" readingOrder="1"/>
    </xf>
    <xf numFmtId="168" fontId="3" fillId="7" borderId="1" xfId="0" applyNumberFormat="1" applyFont="1" applyFill="1" applyBorder="1"/>
    <xf numFmtId="165" fontId="3" fillId="7" borderId="1" xfId="0" applyNumberFormat="1" applyFont="1" applyFill="1" applyBorder="1"/>
    <xf numFmtId="168" fontId="3" fillId="0" borderId="1" xfId="0" applyNumberFormat="1" applyFont="1" applyBorder="1"/>
    <xf numFmtId="0" fontId="10" fillId="5" borderId="1" xfId="0" applyFont="1" applyFill="1" applyBorder="1" applyAlignment="1">
      <alignment horizontal="left" vertical="center" wrapText="1" readingOrder="1"/>
    </xf>
    <xf numFmtId="43" fontId="3" fillId="0" borderId="1" xfId="0" applyNumberFormat="1" applyFont="1" applyBorder="1"/>
    <xf numFmtId="0" fontId="11" fillId="4" borderId="1" xfId="0" applyFont="1" applyFill="1" applyBorder="1" applyAlignment="1">
      <alignment horizontal="left" vertical="center" wrapText="1" readingOrder="1"/>
    </xf>
    <xf numFmtId="166" fontId="0" fillId="0" borderId="1" xfId="0" applyNumberFormat="1" applyBorder="1"/>
    <xf numFmtId="43" fontId="0" fillId="0" borderId="1" xfId="0" applyNumberFormat="1" applyBorder="1"/>
    <xf numFmtId="0" fontId="9" fillId="0" borderId="1" xfId="0" applyFont="1" applyBorder="1" applyAlignment="1">
      <alignment horizontal="center" vertical="center" wrapText="1" readingOrder="1"/>
    </xf>
    <xf numFmtId="0" fontId="10" fillId="0" borderId="1" xfId="0" applyFont="1" applyBorder="1" applyAlignment="1">
      <alignment horizontal="left" vertical="center" wrapText="1" readingOrder="1"/>
    </xf>
    <xf numFmtId="0" fontId="0" fillId="8" borderId="1" xfId="0" applyFill="1" applyBorder="1"/>
    <xf numFmtId="9" fontId="0" fillId="8" borderId="1" xfId="0" applyNumberFormat="1" applyFill="1" applyBorder="1"/>
    <xf numFmtId="9" fontId="2" fillId="8" borderId="1" xfId="0" applyNumberFormat="1" applyFont="1" applyFill="1" applyBorder="1"/>
    <xf numFmtId="9" fontId="2" fillId="8" borderId="25" xfId="0" applyNumberFormat="1" applyFont="1" applyFill="1" applyBorder="1"/>
    <xf numFmtId="9" fontId="0" fillId="8" borderId="25" xfId="3" applyFont="1" applyFill="1" applyBorder="1"/>
    <xf numFmtId="0" fontId="0" fillId="8" borderId="25" xfId="0" applyFill="1" applyBorder="1"/>
    <xf numFmtId="9" fontId="0" fillId="0" borderId="26" xfId="0" applyNumberFormat="1" applyBorder="1"/>
    <xf numFmtId="44" fontId="0" fillId="8" borderId="1" xfId="3" applyNumberFormat="1" applyFont="1" applyFill="1" applyBorder="1"/>
    <xf numFmtId="43" fontId="0" fillId="0" borderId="1" xfId="0" applyNumberFormat="1" applyBorder="1" applyAlignment="1">
      <alignment horizontal="center"/>
    </xf>
    <xf numFmtId="0" fontId="7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4" fillId="2" borderId="2" xfId="0" applyFont="1" applyFill="1" applyBorder="1" applyAlignment="1">
      <alignment horizontal="justify" vertical="center" wrapText="1"/>
    </xf>
    <xf numFmtId="0" fontId="4" fillId="2" borderId="3" xfId="0" applyFont="1" applyFill="1" applyBorder="1" applyAlignment="1">
      <alignment horizontal="justify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/>
    </xf>
    <xf numFmtId="164" fontId="7" fillId="2" borderId="1" xfId="0" applyNumberFormat="1" applyFont="1" applyFill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16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3" fillId="0" borderId="17" xfId="0" applyFont="1" applyBorder="1" applyAlignment="1">
      <alignment horizontal="left"/>
    </xf>
    <xf numFmtId="0" fontId="3" fillId="0" borderId="19" xfId="0" applyFont="1" applyBorder="1" applyAlignment="1">
      <alignment horizontal="center"/>
    </xf>
    <xf numFmtId="0" fontId="3" fillId="0" borderId="20" xfId="0" applyFont="1" applyBorder="1" applyAlignment="1">
      <alignment horizontal="center"/>
    </xf>
    <xf numFmtId="0" fontId="0" fillId="6" borderId="27" xfId="0" applyFill="1" applyBorder="1" applyAlignment="1">
      <alignment horizontal="center"/>
    </xf>
    <xf numFmtId="0" fontId="0" fillId="6" borderId="25" xfId="0" applyFill="1" applyBorder="1" applyAlignment="1">
      <alignment horizontal="center"/>
    </xf>
    <xf numFmtId="0" fontId="0" fillId="6" borderId="28" xfId="0" applyFill="1" applyBorder="1" applyAlignment="1">
      <alignment horizontal="center"/>
    </xf>
    <xf numFmtId="0" fontId="0" fillId="6" borderId="26" xfId="0" applyFill="1" applyBorder="1" applyAlignment="1">
      <alignment horizontal="center"/>
    </xf>
    <xf numFmtId="0" fontId="3" fillId="0" borderId="25" xfId="0" applyFont="1" applyBorder="1" applyAlignment="1">
      <alignment horizontal="center"/>
    </xf>
    <xf numFmtId="0" fontId="3" fillId="0" borderId="28" xfId="0" applyFont="1" applyBorder="1" applyAlignment="1">
      <alignment horizontal="center"/>
    </xf>
    <xf numFmtId="0" fontId="3" fillId="0" borderId="26" xfId="0" applyFont="1" applyBorder="1" applyAlignment="1">
      <alignment horizontal="center"/>
    </xf>
    <xf numFmtId="0" fontId="0" fillId="6" borderId="1" xfId="0" applyFill="1" applyBorder="1" applyAlignment="1">
      <alignment horizontal="center"/>
    </xf>
    <xf numFmtId="0" fontId="3" fillId="0" borderId="21" xfId="0" applyFont="1" applyBorder="1" applyAlignment="1">
      <alignment horizontal="center"/>
    </xf>
    <xf numFmtId="0" fontId="3" fillId="8" borderId="25" xfId="0" applyFont="1" applyFill="1" applyBorder="1" applyAlignment="1">
      <alignment horizontal="center"/>
    </xf>
    <xf numFmtId="0" fontId="3" fillId="8" borderId="26" xfId="0" applyFont="1" applyFill="1" applyBorder="1" applyAlignment="1">
      <alignment horizontal="center"/>
    </xf>
    <xf numFmtId="176" fontId="0" fillId="0" borderId="1" xfId="0" applyNumberFormat="1" applyBorder="1"/>
    <xf numFmtId="44" fontId="0" fillId="0" borderId="0" xfId="0" applyNumberFormat="1"/>
  </cellXfs>
  <cellStyles count="5">
    <cellStyle name="Millares" xfId="4" builtinId="3"/>
    <cellStyle name="Moneda" xfId="1" builtinId="4"/>
    <cellStyle name="Moneda [0]" xfId="2" builtinId="7"/>
    <cellStyle name="Normal" xfId="0" builtinId="0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1"/>
          <c:order val="0"/>
          <c:tx>
            <c:strRef>
              <c:f>gráficas!$A$2</c:f>
              <c:strCache>
                <c:ptCount val="1"/>
                <c:pt idx="0">
                  <c:v>Ingresos sin DO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gráficas!$B$1:$F$1</c:f>
              <c:numCache>
                <c:formatCode>General</c:formatCode>
                <c:ptCount val="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</c:numCache>
            </c:numRef>
          </c:cat>
          <c:val>
            <c:numRef>
              <c:f>gráficas!$B$2:$F$2</c:f>
              <c:numCache>
                <c:formatCode>_-"$"\ * #,##0_-;\-"$"\ * #,##0_-;_-"$"\ * "-"??_-;_-@_-</c:formatCode>
                <c:ptCount val="5"/>
                <c:pt idx="0">
                  <c:v>25.214986403999998</c:v>
                </c:pt>
                <c:pt idx="1">
                  <c:v>27.232185316320002</c:v>
                </c:pt>
                <c:pt idx="2">
                  <c:v>29.410760141625584</c:v>
                </c:pt>
                <c:pt idx="3">
                  <c:v>31.763620952955648</c:v>
                </c:pt>
                <c:pt idx="4">
                  <c:v>34.304710629192101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7D7-475A-BB8A-D9223985F020}"/>
            </c:ext>
          </c:extLst>
        </c:ser>
        <c:ser>
          <c:idx val="2"/>
          <c:order val="1"/>
          <c:tx>
            <c:strRef>
              <c:f>gráficas!$A$3</c:f>
              <c:strCache>
                <c:ptCount val="1"/>
                <c:pt idx="0">
                  <c:v>Ingresos con DO</c:v>
                </c:pt>
              </c:strCache>
            </c:strRef>
          </c:tx>
          <c:spPr>
            <a:solidFill>
              <a:schemeClr val="accent6"/>
            </a:solidFill>
            <a:ln>
              <a:solidFill>
                <a:schemeClr val="accent6">
                  <a:lumMod val="75000"/>
                </a:schemeClr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gráficas!$B$1:$F$1</c:f>
              <c:numCache>
                <c:formatCode>General</c:formatCode>
                <c:ptCount val="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</c:numCache>
            </c:numRef>
          </c:cat>
          <c:val>
            <c:numRef>
              <c:f>gráficas!$B$3:$F$3</c:f>
              <c:numCache>
                <c:formatCode>_-* #,##0_-;\-* #,##0_-;_-* "-"??_-;_-@_-</c:formatCode>
                <c:ptCount val="5"/>
                <c:pt idx="0">
                  <c:v>63.859422210879998</c:v>
                </c:pt>
                <c:pt idx="1">
                  <c:v>67.594859027750402</c:v>
                </c:pt>
                <c:pt idx="2">
                  <c:v>71.628238541970418</c:v>
                </c:pt>
                <c:pt idx="3">
                  <c:v>75.983351556928042</c:v>
                </c:pt>
                <c:pt idx="4">
                  <c:v>80.685889909662293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7D7-475A-BB8A-D9223985F0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767738015"/>
        <c:axId val="761138671"/>
      </c:barChart>
      <c:catAx>
        <c:axId val="767738015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Años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61138671"/>
        <c:crosses val="autoZero"/>
        <c:auto val="1"/>
        <c:lblAlgn val="ctr"/>
        <c:lblOffset val="100"/>
        <c:noMultiLvlLbl val="0"/>
      </c:catAx>
      <c:valAx>
        <c:axId val="76113867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Ingresos en Millones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6773801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gráficas!$A$48</c:f>
              <c:strCache>
                <c:ptCount val="1"/>
                <c:pt idx="0">
                  <c:v>Ingresos Actual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val>
            <c:numRef>
              <c:f>gráficas!$B$48:$G$48</c:f>
              <c:numCache>
                <c:formatCode>_-"$"\ * #,##0.0_-;\-"$"\ * #,##0.0_-;_-"$"\ * "-"??_-;_-@_-</c:formatCode>
                <c:ptCount val="6"/>
                <c:pt idx="0" formatCode="_(&quot;$&quot;* #,##0.00_);_(&quot;$&quot;* \(#,##0.00\);_(&quot;$&quot;* &quot;-&quot;??_);_(@_)">
                  <c:v>-70.608123700000007</c:v>
                </c:pt>
                <c:pt idx="1">
                  <c:v>27.014570114999994</c:v>
                </c:pt>
                <c:pt idx="2">
                  <c:v>29.279685724199997</c:v>
                </c:pt>
                <c:pt idx="3">
                  <c:v>31.731208082135989</c:v>
                </c:pt>
                <c:pt idx="4">
                  <c:v>34.384309603706882</c:v>
                </c:pt>
                <c:pt idx="5">
                  <c:v>37.25538949075343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4CC-4000-960E-36006811A6A7}"/>
            </c:ext>
          </c:extLst>
        </c:ser>
        <c:ser>
          <c:idx val="2"/>
          <c:order val="1"/>
          <c:tx>
            <c:strRef>
              <c:f>gráficas!$A$49</c:f>
              <c:strCache>
                <c:ptCount val="1"/>
                <c:pt idx="0">
                  <c:v>Ingresos DO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gráficas!$B$49:$G$49</c:f>
              <c:numCache>
                <c:formatCode>_-"$"\ * #,##0.0_-;\-"$"\ * #,##0.0_-;_-"$"\ * "-"??_-;_-@_-</c:formatCode>
                <c:ptCount val="6"/>
                <c:pt idx="0" formatCode="_(&quot;$&quot;* #,##0.00_);_(&quot;$&quot;* \(#,##0.00\);_(&quot;$&quot;* &quot;-&quot;??_);_(@_)">
                  <c:v>-115.60812370000001</c:v>
                </c:pt>
                <c:pt idx="1">
                  <c:v>83.817522482799987</c:v>
                </c:pt>
                <c:pt idx="2">
                  <c:v>86.881292606940008</c:v>
                </c:pt>
                <c:pt idx="3">
                  <c:v>90.075856357286995</c:v>
                </c:pt>
                <c:pt idx="4">
                  <c:v>93.405961824751344</c:v>
                </c:pt>
                <c:pt idx="5">
                  <c:v>96.876451177556916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4CC-4000-960E-36006811A6A7}"/>
            </c:ext>
          </c:extLst>
        </c:ser>
        <c:ser>
          <c:idx val="3"/>
          <c:order val="2"/>
          <c:tx>
            <c:strRef>
              <c:f>gráficas!$A$50</c:f>
              <c:strCache>
                <c:ptCount val="1"/>
                <c:pt idx="0">
                  <c:v>Precio 1</c:v>
                </c:pt>
              </c:strCache>
            </c:strRef>
          </c:tx>
          <c:spPr>
            <a:ln w="28575" cap="rnd">
              <a:solidFill>
                <a:schemeClr val="accent6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60000"/>
                  <a:lumOff val="40000"/>
                </a:schemeClr>
              </a:solidFill>
              <a:ln w="9525">
                <a:solidFill>
                  <a:schemeClr val="accent6">
                    <a:lumMod val="60000"/>
                    <a:lumOff val="40000"/>
                  </a:schemeClr>
                </a:solidFill>
              </a:ln>
              <a:effectLst/>
            </c:spPr>
          </c:marker>
          <c:val>
            <c:numRef>
              <c:f>gráficas!$B$50:$G$50</c:f>
              <c:numCache>
                <c:formatCode>_-"$"\ * #,##0.0_-;\-"$"\ * #,##0.0_-;_-"$"\ * "-"??_-;_-@_-</c:formatCode>
                <c:ptCount val="6"/>
                <c:pt idx="0" formatCode="0.00">
                  <c:v>-91.608123700000007</c:v>
                </c:pt>
                <c:pt idx="1">
                  <c:v>70.42582221088</c:v>
                </c:pt>
                <c:pt idx="2">
                  <c:v>74.686571027750404</c:v>
                </c:pt>
                <c:pt idx="3">
                  <c:v>79.287287501970425</c:v>
                </c:pt>
                <c:pt idx="4">
                  <c:v>84.255124433728056</c:v>
                </c:pt>
                <c:pt idx="5">
                  <c:v>89.619404616606303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4CC-4000-960E-36006811A6A7}"/>
            </c:ext>
          </c:extLst>
        </c:ser>
        <c:ser>
          <c:idx val="4"/>
          <c:order val="3"/>
          <c:tx>
            <c:strRef>
              <c:f>gráficas!$A$51</c:f>
              <c:strCache>
                <c:ptCount val="1"/>
                <c:pt idx="0">
                  <c:v>Precio 2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gráficas!$B$51:$G$51</c:f>
              <c:numCache>
                <c:formatCode>_("$"* #,##0.00_);_("$"* \(#,##0.00\);_("$"* "-"??_);_(@_)</c:formatCode>
                <c:ptCount val="6"/>
                <c:pt idx="0" formatCode="0.00">
                  <c:v>-91.608123700000007</c:v>
                </c:pt>
                <c:pt idx="1">
                  <c:v>94.617822210879993</c:v>
                </c:pt>
                <c:pt idx="2">
                  <c:v>100.8139310277504</c:v>
                </c:pt>
                <c:pt idx="3">
                  <c:v>107.50483630197043</c:v>
                </c:pt>
                <c:pt idx="4">
                  <c:v>114.73007713772806</c:v>
                </c:pt>
                <c:pt idx="5">
                  <c:v>122.53235353692631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34CC-4000-960E-36006811A6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91896272"/>
        <c:axId val="1786968256"/>
      </c:lineChart>
      <c:catAx>
        <c:axId val="14918962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Año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786968256"/>
        <c:crosses val="autoZero"/>
        <c:auto val="1"/>
        <c:lblAlgn val="ctr"/>
        <c:lblOffset val="100"/>
        <c:noMultiLvlLbl val="0"/>
      </c:catAx>
      <c:valAx>
        <c:axId val="17869682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Ingresos en millones de pesos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_(&quot;$&quot;* #,##0.00_);_(&quot;$&quot;* \(#,##0.0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91896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Tasa Interna de Retorno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'Flujo de caja Escenario 3'!$D$45</c:f>
              <c:strCache>
                <c:ptCount val="1"/>
                <c:pt idx="0">
                  <c:v>TIR</c:v>
                </c:pt>
              </c:strCache>
            </c:strRef>
          </c:tx>
          <c:spPr>
            <a:ln w="28575" cap="rnd">
              <a:solidFill>
                <a:schemeClr val="bg2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2">
                  <a:lumMod val="50000"/>
                </a:schemeClr>
              </a:solidFill>
              <a:ln w="9525">
                <a:solidFill>
                  <a:schemeClr val="bg2">
                    <a:lumMod val="50000"/>
                  </a:schemeClr>
                </a:solidFill>
              </a:ln>
              <a:effectLst/>
            </c:spPr>
          </c:marker>
          <c:cat>
            <c:strRef>
              <c:f>'Flujo de caja Escenario 3'!$E$44:$G$44</c:f>
              <c:strCache>
                <c:ptCount val="3"/>
                <c:pt idx="0">
                  <c:v>Escenario 1</c:v>
                </c:pt>
                <c:pt idx="1">
                  <c:v>Escenario 2</c:v>
                </c:pt>
                <c:pt idx="2">
                  <c:v>Escenario 3</c:v>
                </c:pt>
              </c:strCache>
            </c:strRef>
          </c:cat>
          <c:val>
            <c:numRef>
              <c:f>'Flujo de caja Escenario 3'!$E$45:$G$45</c:f>
              <c:numCache>
                <c:formatCode>0%</c:formatCode>
                <c:ptCount val="3"/>
                <c:pt idx="0">
                  <c:v>0.87837300023385456</c:v>
                </c:pt>
                <c:pt idx="1">
                  <c:v>0.72395214271857311</c:v>
                </c:pt>
                <c:pt idx="2">
                  <c:v>0.29845544953348324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6F9-46D9-A303-815C8890D4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33161648"/>
        <c:axId val="1273085904"/>
      </c:lineChart>
      <c:catAx>
        <c:axId val="1233161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273085904"/>
        <c:crosses val="autoZero"/>
        <c:auto val="1"/>
        <c:lblAlgn val="ctr"/>
        <c:lblOffset val="100"/>
        <c:noMultiLvlLbl val="0"/>
      </c:catAx>
      <c:valAx>
        <c:axId val="12730859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2331616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457200</xdr:colOff>
      <xdr:row>4</xdr:row>
      <xdr:rowOff>185736</xdr:rowOff>
    </xdr:from>
    <xdr:to>
      <xdr:col>5</xdr:col>
      <xdr:colOff>161925</xdr:colOff>
      <xdr:row>22</xdr:row>
      <xdr:rowOff>180975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364AEB5-8ED2-6735-DC34-DBBD1C39B89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352424</xdr:colOff>
      <xdr:row>31</xdr:row>
      <xdr:rowOff>119062</xdr:rowOff>
    </xdr:from>
    <xdr:to>
      <xdr:col>10</xdr:col>
      <xdr:colOff>457199</xdr:colOff>
      <xdr:row>46</xdr:row>
      <xdr:rowOff>38100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FBA489FA-43FF-86BC-A864-4E214CD6102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533400</xdr:colOff>
      <xdr:row>47</xdr:row>
      <xdr:rowOff>90487</xdr:rowOff>
    </xdr:from>
    <xdr:to>
      <xdr:col>6</xdr:col>
      <xdr:colOff>171450</xdr:colOff>
      <xdr:row>61</xdr:row>
      <xdr:rowOff>166687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28804107-73FF-9B6E-419E-7669C73BAA7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2B8286-6D69-492E-9E4C-A55DD4CC8FBE}">
  <dimension ref="B1:J95"/>
  <sheetViews>
    <sheetView workbookViewId="0">
      <selection activeCell="D1" sqref="D1:D2"/>
    </sheetView>
  </sheetViews>
  <sheetFormatPr baseColWidth="10" defaultColWidth="11.42578125" defaultRowHeight="15" x14ac:dyDescent="0.25"/>
  <cols>
    <col min="2" max="2" width="38" customWidth="1"/>
    <col min="3" max="3" width="11.140625" customWidth="1"/>
    <col min="4" max="4" width="18.5703125" customWidth="1"/>
    <col min="5" max="5" width="16.5703125" customWidth="1"/>
    <col min="6" max="6" width="16.85546875" customWidth="1"/>
    <col min="7" max="7" width="18.140625" customWidth="1"/>
    <col min="9" max="9" width="13.7109375" customWidth="1"/>
    <col min="10" max="10" width="18.28515625" customWidth="1"/>
    <col min="11" max="11" width="17.28515625" customWidth="1"/>
  </cols>
  <sheetData>
    <row r="1" spans="2:10" x14ac:dyDescent="0.25">
      <c r="D1" s="2" t="s">
        <v>158</v>
      </c>
    </row>
    <row r="2" spans="2:10" x14ac:dyDescent="0.25">
      <c r="D2" s="2" t="s">
        <v>116</v>
      </c>
    </row>
    <row r="4" spans="2:10" x14ac:dyDescent="0.25">
      <c r="B4" s="124" t="s">
        <v>0</v>
      </c>
      <c r="C4" s="124"/>
      <c r="D4" s="15" t="s">
        <v>1</v>
      </c>
      <c r="E4" s="16">
        <f>SUM(E6:E23)</f>
        <v>31410000</v>
      </c>
      <c r="G4" s="125" t="s">
        <v>2</v>
      </c>
      <c r="H4" s="125"/>
      <c r="I4" s="125"/>
      <c r="J4" s="125"/>
    </row>
    <row r="5" spans="2:10" x14ac:dyDescent="0.25">
      <c r="B5" s="17" t="s">
        <v>3</v>
      </c>
      <c r="C5" s="17" t="s">
        <v>4</v>
      </c>
      <c r="D5" s="17" t="s">
        <v>5</v>
      </c>
      <c r="E5" s="17" t="s">
        <v>6</v>
      </c>
      <c r="G5" s="1" t="s">
        <v>7</v>
      </c>
      <c r="H5" s="1" t="s">
        <v>8</v>
      </c>
      <c r="I5" s="1" t="s">
        <v>9</v>
      </c>
      <c r="J5" s="1" t="s">
        <v>8</v>
      </c>
    </row>
    <row r="6" spans="2:10" x14ac:dyDescent="0.25">
      <c r="B6" s="18" t="s">
        <v>10</v>
      </c>
      <c r="C6" s="18">
        <v>15</v>
      </c>
      <c r="D6" s="19">
        <v>60000</v>
      </c>
      <c r="E6" s="20">
        <f>D6*C6</f>
        <v>900000</v>
      </c>
      <c r="G6" s="1" t="s">
        <v>11</v>
      </c>
      <c r="H6" s="2"/>
      <c r="I6" s="2"/>
      <c r="J6" s="3">
        <f>SUM(J7:J13)</f>
        <v>10102144</v>
      </c>
    </row>
    <row r="7" spans="2:10" x14ac:dyDescent="0.25">
      <c r="B7" s="18" t="s">
        <v>12</v>
      </c>
      <c r="C7" s="18">
        <v>40</v>
      </c>
      <c r="D7" s="19">
        <v>60000</v>
      </c>
      <c r="E7" s="20">
        <f t="shared" ref="E7:E23" si="0">D7*C7</f>
        <v>2400000</v>
      </c>
      <c r="G7" s="2" t="s">
        <v>13</v>
      </c>
      <c r="H7" s="2">
        <v>416</v>
      </c>
      <c r="I7" s="4">
        <v>2400</v>
      </c>
      <c r="J7" s="5">
        <f>I7*H7</f>
        <v>998400</v>
      </c>
    </row>
    <row r="8" spans="2:10" x14ac:dyDescent="0.25">
      <c r="B8" s="18" t="s">
        <v>14</v>
      </c>
      <c r="C8" s="18">
        <v>25</v>
      </c>
      <c r="D8" s="19">
        <v>60000</v>
      </c>
      <c r="E8" s="20">
        <f t="shared" si="0"/>
        <v>1500000</v>
      </c>
      <c r="G8" s="2" t="s">
        <v>15</v>
      </c>
      <c r="H8" s="2">
        <v>416</v>
      </c>
      <c r="I8" s="4">
        <v>2786</v>
      </c>
      <c r="J8" s="5">
        <f t="shared" ref="J8:J28" si="1">I8*H8</f>
        <v>1158976</v>
      </c>
    </row>
    <row r="9" spans="2:10" x14ac:dyDescent="0.25">
      <c r="B9" s="18" t="s">
        <v>16</v>
      </c>
      <c r="C9" s="18">
        <v>7</v>
      </c>
      <c r="D9" s="19">
        <v>60000</v>
      </c>
      <c r="E9" s="20">
        <f t="shared" si="0"/>
        <v>420000</v>
      </c>
      <c r="G9" s="2" t="s">
        <v>17</v>
      </c>
      <c r="H9" s="2">
        <v>416</v>
      </c>
      <c r="I9" s="4">
        <v>2730</v>
      </c>
      <c r="J9" s="5">
        <f t="shared" si="1"/>
        <v>1135680</v>
      </c>
    </row>
    <row r="10" spans="2:10" x14ac:dyDescent="0.25">
      <c r="B10" s="18" t="s">
        <v>18</v>
      </c>
      <c r="C10" s="18">
        <v>1</v>
      </c>
      <c r="D10" s="19">
        <v>60000</v>
      </c>
      <c r="E10" s="20">
        <f t="shared" si="0"/>
        <v>60000</v>
      </c>
      <c r="G10" s="2" t="s">
        <v>19</v>
      </c>
      <c r="H10" s="2">
        <v>416</v>
      </c>
      <c r="I10" s="4">
        <v>5028</v>
      </c>
      <c r="J10" s="5">
        <f t="shared" si="1"/>
        <v>2091648</v>
      </c>
    </row>
    <row r="11" spans="2:10" x14ac:dyDescent="0.25">
      <c r="B11" s="18" t="s">
        <v>20</v>
      </c>
      <c r="C11" s="18">
        <v>3</v>
      </c>
      <c r="D11" s="19">
        <v>60000</v>
      </c>
      <c r="E11" s="20">
        <f t="shared" si="0"/>
        <v>180000</v>
      </c>
      <c r="G11" s="2" t="s">
        <v>21</v>
      </c>
      <c r="H11" s="2">
        <v>416</v>
      </c>
      <c r="I11" s="4">
        <v>3900</v>
      </c>
      <c r="J11" s="5">
        <f t="shared" si="1"/>
        <v>1622400</v>
      </c>
    </row>
    <row r="12" spans="2:10" x14ac:dyDescent="0.25">
      <c r="B12" s="18" t="s">
        <v>22</v>
      </c>
      <c r="C12" s="18">
        <v>1</v>
      </c>
      <c r="D12" s="19">
        <v>60000</v>
      </c>
      <c r="E12" s="20">
        <f t="shared" si="0"/>
        <v>60000</v>
      </c>
      <c r="G12" s="2" t="s">
        <v>23</v>
      </c>
      <c r="H12" s="2">
        <v>416</v>
      </c>
      <c r="I12" s="4">
        <v>5010</v>
      </c>
      <c r="J12" s="5">
        <f t="shared" si="1"/>
        <v>2084160</v>
      </c>
    </row>
    <row r="13" spans="2:10" x14ac:dyDescent="0.25">
      <c r="B13" s="18" t="s">
        <v>24</v>
      </c>
      <c r="C13" s="18">
        <v>5</v>
      </c>
      <c r="D13" s="19">
        <v>60000</v>
      </c>
      <c r="E13" s="20">
        <f t="shared" si="0"/>
        <v>300000</v>
      </c>
      <c r="G13" s="2" t="s">
        <v>25</v>
      </c>
      <c r="H13" s="2">
        <v>416</v>
      </c>
      <c r="I13" s="4">
        <v>2430</v>
      </c>
      <c r="J13" s="5">
        <f t="shared" si="1"/>
        <v>1010880</v>
      </c>
    </row>
    <row r="14" spans="2:10" x14ac:dyDescent="0.25">
      <c r="B14" s="18" t="s">
        <v>26</v>
      </c>
      <c r="C14" s="18">
        <v>10</v>
      </c>
      <c r="D14" s="19">
        <v>60000</v>
      </c>
      <c r="E14" s="20">
        <f t="shared" si="0"/>
        <v>600000</v>
      </c>
      <c r="G14" s="1" t="s">
        <v>27</v>
      </c>
      <c r="H14" s="2"/>
      <c r="I14" s="4"/>
      <c r="J14" s="3">
        <f>SUM(J15:J16)</f>
        <v>10933125</v>
      </c>
    </row>
    <row r="15" spans="2:10" x14ac:dyDescent="0.25">
      <c r="B15" s="18" t="s">
        <v>28</v>
      </c>
      <c r="C15" s="18">
        <v>0.5</v>
      </c>
      <c r="D15" s="19">
        <v>60000</v>
      </c>
      <c r="E15" s="20">
        <f t="shared" si="0"/>
        <v>30000</v>
      </c>
      <c r="G15" s="2" t="s">
        <v>29</v>
      </c>
      <c r="H15" s="2">
        <v>4165</v>
      </c>
      <c r="I15" s="4">
        <v>1625</v>
      </c>
      <c r="J15" s="5">
        <f t="shared" si="1"/>
        <v>6768125</v>
      </c>
    </row>
    <row r="16" spans="2:10" x14ac:dyDescent="0.25">
      <c r="B16" s="18" t="s">
        <v>30</v>
      </c>
      <c r="C16" s="18">
        <f>20*4</f>
        <v>80</v>
      </c>
      <c r="D16" s="19">
        <v>60000</v>
      </c>
      <c r="E16" s="20">
        <f t="shared" si="0"/>
        <v>4800000</v>
      </c>
      <c r="G16" s="2" t="s">
        <v>31</v>
      </c>
      <c r="H16" s="2">
        <v>4165</v>
      </c>
      <c r="I16" s="4">
        <v>1000</v>
      </c>
      <c r="J16" s="5">
        <f t="shared" si="1"/>
        <v>4165000</v>
      </c>
    </row>
    <row r="17" spans="2:10" x14ac:dyDescent="0.25">
      <c r="B17" s="18" t="s">
        <v>32</v>
      </c>
      <c r="C17" s="18">
        <f>32*4</f>
        <v>128</v>
      </c>
      <c r="D17" s="19">
        <v>60000</v>
      </c>
      <c r="E17" s="20">
        <f t="shared" si="0"/>
        <v>7680000</v>
      </c>
      <c r="G17" s="2" t="s">
        <v>33</v>
      </c>
      <c r="H17" s="2"/>
      <c r="I17" s="4"/>
      <c r="J17" s="3">
        <f>J18</f>
        <v>172200</v>
      </c>
    </row>
    <row r="18" spans="2:10" x14ac:dyDescent="0.25">
      <c r="B18" s="18" t="s">
        <v>34</v>
      </c>
      <c r="C18" s="18">
        <f>12</f>
        <v>12</v>
      </c>
      <c r="D18" s="19">
        <v>60000</v>
      </c>
      <c r="E18" s="20">
        <f t="shared" si="0"/>
        <v>720000</v>
      </c>
      <c r="G18" s="2" t="s">
        <v>35</v>
      </c>
      <c r="H18" s="2">
        <v>287</v>
      </c>
      <c r="I18" s="4">
        <v>600</v>
      </c>
      <c r="J18" s="5">
        <f t="shared" si="1"/>
        <v>172200</v>
      </c>
    </row>
    <row r="19" spans="2:10" x14ac:dyDescent="0.25">
      <c r="B19" s="18" t="s">
        <v>36</v>
      </c>
      <c r="C19" s="18">
        <f>12</f>
        <v>12</v>
      </c>
      <c r="D19" s="19">
        <v>60000</v>
      </c>
      <c r="E19" s="20">
        <f t="shared" si="0"/>
        <v>720000</v>
      </c>
      <c r="G19" s="1" t="s">
        <v>37</v>
      </c>
      <c r="H19" s="2"/>
      <c r="I19" s="4"/>
      <c r="J19" s="3">
        <f>SUM(J20:J23)</f>
        <v>841792.7</v>
      </c>
    </row>
    <row r="20" spans="2:10" x14ac:dyDescent="0.25">
      <c r="B20" s="18" t="s">
        <v>38</v>
      </c>
      <c r="C20" s="18">
        <f>2*4</f>
        <v>8</v>
      </c>
      <c r="D20" s="19">
        <v>60000</v>
      </c>
      <c r="E20" s="20">
        <f t="shared" si="0"/>
        <v>480000</v>
      </c>
      <c r="G20" s="2" t="s">
        <v>39</v>
      </c>
      <c r="H20" s="2">
        <v>0.437</v>
      </c>
      <c r="I20" s="4">
        <v>273100</v>
      </c>
      <c r="J20" s="5">
        <f t="shared" si="1"/>
        <v>119344.7</v>
      </c>
    </row>
    <row r="21" spans="2:10" x14ac:dyDescent="0.25">
      <c r="B21" s="18" t="s">
        <v>40</v>
      </c>
      <c r="C21" s="18">
        <v>8</v>
      </c>
      <c r="D21" s="19">
        <v>60000</v>
      </c>
      <c r="E21" s="20">
        <f t="shared" si="0"/>
        <v>480000</v>
      </c>
      <c r="G21" s="2" t="s">
        <v>41</v>
      </c>
      <c r="H21" s="2">
        <v>1.44</v>
      </c>
      <c r="I21" s="4">
        <v>373200</v>
      </c>
      <c r="J21" s="5">
        <f t="shared" si="1"/>
        <v>537408</v>
      </c>
    </row>
    <row r="22" spans="2:10" x14ac:dyDescent="0.25">
      <c r="B22" s="18" t="s">
        <v>42</v>
      </c>
      <c r="C22" s="18">
        <v>8</v>
      </c>
      <c r="D22" s="19">
        <v>60000</v>
      </c>
      <c r="E22" s="20">
        <f t="shared" si="0"/>
        <v>480000</v>
      </c>
      <c r="G22" s="2" t="s">
        <v>43</v>
      </c>
      <c r="H22" s="2">
        <v>2.4</v>
      </c>
      <c r="I22" s="4">
        <v>39100</v>
      </c>
      <c r="J22" s="5">
        <f t="shared" si="1"/>
        <v>93840</v>
      </c>
    </row>
    <row r="23" spans="2:10" x14ac:dyDescent="0.25">
      <c r="B23" s="18" t="s">
        <v>44</v>
      </c>
      <c r="C23" s="18">
        <f>40*4</f>
        <v>160</v>
      </c>
      <c r="D23" s="19">
        <v>60000</v>
      </c>
      <c r="E23" s="20">
        <f t="shared" si="0"/>
        <v>9600000</v>
      </c>
      <c r="G23" s="2" t="s">
        <v>45</v>
      </c>
      <c r="H23" s="2">
        <v>2.4</v>
      </c>
      <c r="I23" s="4">
        <v>38000</v>
      </c>
      <c r="J23" s="5">
        <f t="shared" si="1"/>
        <v>91200</v>
      </c>
    </row>
    <row r="24" spans="2:10" x14ac:dyDescent="0.25">
      <c r="B24" s="124" t="s">
        <v>46</v>
      </c>
      <c r="C24" s="124"/>
      <c r="D24" s="15" t="s">
        <v>1</v>
      </c>
      <c r="E24" s="16">
        <f>SUM(E26:E31)</f>
        <v>25276123.699999999</v>
      </c>
      <c r="G24" s="1" t="s">
        <v>47</v>
      </c>
      <c r="H24" s="2"/>
      <c r="I24" s="4"/>
      <c r="J24" s="3">
        <f>SUM(J25:J28)</f>
        <v>226862</v>
      </c>
    </row>
    <row r="25" spans="2:10" x14ac:dyDescent="0.25">
      <c r="B25" s="17" t="s">
        <v>48</v>
      </c>
      <c r="C25" s="17" t="s">
        <v>8</v>
      </c>
      <c r="D25" s="17" t="s">
        <v>5</v>
      </c>
      <c r="E25" s="25" t="s">
        <v>6</v>
      </c>
      <c r="G25" s="2" t="s">
        <v>49</v>
      </c>
      <c r="H25" s="2">
        <v>1.44</v>
      </c>
      <c r="I25" s="4">
        <v>55350</v>
      </c>
      <c r="J25" s="5">
        <f t="shared" si="1"/>
        <v>79704</v>
      </c>
    </row>
    <row r="26" spans="2:10" x14ac:dyDescent="0.25">
      <c r="B26" s="18" t="s">
        <v>50</v>
      </c>
      <c r="C26" s="18">
        <v>1000</v>
      </c>
      <c r="D26" s="19">
        <v>3000</v>
      </c>
      <c r="E26" s="20">
        <f>C26*D26</f>
        <v>3000000</v>
      </c>
      <c r="G26" s="2" t="s">
        <v>51</v>
      </c>
      <c r="H26" s="2">
        <v>1.44</v>
      </c>
      <c r="I26" s="4">
        <v>30300</v>
      </c>
      <c r="J26" s="5">
        <f t="shared" si="1"/>
        <v>43632</v>
      </c>
    </row>
    <row r="27" spans="2:10" x14ac:dyDescent="0.25">
      <c r="B27" s="18" t="s">
        <v>52</v>
      </c>
      <c r="C27" s="18" t="s">
        <v>53</v>
      </c>
      <c r="D27" s="18"/>
      <c r="E27" s="20">
        <f>J6</f>
        <v>10102144</v>
      </c>
      <c r="G27" s="2" t="s">
        <v>54</v>
      </c>
      <c r="H27" s="2">
        <v>1.44</v>
      </c>
      <c r="I27" s="6">
        <v>50000</v>
      </c>
      <c r="J27" s="5">
        <f t="shared" si="1"/>
        <v>72000</v>
      </c>
    </row>
    <row r="28" spans="2:10" x14ac:dyDescent="0.25">
      <c r="B28" s="18" t="s">
        <v>55</v>
      </c>
      <c r="C28" s="18" t="s">
        <v>53</v>
      </c>
      <c r="D28" s="18"/>
      <c r="E28" s="20">
        <f>J14</f>
        <v>10933125</v>
      </c>
      <c r="G28" s="2" t="s">
        <v>56</v>
      </c>
      <c r="H28" s="2">
        <v>0.22</v>
      </c>
      <c r="I28" s="4">
        <v>143300</v>
      </c>
      <c r="J28" s="5">
        <f t="shared" si="1"/>
        <v>31526</v>
      </c>
    </row>
    <row r="29" spans="2:10" x14ac:dyDescent="0.25">
      <c r="B29" s="18" t="s">
        <v>57</v>
      </c>
      <c r="C29" s="18" t="s">
        <v>53</v>
      </c>
      <c r="D29" s="18"/>
      <c r="E29" s="20">
        <f>J17</f>
        <v>172200</v>
      </c>
    </row>
    <row r="30" spans="2:10" x14ac:dyDescent="0.25">
      <c r="B30" s="18" t="s">
        <v>37</v>
      </c>
      <c r="C30" s="18" t="s">
        <v>53</v>
      </c>
      <c r="D30" s="18"/>
      <c r="E30" s="20">
        <f>J19</f>
        <v>841792.7</v>
      </c>
    </row>
    <row r="31" spans="2:10" x14ac:dyDescent="0.25">
      <c r="B31" s="18" t="s">
        <v>47</v>
      </c>
      <c r="C31" s="18" t="s">
        <v>53</v>
      </c>
      <c r="D31" s="18"/>
      <c r="E31" s="20">
        <f>J24</f>
        <v>226862</v>
      </c>
    </row>
    <row r="32" spans="2:10" x14ac:dyDescent="0.25">
      <c r="B32" s="124" t="s">
        <v>58</v>
      </c>
      <c r="C32" s="124"/>
      <c r="D32" s="15" t="s">
        <v>1</v>
      </c>
      <c r="E32" s="16">
        <f>SUM(E34:E44)</f>
        <v>2124400</v>
      </c>
    </row>
    <row r="33" spans="2:5" x14ac:dyDescent="0.25">
      <c r="B33" s="17" t="s">
        <v>7</v>
      </c>
      <c r="C33" s="17"/>
      <c r="D33" s="17"/>
      <c r="E33" s="25" t="s">
        <v>6</v>
      </c>
    </row>
    <row r="34" spans="2:5" x14ac:dyDescent="0.25">
      <c r="B34" s="18" t="s">
        <v>59</v>
      </c>
      <c r="C34" s="18"/>
      <c r="D34" s="18"/>
      <c r="E34" s="19">
        <f>F79/5</f>
        <v>180000</v>
      </c>
    </row>
    <row r="35" spans="2:5" x14ac:dyDescent="0.25">
      <c r="B35" s="18" t="s">
        <v>60</v>
      </c>
      <c r="C35" s="18"/>
      <c r="D35" s="18"/>
      <c r="E35" s="19">
        <f t="shared" ref="E35:E44" si="2">F80/5</f>
        <v>90000</v>
      </c>
    </row>
    <row r="36" spans="2:5" x14ac:dyDescent="0.25">
      <c r="B36" s="21" t="s">
        <v>61</v>
      </c>
      <c r="C36" s="21"/>
      <c r="D36" s="21"/>
      <c r="E36" s="19">
        <f t="shared" si="2"/>
        <v>24000</v>
      </c>
    </row>
    <row r="37" spans="2:5" x14ac:dyDescent="0.25">
      <c r="B37" s="21" t="s">
        <v>62</v>
      </c>
      <c r="C37" s="21"/>
      <c r="D37" s="21"/>
      <c r="E37" s="19">
        <f t="shared" si="2"/>
        <v>14400</v>
      </c>
    </row>
    <row r="38" spans="2:5" x14ac:dyDescent="0.25">
      <c r="B38" s="21" t="s">
        <v>63</v>
      </c>
      <c r="C38" s="21"/>
      <c r="D38" s="21"/>
      <c r="E38" s="19">
        <f t="shared" si="2"/>
        <v>6000</v>
      </c>
    </row>
    <row r="39" spans="2:5" x14ac:dyDescent="0.25">
      <c r="B39" s="21" t="s">
        <v>64</v>
      </c>
      <c r="C39" s="21"/>
      <c r="D39" s="21"/>
      <c r="E39" s="19">
        <f t="shared" si="2"/>
        <v>10000</v>
      </c>
    </row>
    <row r="40" spans="2:5" x14ac:dyDescent="0.25">
      <c r="B40" s="21" t="s">
        <v>65</v>
      </c>
      <c r="C40" s="21"/>
      <c r="D40" s="21"/>
      <c r="E40" s="19">
        <f t="shared" si="2"/>
        <v>14000</v>
      </c>
    </row>
    <row r="41" spans="2:5" x14ac:dyDescent="0.25">
      <c r="B41" s="21" t="s">
        <v>66</v>
      </c>
      <c r="C41" s="21"/>
      <c r="D41" s="21"/>
      <c r="E41" s="19">
        <f>F86/5</f>
        <v>1600000</v>
      </c>
    </row>
    <row r="42" spans="2:5" x14ac:dyDescent="0.25">
      <c r="B42" s="21" t="s">
        <v>67</v>
      </c>
      <c r="C42" s="21"/>
      <c r="D42" s="21"/>
      <c r="E42" s="19">
        <f t="shared" si="2"/>
        <v>8000</v>
      </c>
    </row>
    <row r="43" spans="2:5" x14ac:dyDescent="0.25">
      <c r="B43" s="21" t="s">
        <v>68</v>
      </c>
      <c r="C43" s="21"/>
      <c r="D43" s="21"/>
      <c r="E43" s="19">
        <f t="shared" si="2"/>
        <v>98000</v>
      </c>
    </row>
    <row r="44" spans="2:5" x14ac:dyDescent="0.25">
      <c r="B44" s="21" t="s">
        <v>69</v>
      </c>
      <c r="C44" s="21"/>
      <c r="D44" s="21"/>
      <c r="E44" s="19">
        <f t="shared" si="2"/>
        <v>80000</v>
      </c>
    </row>
    <row r="45" spans="2:5" x14ac:dyDescent="0.25">
      <c r="B45" s="130" t="s">
        <v>70</v>
      </c>
      <c r="C45" s="130"/>
      <c r="D45" s="22" t="s">
        <v>1</v>
      </c>
      <c r="E45" s="23">
        <f>SUM(E47:E53)</f>
        <v>3300000</v>
      </c>
    </row>
    <row r="46" spans="2:5" x14ac:dyDescent="0.25">
      <c r="B46" s="26" t="s">
        <v>7</v>
      </c>
      <c r="C46" s="26"/>
      <c r="D46" s="26"/>
      <c r="E46" s="26" t="s">
        <v>6</v>
      </c>
    </row>
    <row r="47" spans="2:5" x14ac:dyDescent="0.25">
      <c r="B47" s="21" t="s">
        <v>71</v>
      </c>
      <c r="C47" s="21"/>
      <c r="D47" s="21"/>
      <c r="E47" s="24">
        <v>100000</v>
      </c>
    </row>
    <row r="48" spans="2:5" x14ac:dyDescent="0.25">
      <c r="B48" s="21" t="s">
        <v>72</v>
      </c>
      <c r="C48" s="21"/>
      <c r="D48" s="21"/>
      <c r="E48" s="24">
        <v>100000</v>
      </c>
    </row>
    <row r="49" spans="2:5" x14ac:dyDescent="0.25">
      <c r="B49" s="21" t="s">
        <v>73</v>
      </c>
      <c r="C49" s="21"/>
      <c r="D49" s="21"/>
      <c r="E49" s="24">
        <v>100000</v>
      </c>
    </row>
    <row r="50" spans="2:5" x14ac:dyDescent="0.25">
      <c r="B50" s="21" t="s">
        <v>74</v>
      </c>
      <c r="C50" s="21"/>
      <c r="D50" s="21"/>
      <c r="E50" s="24">
        <v>100000</v>
      </c>
    </row>
    <row r="51" spans="2:5" x14ac:dyDescent="0.25">
      <c r="B51" s="21" t="s">
        <v>75</v>
      </c>
      <c r="C51" s="21"/>
      <c r="D51" s="21"/>
      <c r="E51" s="24">
        <v>1200000</v>
      </c>
    </row>
    <row r="52" spans="2:5" ht="15" customHeight="1" x14ac:dyDescent="0.25">
      <c r="B52" s="21" t="s">
        <v>76</v>
      </c>
      <c r="C52" s="21"/>
      <c r="D52" s="21"/>
      <c r="E52" s="24">
        <v>1200000</v>
      </c>
    </row>
    <row r="53" spans="2:5" x14ac:dyDescent="0.25">
      <c r="B53" s="21" t="s">
        <v>77</v>
      </c>
      <c r="C53" s="21"/>
      <c r="D53" s="21"/>
      <c r="E53" s="24">
        <v>500000</v>
      </c>
    </row>
    <row r="54" spans="2:5" x14ac:dyDescent="0.25">
      <c r="B54" s="130" t="s">
        <v>78</v>
      </c>
      <c r="C54" s="130"/>
      <c r="D54" s="131">
        <f>E45+E32+E24+E4</f>
        <v>62110523.700000003</v>
      </c>
      <c r="E54" s="131"/>
    </row>
    <row r="76" spans="2:6" ht="15.75" thickBot="1" x14ac:dyDescent="0.3">
      <c r="B76" s="132" t="s">
        <v>79</v>
      </c>
      <c r="C76" s="132"/>
      <c r="D76" s="132"/>
      <c r="E76" s="132"/>
      <c r="F76" s="132"/>
    </row>
    <row r="77" spans="2:6" x14ac:dyDescent="0.25">
      <c r="B77" s="126" t="s">
        <v>80</v>
      </c>
      <c r="C77" s="128" t="s">
        <v>81</v>
      </c>
      <c r="D77" s="128" t="s">
        <v>82</v>
      </c>
      <c r="E77" s="128" t="s">
        <v>83</v>
      </c>
      <c r="F77" s="128" t="s">
        <v>84</v>
      </c>
    </row>
    <row r="78" spans="2:6" ht="15.75" thickBot="1" x14ac:dyDescent="0.3">
      <c r="B78" s="127"/>
      <c r="C78" s="129"/>
      <c r="D78" s="129"/>
      <c r="E78" s="129"/>
      <c r="F78" s="129"/>
    </row>
    <row r="79" spans="2:6" ht="15.75" thickBot="1" x14ac:dyDescent="0.3">
      <c r="B79" s="7" t="s">
        <v>59</v>
      </c>
      <c r="C79" s="8" t="s">
        <v>85</v>
      </c>
      <c r="D79" s="8">
        <v>2</v>
      </c>
      <c r="E79" s="9">
        <v>450000</v>
      </c>
      <c r="F79" s="10">
        <f>E79*D79</f>
        <v>900000</v>
      </c>
    </row>
    <row r="80" spans="2:6" ht="15.75" thickBot="1" x14ac:dyDescent="0.3">
      <c r="B80" s="7" t="s">
        <v>60</v>
      </c>
      <c r="C80" s="8" t="s">
        <v>85</v>
      </c>
      <c r="D80" s="8">
        <v>1</v>
      </c>
      <c r="E80" s="9">
        <v>450000</v>
      </c>
      <c r="F80" s="10">
        <f t="shared" ref="F80:F89" si="3">E80*D80</f>
        <v>450000</v>
      </c>
    </row>
    <row r="81" spans="2:6" ht="15.75" thickBot="1" x14ac:dyDescent="0.3">
      <c r="B81" s="7" t="s">
        <v>61</v>
      </c>
      <c r="C81" s="8" t="s">
        <v>86</v>
      </c>
      <c r="D81" s="8">
        <v>4</v>
      </c>
      <c r="E81" s="9">
        <v>30000</v>
      </c>
      <c r="F81" s="10">
        <f t="shared" si="3"/>
        <v>120000</v>
      </c>
    </row>
    <row r="82" spans="2:6" ht="15.75" thickBot="1" x14ac:dyDescent="0.3">
      <c r="B82" s="7" t="s">
        <v>62</v>
      </c>
      <c r="C82" s="8" t="s">
        <v>85</v>
      </c>
      <c r="D82" s="8">
        <v>6</v>
      </c>
      <c r="E82" s="9">
        <v>12000</v>
      </c>
      <c r="F82" s="10">
        <f t="shared" si="3"/>
        <v>72000</v>
      </c>
    </row>
    <row r="83" spans="2:6" ht="15.75" thickBot="1" x14ac:dyDescent="0.3">
      <c r="B83" s="7" t="s">
        <v>63</v>
      </c>
      <c r="C83" s="8" t="s">
        <v>87</v>
      </c>
      <c r="D83" s="8">
        <v>1</v>
      </c>
      <c r="E83" s="9">
        <v>30000</v>
      </c>
      <c r="F83" s="10">
        <f t="shared" si="3"/>
        <v>30000</v>
      </c>
    </row>
    <row r="84" spans="2:6" ht="15.75" thickBot="1" x14ac:dyDescent="0.3">
      <c r="B84" s="7" t="s">
        <v>64</v>
      </c>
      <c r="C84" s="8" t="s">
        <v>85</v>
      </c>
      <c r="D84" s="8">
        <v>2</v>
      </c>
      <c r="E84" s="9">
        <v>25000</v>
      </c>
      <c r="F84" s="10">
        <f t="shared" si="3"/>
        <v>50000</v>
      </c>
    </row>
    <row r="85" spans="2:6" ht="15.75" thickBot="1" x14ac:dyDescent="0.3">
      <c r="B85" s="7" t="s">
        <v>65</v>
      </c>
      <c r="C85" s="8" t="s">
        <v>85</v>
      </c>
      <c r="D85" s="8">
        <v>2</v>
      </c>
      <c r="E85" s="9">
        <v>35000</v>
      </c>
      <c r="F85" s="10">
        <f t="shared" si="3"/>
        <v>70000</v>
      </c>
    </row>
    <row r="86" spans="2:6" ht="15.75" thickBot="1" x14ac:dyDescent="0.3">
      <c r="B86" s="7" t="s">
        <v>66</v>
      </c>
      <c r="C86" s="8" t="s">
        <v>85</v>
      </c>
      <c r="D86" s="8">
        <v>1</v>
      </c>
      <c r="E86" s="9">
        <v>8000000</v>
      </c>
      <c r="F86" s="10">
        <f t="shared" si="3"/>
        <v>8000000</v>
      </c>
    </row>
    <row r="87" spans="2:6" ht="15.75" thickBot="1" x14ac:dyDescent="0.3">
      <c r="B87" s="7" t="s">
        <v>67</v>
      </c>
      <c r="C87" s="8" t="s">
        <v>85</v>
      </c>
      <c r="D87" s="8">
        <v>2</v>
      </c>
      <c r="E87" s="9">
        <v>20000</v>
      </c>
      <c r="F87" s="10">
        <f t="shared" si="3"/>
        <v>40000</v>
      </c>
    </row>
    <row r="88" spans="2:6" ht="15.75" thickBot="1" x14ac:dyDescent="0.3">
      <c r="B88" s="7" t="s">
        <v>68</v>
      </c>
      <c r="C88" s="8" t="s">
        <v>85</v>
      </c>
      <c r="D88" s="8">
        <v>1</v>
      </c>
      <c r="E88" s="9">
        <v>490000</v>
      </c>
      <c r="F88" s="10">
        <f t="shared" si="3"/>
        <v>490000</v>
      </c>
    </row>
    <row r="89" spans="2:6" ht="15.75" thickBot="1" x14ac:dyDescent="0.3">
      <c r="B89" s="7" t="s">
        <v>69</v>
      </c>
      <c r="C89" s="8" t="s">
        <v>85</v>
      </c>
      <c r="D89" s="8">
        <v>20</v>
      </c>
      <c r="E89" s="9">
        <v>20000</v>
      </c>
      <c r="F89" s="10">
        <f t="shared" si="3"/>
        <v>400000</v>
      </c>
    </row>
    <row r="90" spans="2:6" ht="16.5" thickBot="1" x14ac:dyDescent="0.3">
      <c r="B90" s="11" t="s">
        <v>88</v>
      </c>
      <c r="C90" s="12"/>
      <c r="D90" s="12"/>
      <c r="E90" s="13"/>
      <c r="F90" s="10">
        <f>SUM(F79:F89)</f>
        <v>10622000</v>
      </c>
    </row>
    <row r="95" spans="2:6" x14ac:dyDescent="0.25">
      <c r="E95" s="14">
        <f>F90+D54</f>
        <v>72732523.700000003</v>
      </c>
    </row>
  </sheetData>
  <mergeCells count="13">
    <mergeCell ref="B4:C4"/>
    <mergeCell ref="B24:C24"/>
    <mergeCell ref="B32:C32"/>
    <mergeCell ref="G4:J4"/>
    <mergeCell ref="B77:B78"/>
    <mergeCell ref="C77:C78"/>
    <mergeCell ref="D77:D78"/>
    <mergeCell ref="E77:E78"/>
    <mergeCell ref="B45:C45"/>
    <mergeCell ref="B54:C54"/>
    <mergeCell ref="D54:E54"/>
    <mergeCell ref="F77:F78"/>
    <mergeCell ref="B76:F76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C7A7F2-45B7-4436-973D-0F25E0AC272F}">
  <dimension ref="C1:K32"/>
  <sheetViews>
    <sheetView topLeftCell="A7" workbookViewId="0">
      <selection activeCell="F8" sqref="F8"/>
    </sheetView>
  </sheetViews>
  <sheetFormatPr baseColWidth="10" defaultColWidth="9.140625" defaultRowHeight="15" x14ac:dyDescent="0.25"/>
  <cols>
    <col min="3" max="3" width="4.85546875" customWidth="1"/>
    <col min="4" max="4" width="28" customWidth="1"/>
    <col min="5" max="5" width="19.140625" customWidth="1"/>
    <col min="6" max="6" width="26.85546875" bestFit="1" customWidth="1"/>
    <col min="7" max="7" width="19.85546875" customWidth="1"/>
    <col min="8" max="8" width="16.42578125" bestFit="1" customWidth="1"/>
    <col min="9" max="9" width="20.42578125" bestFit="1" customWidth="1"/>
    <col min="10" max="10" width="16.28515625" bestFit="1" customWidth="1"/>
    <col min="11" max="11" width="16.85546875" bestFit="1" customWidth="1"/>
  </cols>
  <sheetData>
    <row r="1" spans="3:11" x14ac:dyDescent="0.25">
      <c r="D1" s="147" t="s">
        <v>153</v>
      </c>
      <c r="E1" s="148"/>
    </row>
    <row r="2" spans="3:11" x14ac:dyDescent="0.25">
      <c r="D2" s="115" t="s">
        <v>154</v>
      </c>
      <c r="E2" s="116">
        <v>0.12</v>
      </c>
    </row>
    <row r="3" spans="3:11" x14ac:dyDescent="0.25">
      <c r="E3" s="83"/>
      <c r="F3" s="145" t="s">
        <v>161</v>
      </c>
      <c r="G3" s="145"/>
      <c r="H3" s="145"/>
      <c r="I3" s="145"/>
    </row>
    <row r="4" spans="3:11" x14ac:dyDescent="0.25">
      <c r="F4" s="91">
        <v>0.19</v>
      </c>
      <c r="G4" s="2"/>
      <c r="H4" s="2"/>
      <c r="I4" s="91">
        <v>0.28000000000000003</v>
      </c>
    </row>
    <row r="5" spans="3:11" x14ac:dyDescent="0.25">
      <c r="F5" s="2">
        <v>1090</v>
      </c>
      <c r="G5" s="2">
        <v>1700</v>
      </c>
      <c r="H5" s="2">
        <v>1700</v>
      </c>
      <c r="I5" s="2">
        <v>4100</v>
      </c>
    </row>
    <row r="6" spans="3:11" x14ac:dyDescent="0.25">
      <c r="F6" s="96">
        <f>F5*E8</f>
        <v>51300850</v>
      </c>
      <c r="G6" s="96">
        <f>G5*E8</f>
        <v>80010500</v>
      </c>
      <c r="H6" s="96">
        <f>G6</f>
        <v>80010500</v>
      </c>
      <c r="I6" s="96">
        <f>I5*E8</f>
        <v>192966500</v>
      </c>
    </row>
    <row r="8" spans="3:11" x14ac:dyDescent="0.25">
      <c r="D8" s="2" t="s">
        <v>162</v>
      </c>
      <c r="E8" s="2">
        <v>47065</v>
      </c>
    </row>
    <row r="10" spans="3:11" x14ac:dyDescent="0.25">
      <c r="C10" s="125" t="s">
        <v>121</v>
      </c>
      <c r="D10" s="125"/>
      <c r="E10" s="75">
        <v>0</v>
      </c>
      <c r="F10" s="75">
        <v>1</v>
      </c>
      <c r="G10" s="75">
        <v>2</v>
      </c>
      <c r="H10" s="75">
        <v>3</v>
      </c>
      <c r="I10" s="75">
        <v>4</v>
      </c>
      <c r="J10" s="75">
        <v>5</v>
      </c>
      <c r="K10" s="29"/>
    </row>
    <row r="11" spans="3:11" x14ac:dyDescent="0.25">
      <c r="C11" s="98" t="s">
        <v>92</v>
      </c>
      <c r="D11" s="99" t="s">
        <v>93</v>
      </c>
      <c r="E11" s="100">
        <v>0</v>
      </c>
      <c r="F11" s="100">
        <f>'Ingresos (DO)'!D3</f>
        <v>168000000</v>
      </c>
      <c r="G11" s="100">
        <f>F11*1.08</f>
        <v>181440000</v>
      </c>
      <c r="H11" s="100">
        <f t="shared" ref="H11:J11" si="0">G11*1.08</f>
        <v>195955200</v>
      </c>
      <c r="I11" s="100">
        <f t="shared" si="0"/>
        <v>211631616</v>
      </c>
      <c r="J11" s="100">
        <f t="shared" si="0"/>
        <v>228562145.28</v>
      </c>
      <c r="K11" s="32"/>
    </row>
    <row r="12" spans="3:11" x14ac:dyDescent="0.25">
      <c r="C12" s="98" t="s">
        <v>94</v>
      </c>
      <c r="D12" s="101" t="s">
        <v>95</v>
      </c>
      <c r="E12" s="102">
        <f>'Costos de Producción (A)'!E4</f>
        <v>31410000</v>
      </c>
      <c r="F12" s="103">
        <f>E12*(1+$E$2)</f>
        <v>35179200</v>
      </c>
      <c r="G12" s="103">
        <f t="shared" ref="G12:J12" si="1">F12*(1+$E$2)</f>
        <v>39400704.000000007</v>
      </c>
      <c r="H12" s="103">
        <f t="shared" si="1"/>
        <v>44128788.480000012</v>
      </c>
      <c r="I12" s="103">
        <f t="shared" si="1"/>
        <v>49424243.09760002</v>
      </c>
      <c r="J12" s="103">
        <f t="shared" si="1"/>
        <v>55355152.269312032</v>
      </c>
      <c r="K12" s="34"/>
    </row>
    <row r="13" spans="3:11" x14ac:dyDescent="0.25">
      <c r="C13" s="98" t="s">
        <v>94</v>
      </c>
      <c r="D13" s="101" t="s">
        <v>96</v>
      </c>
      <c r="E13" s="102">
        <f>'Costos de Producción (A)'!E24</f>
        <v>25276123.699999999</v>
      </c>
      <c r="F13" s="103">
        <f>E13*(1+$E$2)</f>
        <v>28309258.544000003</v>
      </c>
      <c r="G13" s="103">
        <f t="shared" ref="G13:J13" si="2">F13*(1+$E$2)</f>
        <v>31706369.569280006</v>
      </c>
      <c r="H13" s="103">
        <f t="shared" si="2"/>
        <v>35511133.917593613</v>
      </c>
      <c r="I13" s="103">
        <f t="shared" si="2"/>
        <v>39772469.987704851</v>
      </c>
      <c r="J13" s="103">
        <f t="shared" si="2"/>
        <v>44545166.386229441</v>
      </c>
      <c r="K13" s="34"/>
    </row>
    <row r="14" spans="3:11" x14ac:dyDescent="0.25">
      <c r="C14" s="98" t="s">
        <v>94</v>
      </c>
      <c r="D14" s="101" t="s">
        <v>97</v>
      </c>
      <c r="E14" s="102">
        <f>'Costos de Producción (A)'!F90</f>
        <v>10622000</v>
      </c>
      <c r="F14" s="103"/>
      <c r="G14" s="103"/>
      <c r="H14" s="103"/>
      <c r="I14" s="103"/>
      <c r="J14" s="103"/>
      <c r="K14" s="34"/>
    </row>
    <row r="15" spans="3:11" x14ac:dyDescent="0.25">
      <c r="C15" s="98" t="s">
        <v>101</v>
      </c>
      <c r="D15" s="104" t="s">
        <v>98</v>
      </c>
      <c r="E15" s="102">
        <f>'Costos de Producción (A)'!E45</f>
        <v>3300000</v>
      </c>
      <c r="F15" s="103">
        <f>E15*(1+$E$2)</f>
        <v>3696000.0000000005</v>
      </c>
      <c r="G15" s="103">
        <f t="shared" ref="G15:J15" si="3">F15*(1+$E$2)</f>
        <v>4139520.0000000009</v>
      </c>
      <c r="H15" s="103">
        <f t="shared" si="3"/>
        <v>4636262.4000000013</v>
      </c>
      <c r="I15" s="103">
        <f t="shared" si="3"/>
        <v>5192613.8880000021</v>
      </c>
      <c r="J15" s="103">
        <f t="shared" si="3"/>
        <v>5815727.5545600029</v>
      </c>
      <c r="K15" s="36"/>
    </row>
    <row r="16" spans="3:11" x14ac:dyDescent="0.25">
      <c r="C16" s="98" t="s">
        <v>101</v>
      </c>
      <c r="D16" s="104" t="s">
        <v>115</v>
      </c>
      <c r="E16" s="105">
        <v>21000000</v>
      </c>
      <c r="F16" s="106">
        <f>12000000*(1+$E$2)</f>
        <v>13440000.000000002</v>
      </c>
      <c r="G16" s="106">
        <f>12000000*(1+$E$2)</f>
        <v>13440000.000000002</v>
      </c>
      <c r="H16" s="106">
        <f t="shared" ref="H16:J16" si="4">12000000*(1+$E$2)</f>
        <v>13440000.000000002</v>
      </c>
      <c r="I16" s="106">
        <f t="shared" si="4"/>
        <v>13440000.000000002</v>
      </c>
      <c r="J16" s="106">
        <f t="shared" si="4"/>
        <v>13440000.000000002</v>
      </c>
      <c r="K16" s="36"/>
    </row>
    <row r="17" spans="3:11" x14ac:dyDescent="0.25">
      <c r="C17" s="98" t="s">
        <v>92</v>
      </c>
      <c r="D17" s="99" t="s">
        <v>99</v>
      </c>
      <c r="E17" s="107">
        <f>SUM(E12:E16)</f>
        <v>91608123.700000003</v>
      </c>
      <c r="F17" s="107">
        <f t="shared" ref="F17:J17" si="5">SUM(F12:F16)</f>
        <v>80624458.544</v>
      </c>
      <c r="G17" s="107">
        <f>SUM(G12:G16)</f>
        <v>88686593.569280013</v>
      </c>
      <c r="H17" s="107">
        <f t="shared" si="5"/>
        <v>97716184.797593623</v>
      </c>
      <c r="I17" s="107">
        <f t="shared" si="5"/>
        <v>107829326.97330487</v>
      </c>
      <c r="J17" s="107">
        <f t="shared" si="5"/>
        <v>119156046.21010149</v>
      </c>
      <c r="K17" s="32"/>
    </row>
    <row r="18" spans="3:11" x14ac:dyDescent="0.25">
      <c r="C18" s="98" t="s">
        <v>92</v>
      </c>
      <c r="D18" s="108" t="s">
        <v>100</v>
      </c>
      <c r="E18" s="109">
        <f>E11-E17</f>
        <v>-91608123.700000003</v>
      </c>
      <c r="F18" s="100">
        <f>F11-F17</f>
        <v>87375541.456</v>
      </c>
      <c r="G18" s="100">
        <f t="shared" ref="G18:J18" si="6">G11-G17</f>
        <v>92753406.430719987</v>
      </c>
      <c r="H18" s="100">
        <f t="shared" si="6"/>
        <v>98239015.202406377</v>
      </c>
      <c r="I18" s="100">
        <f t="shared" si="6"/>
        <v>103802289.02669513</v>
      </c>
      <c r="J18" s="100">
        <f t="shared" si="6"/>
        <v>109406099.06989852</v>
      </c>
      <c r="K18" s="32"/>
    </row>
    <row r="19" spans="3:11" x14ac:dyDescent="0.25">
      <c r="C19" s="98" t="s">
        <v>101</v>
      </c>
      <c r="D19" s="110" t="s">
        <v>102</v>
      </c>
      <c r="E19" s="2">
        <v>0</v>
      </c>
      <c r="F19" s="111">
        <f>'Costos de Producción (A)'!E32</f>
        <v>2124400</v>
      </c>
      <c r="G19" s="111">
        <f>F19*1.05</f>
        <v>2230620</v>
      </c>
      <c r="H19" s="111">
        <f t="shared" ref="H19:J19" si="7">G19*1.05</f>
        <v>2342151</v>
      </c>
      <c r="I19" s="111">
        <f t="shared" si="7"/>
        <v>2459258.5500000003</v>
      </c>
      <c r="J19" s="111">
        <f t="shared" si="7"/>
        <v>2582221.4775000005</v>
      </c>
      <c r="K19" s="39"/>
    </row>
    <row r="20" spans="3:11" x14ac:dyDescent="0.25">
      <c r="C20" s="98" t="s">
        <v>92</v>
      </c>
      <c r="D20" s="99" t="s">
        <v>103</v>
      </c>
      <c r="E20" s="109">
        <f>E18</f>
        <v>-91608123.700000003</v>
      </c>
      <c r="F20" s="100">
        <f>F18-F19</f>
        <v>85251141.456</v>
      </c>
      <c r="G20" s="100">
        <f t="shared" ref="G20:J20" si="8">G18-G19</f>
        <v>90522786.430719987</v>
      </c>
      <c r="H20" s="100">
        <f>H18-H19</f>
        <v>95896864.202406377</v>
      </c>
      <c r="I20" s="100">
        <f t="shared" si="8"/>
        <v>101343030.47669514</v>
      </c>
      <c r="J20" s="100">
        <f t="shared" si="8"/>
        <v>106823877.59239851</v>
      </c>
      <c r="K20" s="32"/>
    </row>
    <row r="21" spans="3:11" x14ac:dyDescent="0.25">
      <c r="C21" s="98" t="s">
        <v>101</v>
      </c>
      <c r="D21" s="101" t="s">
        <v>104</v>
      </c>
      <c r="E21" s="112">
        <v>0</v>
      </c>
      <c r="F21" s="112">
        <f t="shared" ref="F21:I21" si="9">((((F20/$E$8)-$H$5)*0.28)+116)*$E$8</f>
        <v>6926919.6076800013</v>
      </c>
      <c r="G21" s="112">
        <f t="shared" si="9"/>
        <v>8402980.2006015964</v>
      </c>
      <c r="H21" s="112">
        <f t="shared" si="9"/>
        <v>9907721.9766737856</v>
      </c>
      <c r="I21" s="112">
        <f t="shared" si="9"/>
        <v>11432648.533474635</v>
      </c>
      <c r="J21" s="112">
        <f>((((J20/$E$8)-$H$5)*0.28)+116)*$E$8</f>
        <v>12967285.725871582</v>
      </c>
      <c r="K21" s="34"/>
    </row>
    <row r="22" spans="3:11" x14ac:dyDescent="0.25">
      <c r="C22" s="113" t="s">
        <v>105</v>
      </c>
      <c r="D22" s="114" t="s">
        <v>106</v>
      </c>
      <c r="E22" s="109">
        <f>E20-E21</f>
        <v>-91608123.700000003</v>
      </c>
      <c r="F22" s="109">
        <f t="shared" ref="F22:J22" si="10">F20-F21</f>
        <v>78324221.848319992</v>
      </c>
      <c r="G22" s="109">
        <f t="shared" si="10"/>
        <v>82119806.230118394</v>
      </c>
      <c r="H22" s="109">
        <f>H20-H21</f>
        <v>85989142.225732595</v>
      </c>
      <c r="I22" s="109">
        <f t="shared" si="10"/>
        <v>89910381.943220496</v>
      </c>
      <c r="J22" s="109">
        <f t="shared" si="10"/>
        <v>93856591.866526932</v>
      </c>
      <c r="K22" s="32"/>
    </row>
    <row r="23" spans="3:11" x14ac:dyDescent="0.25">
      <c r="C23" s="2"/>
      <c r="D23" s="2" t="s">
        <v>102</v>
      </c>
      <c r="E23" s="112">
        <f>E19</f>
        <v>0</v>
      </c>
      <c r="F23" s="112">
        <f t="shared" ref="F23:J23" si="11">F19</f>
        <v>2124400</v>
      </c>
      <c r="G23" s="112">
        <f t="shared" si="11"/>
        <v>2230620</v>
      </c>
      <c r="H23" s="112">
        <f t="shared" si="11"/>
        <v>2342151</v>
      </c>
      <c r="I23" s="112">
        <f t="shared" si="11"/>
        <v>2459258.5500000003</v>
      </c>
      <c r="J23" s="112">
        <f t="shared" si="11"/>
        <v>2582221.4775000005</v>
      </c>
    </row>
    <row r="24" spans="3:11" x14ac:dyDescent="0.25">
      <c r="C24" s="2"/>
      <c r="D24" s="2" t="s">
        <v>107</v>
      </c>
      <c r="E24" s="112">
        <f>E22+E19</f>
        <v>-91608123.700000003</v>
      </c>
      <c r="F24" s="112">
        <f>F22+F23</f>
        <v>80448621.848319992</v>
      </c>
      <c r="G24" s="112">
        <f>G22+G23</f>
        <v>84350426.230118394</v>
      </c>
      <c r="H24" s="112">
        <f>H22+H23</f>
        <v>88331293.225732595</v>
      </c>
      <c r="I24" s="112">
        <f t="shared" ref="I24:J24" si="12">I22+I23</f>
        <v>92369640.493220493</v>
      </c>
      <c r="J24" s="112">
        <f t="shared" si="12"/>
        <v>96438813.344026938</v>
      </c>
    </row>
    <row r="25" spans="3:11" x14ac:dyDescent="0.25">
      <c r="F25" s="28">
        <f>F24/12</f>
        <v>6704051.8206933327</v>
      </c>
      <c r="G25" s="28">
        <f t="shared" ref="G25:J25" si="13">G24/12</f>
        <v>7029202.1858431995</v>
      </c>
      <c r="H25" s="28">
        <f t="shared" si="13"/>
        <v>7360941.1021443829</v>
      </c>
      <c r="I25" s="28">
        <f t="shared" si="13"/>
        <v>7697470.0411017081</v>
      </c>
      <c r="J25" s="28">
        <f t="shared" si="13"/>
        <v>8036567.7786689112</v>
      </c>
    </row>
    <row r="26" spans="3:11" x14ac:dyDescent="0.25">
      <c r="D26" t="s">
        <v>108</v>
      </c>
      <c r="E26" s="46">
        <v>0.2</v>
      </c>
    </row>
    <row r="27" spans="3:11" x14ac:dyDescent="0.25">
      <c r="D27" t="s">
        <v>109</v>
      </c>
      <c r="E27" s="28">
        <f>NPV(E26,F24:J24)+E24</f>
        <v>168428866.30581415</v>
      </c>
    </row>
    <row r="28" spans="3:11" x14ac:dyDescent="0.25">
      <c r="D28" t="s">
        <v>110</v>
      </c>
      <c r="E28" s="46">
        <f>IRR(E24:J24)</f>
        <v>0.87837300023385456</v>
      </c>
    </row>
    <row r="29" spans="3:11" x14ac:dyDescent="0.25">
      <c r="D29" t="s">
        <v>111</v>
      </c>
      <c r="E29">
        <f>E30/E31</f>
        <v>1.5214573683573076</v>
      </c>
    </row>
    <row r="30" spans="3:11" x14ac:dyDescent="0.25">
      <c r="D30" t="s">
        <v>112</v>
      </c>
      <c r="E30" s="42">
        <f>NPV(E26,F11:J11)+E11</f>
        <v>573314000</v>
      </c>
    </row>
    <row r="31" spans="3:11" x14ac:dyDescent="0.25">
      <c r="D31" t="s">
        <v>113</v>
      </c>
      <c r="E31" s="43">
        <f>NPV(E26,F17:J17)+E17</f>
        <v>376818971.02315634</v>
      </c>
    </row>
    <row r="32" spans="3:11" x14ac:dyDescent="0.25">
      <c r="D32" t="s">
        <v>114</v>
      </c>
      <c r="E32">
        <v>2</v>
      </c>
    </row>
  </sheetData>
  <mergeCells count="3">
    <mergeCell ref="C10:D10"/>
    <mergeCell ref="F3:I3"/>
    <mergeCell ref="D1:E1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F1574C-8027-4333-963D-2057D9DC72F5}">
  <dimension ref="C1:K32"/>
  <sheetViews>
    <sheetView topLeftCell="A10" workbookViewId="0">
      <selection activeCell="D1" sqref="D1:E1"/>
    </sheetView>
  </sheetViews>
  <sheetFormatPr baseColWidth="10" defaultColWidth="9.140625" defaultRowHeight="15" x14ac:dyDescent="0.25"/>
  <cols>
    <col min="3" max="3" width="4.85546875" customWidth="1"/>
    <col min="4" max="4" width="28" customWidth="1"/>
    <col min="5" max="5" width="19.140625" customWidth="1"/>
    <col min="6" max="6" width="26.85546875" bestFit="1" customWidth="1"/>
    <col min="7" max="7" width="19.85546875" customWidth="1"/>
    <col min="8" max="8" width="16.42578125" bestFit="1" customWidth="1"/>
    <col min="9" max="9" width="20.42578125" bestFit="1" customWidth="1"/>
    <col min="10" max="10" width="16.28515625" bestFit="1" customWidth="1"/>
    <col min="11" max="11" width="16.85546875" bestFit="1" customWidth="1"/>
  </cols>
  <sheetData>
    <row r="1" spans="3:11" x14ac:dyDescent="0.25">
      <c r="D1" s="147" t="s">
        <v>163</v>
      </c>
      <c r="E1" s="148"/>
    </row>
    <row r="2" spans="3:11" x14ac:dyDescent="0.25">
      <c r="D2" s="115" t="s">
        <v>154</v>
      </c>
      <c r="E2" s="116">
        <v>0.08</v>
      </c>
    </row>
    <row r="3" spans="3:11" x14ac:dyDescent="0.25">
      <c r="D3" s="115" t="s">
        <v>46</v>
      </c>
      <c r="E3" s="118"/>
      <c r="F3" s="145" t="s">
        <v>161</v>
      </c>
      <c r="G3" s="145"/>
      <c r="H3" s="145"/>
      <c r="I3" s="145"/>
    </row>
    <row r="4" spans="3:11" x14ac:dyDescent="0.25">
      <c r="D4" s="115" t="s">
        <v>155</v>
      </c>
      <c r="E4" s="119">
        <f>2000/5000</f>
        <v>0.4</v>
      </c>
      <c r="F4" s="91">
        <v>0.19</v>
      </c>
      <c r="G4" s="2"/>
      <c r="H4" s="2"/>
      <c r="I4" s="91">
        <v>0.28000000000000003</v>
      </c>
    </row>
    <row r="5" spans="3:11" x14ac:dyDescent="0.25">
      <c r="D5" s="115" t="s">
        <v>156</v>
      </c>
      <c r="E5" s="120"/>
      <c r="F5" s="2">
        <v>1090</v>
      </c>
      <c r="G5" s="2">
        <v>1700</v>
      </c>
      <c r="H5" s="2">
        <v>1700</v>
      </c>
      <c r="I5" s="2">
        <v>4100</v>
      </c>
    </row>
    <row r="6" spans="3:11" x14ac:dyDescent="0.25">
      <c r="F6" s="96">
        <f>F5*E8</f>
        <v>51300850</v>
      </c>
      <c r="G6" s="96">
        <f>G5*E8</f>
        <v>80010500</v>
      </c>
      <c r="H6" s="96">
        <f>G6</f>
        <v>80010500</v>
      </c>
      <c r="I6" s="96">
        <f>I5*E8</f>
        <v>192966500</v>
      </c>
    </row>
    <row r="8" spans="3:11" x14ac:dyDescent="0.25">
      <c r="D8" s="2" t="s">
        <v>162</v>
      </c>
      <c r="E8" s="97">
        <v>47065</v>
      </c>
    </row>
    <row r="10" spans="3:11" x14ac:dyDescent="0.25">
      <c r="C10" s="125" t="s">
        <v>121</v>
      </c>
      <c r="D10" s="125"/>
      <c r="E10" s="75">
        <v>0</v>
      </c>
      <c r="F10" s="75">
        <v>1</v>
      </c>
      <c r="G10" s="75">
        <v>2</v>
      </c>
      <c r="H10" s="75">
        <v>3</v>
      </c>
      <c r="I10" s="75">
        <v>4</v>
      </c>
      <c r="J10" s="75">
        <v>5</v>
      </c>
      <c r="K10" s="29"/>
    </row>
    <row r="11" spans="3:11" x14ac:dyDescent="0.25">
      <c r="C11" s="98" t="s">
        <v>92</v>
      </c>
      <c r="D11" s="99" t="s">
        <v>93</v>
      </c>
      <c r="E11" s="100">
        <v>0</v>
      </c>
      <c r="F11" s="100">
        <f>'Ingresos (DO)'!D3</f>
        <v>168000000</v>
      </c>
      <c r="G11" s="100">
        <f>F11*1.08</f>
        <v>181440000</v>
      </c>
      <c r="H11" s="100">
        <f>G11*1.08</f>
        <v>195955200</v>
      </c>
      <c r="I11" s="100">
        <f>H11*1.08</f>
        <v>211631616</v>
      </c>
      <c r="J11" s="100">
        <f>I11*1.08</f>
        <v>228562145.28</v>
      </c>
      <c r="K11" s="32"/>
    </row>
    <row r="12" spans="3:11" x14ac:dyDescent="0.25">
      <c r="C12" s="98" t="s">
        <v>94</v>
      </c>
      <c r="D12" s="101" t="s">
        <v>95</v>
      </c>
      <c r="E12" s="102">
        <f>'Costos de Producción (A)'!E4</f>
        <v>31410000</v>
      </c>
      <c r="F12" s="103">
        <f>E12*(1+$E$2)</f>
        <v>33922800</v>
      </c>
      <c r="G12" s="103">
        <f t="shared" ref="G12:J12" si="0">F12*(1+$E$2)</f>
        <v>36636624</v>
      </c>
      <c r="H12" s="103">
        <f t="shared" si="0"/>
        <v>39567553.920000002</v>
      </c>
      <c r="I12" s="103">
        <f t="shared" si="0"/>
        <v>42732958.233600006</v>
      </c>
      <c r="J12" s="103">
        <f t="shared" si="0"/>
        <v>46151594.892288007</v>
      </c>
      <c r="K12" s="34"/>
    </row>
    <row r="13" spans="3:11" x14ac:dyDescent="0.25">
      <c r="C13" s="98" t="s">
        <v>94</v>
      </c>
      <c r="D13" s="101" t="s">
        <v>96</v>
      </c>
      <c r="E13" s="102">
        <f>'Costos de Producción (A)'!E24</f>
        <v>25276123.699999999</v>
      </c>
      <c r="F13" s="103">
        <f>E13*(1+$E$4)</f>
        <v>35386573.18</v>
      </c>
      <c r="G13" s="103">
        <f>F13*(1+$E$4)</f>
        <v>49541202.452</v>
      </c>
      <c r="H13" s="103">
        <f t="shared" ref="H13:J13" si="1">G13*(1+$E$4)</f>
        <v>69357683.432799995</v>
      </c>
      <c r="I13" s="103">
        <f t="shared" si="1"/>
        <v>97100756.80591999</v>
      </c>
      <c r="J13" s="103">
        <f t="shared" si="1"/>
        <v>135941059.52828798</v>
      </c>
      <c r="K13" s="34"/>
    </row>
    <row r="14" spans="3:11" x14ac:dyDescent="0.25">
      <c r="C14" s="98" t="s">
        <v>94</v>
      </c>
      <c r="D14" s="101" t="s">
        <v>97</v>
      </c>
      <c r="E14" s="102">
        <f>'Costos de Producción (A)'!F90</f>
        <v>10622000</v>
      </c>
      <c r="F14" s="103"/>
      <c r="G14" s="103"/>
      <c r="H14" s="103"/>
      <c r="I14" s="103"/>
      <c r="J14" s="103"/>
      <c r="K14" s="34"/>
    </row>
    <row r="15" spans="3:11" x14ac:dyDescent="0.25">
      <c r="C15" s="98" t="s">
        <v>101</v>
      </c>
      <c r="D15" s="104" t="s">
        <v>98</v>
      </c>
      <c r="E15" s="102">
        <f>'Costos de Producción (A)'!E45</f>
        <v>3300000</v>
      </c>
      <c r="F15" s="103">
        <f>E15*(1+$E$2)</f>
        <v>3564000.0000000005</v>
      </c>
      <c r="G15" s="103">
        <f t="shared" ref="G15:J15" si="2">F15*(1+$E$2)</f>
        <v>3849120.0000000009</v>
      </c>
      <c r="H15" s="103">
        <f t="shared" si="2"/>
        <v>4157049.6000000015</v>
      </c>
      <c r="I15" s="103">
        <f t="shared" si="2"/>
        <v>4489613.5680000018</v>
      </c>
      <c r="J15" s="103">
        <f t="shared" si="2"/>
        <v>4848782.6534400024</v>
      </c>
      <c r="K15" s="36"/>
    </row>
    <row r="16" spans="3:11" x14ac:dyDescent="0.25">
      <c r="C16" s="98" t="s">
        <v>101</v>
      </c>
      <c r="D16" s="104" t="s">
        <v>115</v>
      </c>
      <c r="E16" s="105">
        <v>21000000</v>
      </c>
      <c r="F16" s="106">
        <f>12000000*(1+$E$2)</f>
        <v>12960000</v>
      </c>
      <c r="G16" s="106">
        <f>12000000*(1+$E$2)</f>
        <v>12960000</v>
      </c>
      <c r="H16" s="106">
        <f t="shared" ref="H16:J16" si="3">12000000*(1+$E$2)</f>
        <v>12960000</v>
      </c>
      <c r="I16" s="106">
        <f t="shared" si="3"/>
        <v>12960000</v>
      </c>
      <c r="J16" s="106">
        <f t="shared" si="3"/>
        <v>12960000</v>
      </c>
      <c r="K16" s="36"/>
    </row>
    <row r="17" spans="3:11" x14ac:dyDescent="0.25">
      <c r="C17" s="98" t="s">
        <v>92</v>
      </c>
      <c r="D17" s="99" t="s">
        <v>99</v>
      </c>
      <c r="E17" s="107">
        <f>SUM(E12:E16)</f>
        <v>91608123.700000003</v>
      </c>
      <c r="F17" s="107">
        <f t="shared" ref="F17:J17" si="4">SUM(F12:F16)</f>
        <v>85833373.180000007</v>
      </c>
      <c r="G17" s="107">
        <f>SUM(G12:G16)</f>
        <v>102986946.45199999</v>
      </c>
      <c r="H17" s="107">
        <f t="shared" si="4"/>
        <v>126042286.95280001</v>
      </c>
      <c r="I17" s="107">
        <f t="shared" si="4"/>
        <v>157283328.60751998</v>
      </c>
      <c r="J17" s="107">
        <f t="shared" si="4"/>
        <v>199901437.07401597</v>
      </c>
      <c r="K17" s="32"/>
    </row>
    <row r="18" spans="3:11" x14ac:dyDescent="0.25">
      <c r="C18" s="98" t="s">
        <v>92</v>
      </c>
      <c r="D18" s="108" t="s">
        <v>100</v>
      </c>
      <c r="E18" s="109">
        <f>E11-E17</f>
        <v>-91608123.700000003</v>
      </c>
      <c r="F18" s="100">
        <f>F11-F17</f>
        <v>82166626.819999993</v>
      </c>
      <c r="G18" s="100">
        <f t="shared" ref="G18:J18" si="5">G11-G17</f>
        <v>78453053.548000008</v>
      </c>
      <c r="H18" s="100">
        <f t="shared" si="5"/>
        <v>69912913.047199994</v>
      </c>
      <c r="I18" s="100">
        <f t="shared" si="5"/>
        <v>54348287.392480016</v>
      </c>
      <c r="J18" s="100">
        <f t="shared" si="5"/>
        <v>28660708.205984026</v>
      </c>
      <c r="K18" s="32"/>
    </row>
    <row r="19" spans="3:11" x14ac:dyDescent="0.25">
      <c r="C19" s="98" t="s">
        <v>101</v>
      </c>
      <c r="D19" s="110" t="s">
        <v>102</v>
      </c>
      <c r="E19" s="2">
        <v>0</v>
      </c>
      <c r="F19" s="111">
        <f>'Costos de Producción (A)'!E32</f>
        <v>2124400</v>
      </c>
      <c r="G19" s="111">
        <f>F19*1.05</f>
        <v>2230620</v>
      </c>
      <c r="H19" s="111">
        <f t="shared" ref="H19:J19" si="6">G19*1.05</f>
        <v>2342151</v>
      </c>
      <c r="I19" s="111">
        <f t="shared" si="6"/>
        <v>2459258.5500000003</v>
      </c>
      <c r="J19" s="111">
        <f t="shared" si="6"/>
        <v>2582221.4775000005</v>
      </c>
      <c r="K19" s="39"/>
    </row>
    <row r="20" spans="3:11" x14ac:dyDescent="0.25">
      <c r="C20" s="98" t="s">
        <v>92</v>
      </c>
      <c r="D20" s="99" t="s">
        <v>103</v>
      </c>
      <c r="E20" s="109">
        <f>E18</f>
        <v>-91608123.700000003</v>
      </c>
      <c r="F20" s="100">
        <f>F18-F19</f>
        <v>80042226.819999993</v>
      </c>
      <c r="G20" s="100">
        <f t="shared" ref="G20:J20" si="7">G18-G19</f>
        <v>76222433.548000008</v>
      </c>
      <c r="H20" s="100">
        <f>H18-H19</f>
        <v>67570762.047199994</v>
      </c>
      <c r="I20" s="100">
        <f t="shared" si="7"/>
        <v>51889028.842480019</v>
      </c>
      <c r="J20" s="100">
        <f t="shared" si="7"/>
        <v>26078486.728484027</v>
      </c>
      <c r="K20" s="32"/>
    </row>
    <row r="21" spans="3:11" x14ac:dyDescent="0.25">
      <c r="C21" s="98" t="s">
        <v>101</v>
      </c>
      <c r="D21" s="101" t="s">
        <v>104</v>
      </c>
      <c r="E21" s="112">
        <v>0</v>
      </c>
      <c r="F21" s="112">
        <f t="shared" ref="F21:I21" si="8">((((F20/$E$8)-$H$5)*0.28)+116)*$E$8</f>
        <v>5468423.5095999967</v>
      </c>
      <c r="G21" s="112">
        <f t="shared" si="8"/>
        <v>4398881.3934400026</v>
      </c>
      <c r="H21" s="112">
        <f t="shared" si="8"/>
        <v>1976413.3732159976</v>
      </c>
      <c r="I21" s="112">
        <f t="shared" si="8"/>
        <v>-2414471.9241055967</v>
      </c>
      <c r="J21" s="112">
        <f>((((J20/$E$8)-$H$5)*0.28)+116)*$E$8</f>
        <v>-9641423.716024477</v>
      </c>
      <c r="K21" s="34"/>
    </row>
    <row r="22" spans="3:11" x14ac:dyDescent="0.25">
      <c r="C22" s="113" t="s">
        <v>105</v>
      </c>
      <c r="D22" s="114" t="s">
        <v>106</v>
      </c>
      <c r="E22" s="109">
        <f>E20-E21</f>
        <v>-91608123.700000003</v>
      </c>
      <c r="F22" s="109">
        <f t="shared" ref="F22:J22" si="9">F20-F21</f>
        <v>74573803.310399994</v>
      </c>
      <c r="G22" s="109">
        <f t="shared" si="9"/>
        <v>71823552.15456</v>
      </c>
      <c r="H22" s="109">
        <f>H20-H21</f>
        <v>65594348.673983999</v>
      </c>
      <c r="I22" s="109">
        <f t="shared" si="9"/>
        <v>54303500.766585618</v>
      </c>
      <c r="J22" s="109">
        <f t="shared" si="9"/>
        <v>35719910.444508508</v>
      </c>
      <c r="K22" s="32"/>
    </row>
    <row r="23" spans="3:11" x14ac:dyDescent="0.25">
      <c r="C23" s="2"/>
      <c r="D23" s="2" t="s">
        <v>102</v>
      </c>
      <c r="E23" s="112">
        <f>E19</f>
        <v>0</v>
      </c>
      <c r="F23" s="112">
        <f t="shared" ref="F23:J23" si="10">F19</f>
        <v>2124400</v>
      </c>
      <c r="G23" s="112">
        <f t="shared" si="10"/>
        <v>2230620</v>
      </c>
      <c r="H23" s="112">
        <f t="shared" si="10"/>
        <v>2342151</v>
      </c>
      <c r="I23" s="112">
        <f t="shared" si="10"/>
        <v>2459258.5500000003</v>
      </c>
      <c r="J23" s="112">
        <f t="shared" si="10"/>
        <v>2582221.4775000005</v>
      </c>
    </row>
    <row r="24" spans="3:11" x14ac:dyDescent="0.25">
      <c r="C24" s="2"/>
      <c r="D24" s="2" t="s">
        <v>107</v>
      </c>
      <c r="E24" s="112">
        <f>E22+E19</f>
        <v>-91608123.700000003</v>
      </c>
      <c r="F24" s="112">
        <f>F22+F23</f>
        <v>76698203.310399994</v>
      </c>
      <c r="G24" s="112">
        <f>G22+G23</f>
        <v>74054172.15456</v>
      </c>
      <c r="H24" s="112">
        <f>H22+H23</f>
        <v>67936499.673983991</v>
      </c>
      <c r="I24" s="112">
        <f t="shared" ref="I24:J24" si="11">I22+I23</f>
        <v>56762759.316585615</v>
      </c>
      <c r="J24" s="112">
        <f t="shared" si="11"/>
        <v>38302131.922008507</v>
      </c>
    </row>
    <row r="25" spans="3:11" x14ac:dyDescent="0.25">
      <c r="F25" s="28">
        <f>F24/12</f>
        <v>6391516.9425333329</v>
      </c>
      <c r="G25" s="28">
        <f t="shared" ref="G25:J25" si="12">G24/12</f>
        <v>6171181.0128800003</v>
      </c>
      <c r="H25" s="28">
        <f t="shared" si="12"/>
        <v>5661374.972831999</v>
      </c>
      <c r="I25" s="28">
        <f t="shared" si="12"/>
        <v>4730229.9430488013</v>
      </c>
      <c r="J25" s="28">
        <f t="shared" si="12"/>
        <v>3191844.3268340421</v>
      </c>
    </row>
    <row r="26" spans="3:11" x14ac:dyDescent="0.25">
      <c r="D26" t="s">
        <v>108</v>
      </c>
      <c r="E26" s="46">
        <v>0.2</v>
      </c>
    </row>
    <row r="27" spans="3:11" x14ac:dyDescent="0.25">
      <c r="D27" t="s">
        <v>109</v>
      </c>
      <c r="E27" s="28">
        <f>NPV(E26,F24:J24)+E24</f>
        <v>105815441.79799594</v>
      </c>
    </row>
    <row r="28" spans="3:11" x14ac:dyDescent="0.25">
      <c r="D28" t="s">
        <v>110</v>
      </c>
      <c r="E28" s="46">
        <f>IRR(E24:J24)</f>
        <v>0.72395214271857311</v>
      </c>
    </row>
    <row r="29" spans="3:11" x14ac:dyDescent="0.25">
      <c r="D29" t="s">
        <v>111</v>
      </c>
      <c r="E29">
        <f>E30/E31</f>
        <v>1.2361711430512252</v>
      </c>
    </row>
    <row r="30" spans="3:11" x14ac:dyDescent="0.25">
      <c r="D30" t="s">
        <v>112</v>
      </c>
      <c r="E30" s="42">
        <f>NPV(E26,F11:J11)+E11</f>
        <v>573314000</v>
      </c>
    </row>
    <row r="31" spans="3:11" x14ac:dyDescent="0.25">
      <c r="D31" t="s">
        <v>113</v>
      </c>
      <c r="E31" s="43">
        <f>NPV(E26,F17:J17)+E17</f>
        <v>463782060.61734825</v>
      </c>
    </row>
    <row r="32" spans="3:11" x14ac:dyDescent="0.25">
      <c r="D32" t="s">
        <v>114</v>
      </c>
      <c r="E32">
        <v>2</v>
      </c>
    </row>
  </sheetData>
  <mergeCells count="3">
    <mergeCell ref="C10:D10"/>
    <mergeCell ref="F3:I3"/>
    <mergeCell ref="D1:E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2910F3-9C13-4DF0-A9C7-BA0131D7F795}">
  <dimension ref="C1:K45"/>
  <sheetViews>
    <sheetView tabSelected="1" topLeftCell="A43" workbookViewId="0">
      <selection activeCell="H58" sqref="H58"/>
    </sheetView>
  </sheetViews>
  <sheetFormatPr baseColWidth="10" defaultColWidth="9.140625" defaultRowHeight="15" x14ac:dyDescent="0.25"/>
  <cols>
    <col min="3" max="3" width="4.85546875" customWidth="1"/>
    <col min="4" max="4" width="28" customWidth="1"/>
    <col min="5" max="5" width="19.140625" customWidth="1"/>
    <col min="6" max="6" width="26.85546875" bestFit="1" customWidth="1"/>
    <col min="7" max="7" width="19.85546875" customWidth="1"/>
    <col min="8" max="8" width="16.42578125" bestFit="1" customWidth="1"/>
    <col min="9" max="9" width="20.42578125" bestFit="1" customWidth="1"/>
    <col min="10" max="10" width="16.28515625" bestFit="1" customWidth="1"/>
    <col min="11" max="11" width="16.85546875" bestFit="1" customWidth="1"/>
  </cols>
  <sheetData>
    <row r="1" spans="3:11" x14ac:dyDescent="0.25">
      <c r="D1" s="147" t="s">
        <v>164</v>
      </c>
      <c r="E1" s="148"/>
    </row>
    <row r="2" spans="3:11" x14ac:dyDescent="0.25">
      <c r="D2" s="115" t="s">
        <v>154</v>
      </c>
      <c r="E2" s="116">
        <v>0.08</v>
      </c>
    </row>
    <row r="3" spans="3:11" x14ac:dyDescent="0.25">
      <c r="D3" s="115" t="s">
        <v>157</v>
      </c>
      <c r="E3" s="117">
        <v>0.4</v>
      </c>
      <c r="F3" s="141" t="s">
        <v>161</v>
      </c>
      <c r="G3" s="145"/>
      <c r="H3" s="145"/>
      <c r="I3" s="145"/>
    </row>
    <row r="4" spans="3:11" x14ac:dyDescent="0.25">
      <c r="D4" s="115" t="s">
        <v>144</v>
      </c>
      <c r="E4" s="122">
        <v>67200000</v>
      </c>
      <c r="F4" s="121">
        <v>0.19</v>
      </c>
      <c r="G4" s="2"/>
      <c r="H4" s="2"/>
      <c r="I4" s="91">
        <v>0.28000000000000003</v>
      </c>
    </row>
    <row r="5" spans="3:11" x14ac:dyDescent="0.25">
      <c r="F5" s="2">
        <v>1090</v>
      </c>
      <c r="G5" s="2">
        <v>1700</v>
      </c>
      <c r="H5" s="2">
        <v>1700</v>
      </c>
      <c r="I5" s="2">
        <v>4100</v>
      </c>
    </row>
    <row r="6" spans="3:11" x14ac:dyDescent="0.25">
      <c r="F6" s="96">
        <f>F5*E8</f>
        <v>51300850</v>
      </c>
      <c r="G6" s="96">
        <f>G5*E8</f>
        <v>80010500</v>
      </c>
      <c r="H6" s="96">
        <f>G6</f>
        <v>80010500</v>
      </c>
      <c r="I6" s="96">
        <f>I5*E8</f>
        <v>192966500</v>
      </c>
    </row>
    <row r="8" spans="3:11" x14ac:dyDescent="0.25">
      <c r="D8" s="2" t="s">
        <v>162</v>
      </c>
      <c r="E8" s="97">
        <v>47065</v>
      </c>
    </row>
    <row r="10" spans="3:11" x14ac:dyDescent="0.25">
      <c r="C10" s="125" t="s">
        <v>121</v>
      </c>
      <c r="D10" s="125"/>
      <c r="E10" s="75">
        <v>0</v>
      </c>
      <c r="F10" s="75">
        <v>1</v>
      </c>
      <c r="G10" s="75">
        <v>2</v>
      </c>
      <c r="H10" s="75">
        <v>3</v>
      </c>
      <c r="I10" s="75">
        <v>4</v>
      </c>
      <c r="J10" s="75">
        <v>5</v>
      </c>
      <c r="K10" s="29"/>
    </row>
    <row r="11" spans="3:11" x14ac:dyDescent="0.25">
      <c r="C11" s="98" t="s">
        <v>92</v>
      </c>
      <c r="D11" s="99" t="s">
        <v>93</v>
      </c>
      <c r="E11" s="100">
        <v>0</v>
      </c>
      <c r="F11" s="100">
        <v>100800000</v>
      </c>
      <c r="G11" s="100">
        <f>F11*1.08</f>
        <v>108864000</v>
      </c>
      <c r="H11" s="100">
        <f>G11*1.08</f>
        <v>117573120.00000001</v>
      </c>
      <c r="I11" s="100">
        <f>H11*1.08</f>
        <v>126978969.60000002</v>
      </c>
      <c r="J11" s="100">
        <f>I11*1.08</f>
        <v>137137287.16800004</v>
      </c>
      <c r="K11" s="32"/>
    </row>
    <row r="12" spans="3:11" x14ac:dyDescent="0.25">
      <c r="C12" s="98" t="s">
        <v>94</v>
      </c>
      <c r="D12" s="101" t="s">
        <v>95</v>
      </c>
      <c r="E12" s="102">
        <f>'Costos de Producción (A)'!E4</f>
        <v>31410000</v>
      </c>
      <c r="F12" s="103">
        <f>E12*(1+$E$2)</f>
        <v>33922800</v>
      </c>
      <c r="G12" s="103">
        <f>F12*(1+$E$2)</f>
        <v>36636624</v>
      </c>
      <c r="H12" s="103">
        <f t="shared" ref="H12:J12" si="0">G12*(1+$E$2)</f>
        <v>39567553.920000002</v>
      </c>
      <c r="I12" s="103">
        <f t="shared" si="0"/>
        <v>42732958.233600006</v>
      </c>
      <c r="J12" s="103">
        <f t="shared" si="0"/>
        <v>46151594.892288007</v>
      </c>
      <c r="K12" s="34"/>
    </row>
    <row r="13" spans="3:11" x14ac:dyDescent="0.25">
      <c r="C13" s="98" t="s">
        <v>94</v>
      </c>
      <c r="D13" s="101" t="s">
        <v>96</v>
      </c>
      <c r="E13" s="102">
        <f>'Costos de Producción (A)'!E24</f>
        <v>25276123.699999999</v>
      </c>
      <c r="F13" s="103">
        <f>E13*(1+$E$2)</f>
        <v>27298213.596000001</v>
      </c>
      <c r="G13" s="103">
        <f t="shared" ref="G13:J13" si="1">F13*(1+$E$2)</f>
        <v>29482070.683680002</v>
      </c>
      <c r="H13" s="103">
        <f t="shared" si="1"/>
        <v>31840636.338374402</v>
      </c>
      <c r="I13" s="103">
        <f t="shared" si="1"/>
        <v>34387887.245444357</v>
      </c>
      <c r="J13" s="103">
        <f t="shared" si="1"/>
        <v>37138918.225079909</v>
      </c>
      <c r="K13" s="34"/>
    </row>
    <row r="14" spans="3:11" x14ac:dyDescent="0.25">
      <c r="C14" s="98" t="s">
        <v>94</v>
      </c>
      <c r="D14" s="101" t="s">
        <v>97</v>
      </c>
      <c r="E14" s="102">
        <f>'Costos de Producción (A)'!F90</f>
        <v>10622000</v>
      </c>
      <c r="F14" s="103"/>
      <c r="G14" s="103"/>
      <c r="H14" s="103"/>
      <c r="I14" s="103"/>
      <c r="J14" s="103"/>
      <c r="K14" s="34"/>
    </row>
    <row r="15" spans="3:11" x14ac:dyDescent="0.25">
      <c r="C15" s="98" t="s">
        <v>101</v>
      </c>
      <c r="D15" s="104" t="s">
        <v>98</v>
      </c>
      <c r="E15" s="102">
        <f>'Costos de Producción (A)'!E45</f>
        <v>3300000</v>
      </c>
      <c r="F15" s="103">
        <f>E15*(1+$E$2)</f>
        <v>3564000.0000000005</v>
      </c>
      <c r="G15" s="103">
        <f t="shared" ref="G15:J15" si="2">F15*(1+$E$2)</f>
        <v>3849120.0000000009</v>
      </c>
      <c r="H15" s="103">
        <f t="shared" si="2"/>
        <v>4157049.6000000015</v>
      </c>
      <c r="I15" s="103">
        <f t="shared" si="2"/>
        <v>4489613.5680000018</v>
      </c>
      <c r="J15" s="103">
        <f t="shared" si="2"/>
        <v>4848782.6534400024</v>
      </c>
      <c r="K15" s="36"/>
    </row>
    <row r="16" spans="3:11" x14ac:dyDescent="0.25">
      <c r="C16" s="98" t="s">
        <v>101</v>
      </c>
      <c r="D16" s="104" t="s">
        <v>115</v>
      </c>
      <c r="E16" s="105">
        <v>21000000</v>
      </c>
      <c r="F16" s="106">
        <f>12000000*(1+$E$2)</f>
        <v>12960000</v>
      </c>
      <c r="G16" s="106">
        <f>12000000*(1+$E$2)</f>
        <v>12960000</v>
      </c>
      <c r="H16" s="106">
        <f t="shared" ref="H16:J16" si="3">12000000*(1+$E$2)</f>
        <v>12960000</v>
      </c>
      <c r="I16" s="106">
        <f t="shared" si="3"/>
        <v>12960000</v>
      </c>
      <c r="J16" s="106">
        <f t="shared" si="3"/>
        <v>12960000</v>
      </c>
      <c r="K16" s="36"/>
    </row>
    <row r="17" spans="3:11" x14ac:dyDescent="0.25">
      <c r="C17" s="98" t="s">
        <v>92</v>
      </c>
      <c r="D17" s="99" t="s">
        <v>99</v>
      </c>
      <c r="E17" s="107">
        <f>SUM(E12:E16)</f>
        <v>91608123.700000003</v>
      </c>
      <c r="F17" s="107">
        <f t="shared" ref="F17:J17" si="4">SUM(F12:F16)</f>
        <v>77745013.596000001</v>
      </c>
      <c r="G17" s="107">
        <f>SUM(G12:G16)</f>
        <v>82927814.683679998</v>
      </c>
      <c r="H17" s="107">
        <f t="shared" si="4"/>
        <v>88525239.858374417</v>
      </c>
      <c r="I17" s="107">
        <f t="shared" si="4"/>
        <v>94570459.047044367</v>
      </c>
      <c r="J17" s="107">
        <f t="shared" si="4"/>
        <v>101099295.77080792</v>
      </c>
      <c r="K17" s="32"/>
    </row>
    <row r="18" spans="3:11" x14ac:dyDescent="0.25">
      <c r="C18" s="98" t="s">
        <v>92</v>
      </c>
      <c r="D18" s="108" t="s">
        <v>100</v>
      </c>
      <c r="E18" s="109">
        <f>E11-E17</f>
        <v>-91608123.700000003</v>
      </c>
      <c r="F18" s="100">
        <f>F11-F17</f>
        <v>23054986.403999999</v>
      </c>
      <c r="G18" s="100">
        <f t="shared" ref="G18:J18" si="5">G11-G17</f>
        <v>25936185.316320002</v>
      </c>
      <c r="H18" s="100">
        <f t="shared" si="5"/>
        <v>29047880.141625598</v>
      </c>
      <c r="I18" s="100">
        <f t="shared" si="5"/>
        <v>32408510.552955657</v>
      </c>
      <c r="J18" s="100">
        <f t="shared" si="5"/>
        <v>36037991.397192121</v>
      </c>
      <c r="K18" s="32"/>
    </row>
    <row r="19" spans="3:11" x14ac:dyDescent="0.25">
      <c r="C19" s="98" t="s">
        <v>101</v>
      </c>
      <c r="D19" s="110" t="s">
        <v>102</v>
      </c>
      <c r="E19" s="2">
        <v>0</v>
      </c>
      <c r="F19" s="111">
        <f>'Costos de Producción (A)'!E32</f>
        <v>2124400</v>
      </c>
      <c r="G19" s="111">
        <f>F19*1.05</f>
        <v>2230620</v>
      </c>
      <c r="H19" s="111">
        <f t="shared" ref="H19:J19" si="6">G19*1.05</f>
        <v>2342151</v>
      </c>
      <c r="I19" s="111">
        <f t="shared" si="6"/>
        <v>2459258.5500000003</v>
      </c>
      <c r="J19" s="111">
        <f t="shared" si="6"/>
        <v>2582221.4775000005</v>
      </c>
      <c r="K19" s="39"/>
    </row>
    <row r="20" spans="3:11" x14ac:dyDescent="0.25">
      <c r="C20" s="98" t="s">
        <v>92</v>
      </c>
      <c r="D20" s="99" t="s">
        <v>103</v>
      </c>
      <c r="E20" s="109">
        <f>E18</f>
        <v>-91608123.700000003</v>
      </c>
      <c r="F20" s="100">
        <f>F18-F19</f>
        <v>20930586.403999999</v>
      </c>
      <c r="G20" s="100">
        <f t="shared" ref="G20:J20" si="7">G18-G19</f>
        <v>23705565.316320002</v>
      </c>
      <c r="H20" s="100">
        <f>H18-H19</f>
        <v>26705729.141625598</v>
      </c>
      <c r="I20" s="100">
        <f t="shared" si="7"/>
        <v>29949252.002955656</v>
      </c>
      <c r="J20" s="100">
        <f t="shared" si="7"/>
        <v>33455769.919692121</v>
      </c>
      <c r="K20" s="32"/>
    </row>
    <row r="21" spans="3:11" x14ac:dyDescent="0.25">
      <c r="C21" s="98" t="s">
        <v>101</v>
      </c>
      <c r="D21" s="101" t="s">
        <v>104</v>
      </c>
      <c r="E21" s="112">
        <v>0</v>
      </c>
      <c r="F21" s="112">
        <f t="shared" ref="F21:I21" si="8">((((F20/$E$8)-$H$5)*0.28)+116)*$E$8</f>
        <v>-11082835.806880003</v>
      </c>
      <c r="G21" s="112">
        <f t="shared" si="8"/>
        <v>-10305841.711430401</v>
      </c>
      <c r="H21" s="112">
        <f t="shared" si="8"/>
        <v>-9465795.8403448332</v>
      </c>
      <c r="I21" s="112">
        <f t="shared" si="8"/>
        <v>-8557609.4391724188</v>
      </c>
      <c r="J21" s="112">
        <f>((((J20/$E$8)-$H$5)*0.28)+116)*$E$8</f>
        <v>-7575784.4224862084</v>
      </c>
      <c r="K21" s="34"/>
    </row>
    <row r="22" spans="3:11" x14ac:dyDescent="0.25">
      <c r="C22" s="113" t="s">
        <v>105</v>
      </c>
      <c r="D22" s="114" t="s">
        <v>106</v>
      </c>
      <c r="E22" s="109">
        <f>E20-E21</f>
        <v>-91608123.700000003</v>
      </c>
      <c r="F22" s="109">
        <f t="shared" ref="F22:J22" si="9">F20-F21</f>
        <v>32013422.210880004</v>
      </c>
      <c r="G22" s="109">
        <f t="shared" si="9"/>
        <v>34011407.027750403</v>
      </c>
      <c r="H22" s="109">
        <f>H20-H21</f>
        <v>36171524.981970429</v>
      </c>
      <c r="I22" s="109">
        <f t="shared" si="9"/>
        <v>38506861.442128077</v>
      </c>
      <c r="J22" s="109">
        <f t="shared" si="9"/>
        <v>41031554.34217833</v>
      </c>
      <c r="K22" s="32"/>
    </row>
    <row r="23" spans="3:11" x14ac:dyDescent="0.25">
      <c r="C23" s="2"/>
      <c r="D23" s="2" t="s">
        <v>102</v>
      </c>
      <c r="E23" s="112">
        <f>E19</f>
        <v>0</v>
      </c>
      <c r="F23" s="112">
        <f t="shared" ref="F23:J23" si="10">F19</f>
        <v>2124400</v>
      </c>
      <c r="G23" s="112">
        <f t="shared" si="10"/>
        <v>2230620</v>
      </c>
      <c r="H23" s="112">
        <f t="shared" si="10"/>
        <v>2342151</v>
      </c>
      <c r="I23" s="112">
        <f t="shared" si="10"/>
        <v>2459258.5500000003</v>
      </c>
      <c r="J23" s="112">
        <f t="shared" si="10"/>
        <v>2582221.4775000005</v>
      </c>
    </row>
    <row r="24" spans="3:11" x14ac:dyDescent="0.25">
      <c r="C24" s="2"/>
      <c r="D24" s="2" t="s">
        <v>107</v>
      </c>
      <c r="E24" s="112">
        <f>E22+E19</f>
        <v>-91608123.700000003</v>
      </c>
      <c r="F24" s="112">
        <f>F22+F23</f>
        <v>34137822.210880004</v>
      </c>
      <c r="G24" s="112">
        <f>G22+G23</f>
        <v>36242027.027750403</v>
      </c>
      <c r="H24" s="112">
        <f>H22+H23</f>
        <v>38513675.981970429</v>
      </c>
      <c r="I24" s="112">
        <f t="shared" ref="I24:J24" si="11">I22+I23</f>
        <v>40966119.992128074</v>
      </c>
      <c r="J24" s="112">
        <f t="shared" si="11"/>
        <v>43613775.819678329</v>
      </c>
    </row>
    <row r="25" spans="3:11" x14ac:dyDescent="0.25">
      <c r="F25" s="28">
        <f>F24/12</f>
        <v>2844818.5175733338</v>
      </c>
      <c r="G25" s="28">
        <f t="shared" ref="G25:J25" si="12">G24/12</f>
        <v>3020168.9189792001</v>
      </c>
      <c r="H25" s="28">
        <f t="shared" si="12"/>
        <v>3209472.9984975359</v>
      </c>
      <c r="I25" s="28">
        <f t="shared" si="12"/>
        <v>3413843.3326773397</v>
      </c>
      <c r="J25" s="28">
        <f t="shared" si="12"/>
        <v>3634481.3183065276</v>
      </c>
    </row>
    <row r="26" spans="3:11" x14ac:dyDescent="0.25">
      <c r="D26" t="s">
        <v>108</v>
      </c>
      <c r="E26" s="46">
        <v>0.2</v>
      </c>
    </row>
    <row r="27" spans="3:11" x14ac:dyDescent="0.25">
      <c r="D27" t="s">
        <v>109</v>
      </c>
      <c r="E27" s="28">
        <f>NPV(E26,F24:J24)+E24</f>
        <v>21579578.872298941</v>
      </c>
    </row>
    <row r="28" spans="3:11" x14ac:dyDescent="0.25">
      <c r="D28" t="s">
        <v>110</v>
      </c>
      <c r="E28" s="46">
        <f>IRR(E24:J24)</f>
        <v>0.29845544953348324</v>
      </c>
    </row>
    <row r="29" spans="3:11" x14ac:dyDescent="0.25">
      <c r="D29" t="s">
        <v>111</v>
      </c>
      <c r="E29">
        <f>E30/E31</f>
        <v>0.97876710910207254</v>
      </c>
    </row>
    <row r="30" spans="3:11" x14ac:dyDescent="0.25">
      <c r="D30" t="s">
        <v>112</v>
      </c>
      <c r="E30" s="42">
        <f>NPV(E26,F11:J11)+E11</f>
        <v>343988400</v>
      </c>
    </row>
    <row r="31" spans="3:11" x14ac:dyDescent="0.25">
      <c r="D31" t="s">
        <v>113</v>
      </c>
      <c r="E31" s="43">
        <f>NPV(E26,F17:J17)+E17</f>
        <v>351450714.68081641</v>
      </c>
    </row>
    <row r="32" spans="3:11" x14ac:dyDescent="0.25">
      <c r="D32" t="s">
        <v>114</v>
      </c>
      <c r="E32">
        <v>3</v>
      </c>
    </row>
    <row r="36" spans="4:7" x14ac:dyDescent="0.25">
      <c r="D36" s="84" t="s">
        <v>141</v>
      </c>
      <c r="E36" s="84" t="s">
        <v>153</v>
      </c>
      <c r="F36" s="84" t="s">
        <v>163</v>
      </c>
      <c r="G36" s="84" t="s">
        <v>164</v>
      </c>
    </row>
    <row r="37" spans="4:7" x14ac:dyDescent="0.25">
      <c r="D37" s="84" t="s">
        <v>109</v>
      </c>
      <c r="E37" s="81">
        <f>'Flujo de caja Escenario 1'!E27</f>
        <v>168428866.30581415</v>
      </c>
      <c r="F37" s="81">
        <f>'Flujo de caja Escenario 2'!E27</f>
        <v>105815441.79799594</v>
      </c>
      <c r="G37" s="81">
        <f>E27</f>
        <v>21579578.872298941</v>
      </c>
    </row>
    <row r="38" spans="4:7" x14ac:dyDescent="0.25">
      <c r="D38" s="84" t="s">
        <v>110</v>
      </c>
      <c r="E38" s="78">
        <f>'Flujo de caja Escenario 1'!E28</f>
        <v>0.87837300023385456</v>
      </c>
      <c r="F38" s="78">
        <f>'Flujo de caja Escenario 2'!E28</f>
        <v>0.72395214271857311</v>
      </c>
      <c r="G38" s="78">
        <f t="shared" ref="G38:G39" si="13">E28</f>
        <v>0.29845544953348324</v>
      </c>
    </row>
    <row r="39" spans="4:7" x14ac:dyDescent="0.25">
      <c r="D39" s="84" t="s">
        <v>111</v>
      </c>
      <c r="E39" s="123">
        <f>'Flujo de caja Escenario 1'!E29</f>
        <v>1.5214573683573076</v>
      </c>
      <c r="F39" s="123">
        <f>'Flujo de caja Escenario 2'!E29</f>
        <v>1.2361711430512252</v>
      </c>
      <c r="G39" s="123">
        <f t="shared" si="13"/>
        <v>0.97876710910207254</v>
      </c>
    </row>
    <row r="44" spans="4:7" x14ac:dyDescent="0.25">
      <c r="E44" s="84" t="s">
        <v>153</v>
      </c>
      <c r="F44" s="84" t="s">
        <v>163</v>
      </c>
      <c r="G44" s="84" t="s">
        <v>164</v>
      </c>
    </row>
    <row r="45" spans="4:7" x14ac:dyDescent="0.25">
      <c r="D45" t="s">
        <v>110</v>
      </c>
      <c r="E45" s="46">
        <v>0.87837300023385456</v>
      </c>
      <c r="F45" s="46">
        <v>0.72395214271857311</v>
      </c>
      <c r="G45" s="46">
        <v>0.29845544953348324</v>
      </c>
    </row>
  </sheetData>
  <mergeCells count="3">
    <mergeCell ref="C10:D10"/>
    <mergeCell ref="F3:I3"/>
    <mergeCell ref="D1:E1"/>
  </mergeCells>
  <phoneticPr fontId="12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9027C0-ACB7-406C-AB83-9FB456E7EDE0}">
  <dimension ref="B1:D6"/>
  <sheetViews>
    <sheetView workbookViewId="0">
      <selection activeCell="C9" sqref="C9"/>
    </sheetView>
  </sheetViews>
  <sheetFormatPr baseColWidth="10" defaultColWidth="11.42578125" defaultRowHeight="15" x14ac:dyDescent="0.25"/>
  <cols>
    <col min="2" max="2" width="24.85546875" customWidth="1"/>
    <col min="3" max="3" width="22.85546875" customWidth="1"/>
    <col min="4" max="4" width="17.5703125" customWidth="1"/>
  </cols>
  <sheetData>
    <row r="1" spans="2:4" x14ac:dyDescent="0.25">
      <c r="B1" s="125" t="s">
        <v>159</v>
      </c>
      <c r="C1" s="125"/>
      <c r="D1" s="125"/>
    </row>
    <row r="2" spans="2:4" x14ac:dyDescent="0.25">
      <c r="B2" s="2" t="s">
        <v>89</v>
      </c>
      <c r="C2" s="2" t="s">
        <v>90</v>
      </c>
      <c r="D2" s="2" t="s">
        <v>91</v>
      </c>
    </row>
    <row r="3" spans="2:4" x14ac:dyDescent="0.25">
      <c r="B3" s="4">
        <v>30000</v>
      </c>
      <c r="C3" s="4">
        <v>3000</v>
      </c>
      <c r="D3" s="27">
        <f>B3*C3</f>
        <v>90000000</v>
      </c>
    </row>
    <row r="4" spans="2:4" x14ac:dyDescent="0.25">
      <c r="D4" s="28"/>
    </row>
    <row r="5" spans="2:4" x14ac:dyDescent="0.25">
      <c r="D5" s="28">
        <f>D3-'Costos de Producción (A)'!E95</f>
        <v>17267476.299999997</v>
      </c>
    </row>
    <row r="6" spans="2:4" x14ac:dyDescent="0.25">
      <c r="D6" s="28">
        <f>D5/12</f>
        <v>1438956.3583333332</v>
      </c>
    </row>
  </sheetData>
  <mergeCells count="1">
    <mergeCell ref="B1:D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1258DD-F8B3-41B7-8784-B924393CE578}">
  <dimension ref="B1:D11"/>
  <sheetViews>
    <sheetView workbookViewId="0">
      <selection activeCell="B1" sqref="B1:D1"/>
    </sheetView>
  </sheetViews>
  <sheetFormatPr baseColWidth="10" defaultRowHeight="15" x14ac:dyDescent="0.25"/>
  <cols>
    <col min="2" max="2" width="21.85546875" customWidth="1"/>
    <col min="3" max="3" width="18.140625" customWidth="1"/>
    <col min="4" max="4" width="19" customWidth="1"/>
  </cols>
  <sheetData>
    <row r="1" spans="2:4" x14ac:dyDescent="0.25">
      <c r="B1" s="125" t="s">
        <v>127</v>
      </c>
      <c r="C1" s="125"/>
      <c r="D1" s="125"/>
    </row>
    <row r="2" spans="2:4" x14ac:dyDescent="0.25">
      <c r="B2" s="85" t="s">
        <v>7</v>
      </c>
      <c r="C2" s="86" t="s">
        <v>8</v>
      </c>
      <c r="D2" s="87" t="s">
        <v>84</v>
      </c>
    </row>
    <row r="3" spans="2:4" x14ac:dyDescent="0.25">
      <c r="B3" s="133" t="s">
        <v>122</v>
      </c>
      <c r="C3" s="134"/>
      <c r="D3" s="135"/>
    </row>
    <row r="4" spans="2:4" x14ac:dyDescent="0.25">
      <c r="B4" s="64" t="s">
        <v>123</v>
      </c>
      <c r="C4" s="2" t="s">
        <v>124</v>
      </c>
      <c r="D4" s="65">
        <f>160*60000</f>
        <v>9600000</v>
      </c>
    </row>
    <row r="5" spans="2:4" x14ac:dyDescent="0.25">
      <c r="B5" s="64" t="s">
        <v>125</v>
      </c>
      <c r="C5" s="2" t="s">
        <v>126</v>
      </c>
      <c r="D5" s="65">
        <f>80*60000</f>
        <v>4800000</v>
      </c>
    </row>
    <row r="6" spans="2:4" x14ac:dyDescent="0.25">
      <c r="B6" s="133" t="s">
        <v>127</v>
      </c>
      <c r="C6" s="134"/>
      <c r="D6" s="135"/>
    </row>
    <row r="7" spans="2:4" x14ac:dyDescent="0.25">
      <c r="B7" s="64" t="s">
        <v>128</v>
      </c>
      <c r="C7" s="2" t="s">
        <v>129</v>
      </c>
      <c r="D7" s="65">
        <v>1400000</v>
      </c>
    </row>
    <row r="8" spans="2:4" x14ac:dyDescent="0.25">
      <c r="B8" s="64" t="s">
        <v>135</v>
      </c>
      <c r="C8" s="2" t="s">
        <v>130</v>
      </c>
      <c r="D8" s="65">
        <v>500000</v>
      </c>
    </row>
    <row r="9" spans="2:4" x14ac:dyDescent="0.25">
      <c r="B9" s="64" t="s">
        <v>131</v>
      </c>
      <c r="C9" s="2" t="s">
        <v>132</v>
      </c>
      <c r="D9" s="65">
        <v>3000000</v>
      </c>
    </row>
    <row r="10" spans="2:4" x14ac:dyDescent="0.25">
      <c r="B10" s="64" t="s">
        <v>133</v>
      </c>
      <c r="C10" s="2" t="s">
        <v>132</v>
      </c>
      <c r="D10" s="65">
        <v>5000000</v>
      </c>
    </row>
    <row r="11" spans="2:4" ht="15.75" thickBot="1" x14ac:dyDescent="0.3">
      <c r="B11" s="136" t="s">
        <v>134</v>
      </c>
      <c r="C11" s="137"/>
      <c r="D11" s="66">
        <f>SUM(D4:D5)+SUM(D7:D10)</f>
        <v>24300000</v>
      </c>
    </row>
  </sheetData>
  <mergeCells count="4">
    <mergeCell ref="B3:D3"/>
    <mergeCell ref="B6:D6"/>
    <mergeCell ref="B11:C11"/>
    <mergeCell ref="B1:D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210494-15F7-4C93-80EE-1F3BBEADBDD2}">
  <dimension ref="C2:K31"/>
  <sheetViews>
    <sheetView topLeftCell="A6" workbookViewId="0">
      <selection activeCell="C10" sqref="C10:J23"/>
    </sheetView>
  </sheetViews>
  <sheetFormatPr baseColWidth="10" defaultColWidth="9.140625" defaultRowHeight="15" x14ac:dyDescent="0.25"/>
  <cols>
    <col min="3" max="3" width="4.85546875" customWidth="1"/>
    <col min="4" max="4" width="21" bestFit="1" customWidth="1"/>
    <col min="5" max="5" width="18.7109375" customWidth="1"/>
    <col min="6" max="6" width="18.5703125" customWidth="1"/>
    <col min="7" max="7" width="17.5703125" customWidth="1"/>
    <col min="8" max="8" width="15.42578125" customWidth="1"/>
    <col min="9" max="9" width="16.140625" customWidth="1"/>
    <col min="10" max="10" width="15.42578125" customWidth="1"/>
    <col min="11" max="11" width="16.85546875" bestFit="1" customWidth="1"/>
  </cols>
  <sheetData>
    <row r="2" spans="3:11" x14ac:dyDescent="0.25">
      <c r="D2" s="92" t="s">
        <v>119</v>
      </c>
      <c r="E2" s="93">
        <v>0.08</v>
      </c>
      <c r="F2" s="138" t="s">
        <v>118</v>
      </c>
      <c r="G2" s="138"/>
    </row>
    <row r="3" spans="3:11" x14ac:dyDescent="0.25">
      <c r="D3" s="94"/>
      <c r="E3" s="95"/>
      <c r="F3" s="139" t="s">
        <v>161</v>
      </c>
      <c r="G3" s="140"/>
      <c r="H3" s="140"/>
      <c r="I3" s="141"/>
    </row>
    <row r="4" spans="3:11" x14ac:dyDescent="0.25">
      <c r="F4" s="91">
        <v>0.19</v>
      </c>
      <c r="G4" s="2"/>
      <c r="H4" s="2"/>
      <c r="I4" s="91">
        <v>0.28000000000000003</v>
      </c>
    </row>
    <row r="5" spans="3:11" x14ac:dyDescent="0.25">
      <c r="F5" s="2">
        <v>1090</v>
      </c>
      <c r="G5" s="2">
        <v>1700</v>
      </c>
      <c r="H5" s="2">
        <v>1700</v>
      </c>
      <c r="I5" s="2">
        <v>4100</v>
      </c>
    </row>
    <row r="6" spans="3:11" x14ac:dyDescent="0.25">
      <c r="F6" s="96">
        <f>F5*E8</f>
        <v>51300850</v>
      </c>
      <c r="G6" s="96">
        <f>G5*E8</f>
        <v>80010500</v>
      </c>
      <c r="H6" s="96">
        <f>G6</f>
        <v>80010500</v>
      </c>
      <c r="I6" s="96">
        <f>I5*E8</f>
        <v>192966500</v>
      </c>
    </row>
    <row r="8" spans="3:11" x14ac:dyDescent="0.25">
      <c r="D8" s="2" t="s">
        <v>162</v>
      </c>
      <c r="E8" s="97">
        <v>47065</v>
      </c>
    </row>
    <row r="9" spans="3:11" x14ac:dyDescent="0.25">
      <c r="C9" s="125" t="s">
        <v>160</v>
      </c>
      <c r="D9" s="125"/>
      <c r="E9" s="125"/>
      <c r="F9" s="125"/>
      <c r="G9" s="125"/>
      <c r="H9" s="125"/>
      <c r="I9" s="125"/>
      <c r="J9" s="125"/>
    </row>
    <row r="10" spans="3:11" ht="15.75" thickBot="1" x14ac:dyDescent="0.3">
      <c r="C10" s="88"/>
      <c r="D10" s="89" t="s">
        <v>121</v>
      </c>
      <c r="E10" s="82">
        <v>0</v>
      </c>
      <c r="F10" s="82">
        <v>1</v>
      </c>
      <c r="G10" s="82">
        <v>2</v>
      </c>
      <c r="H10" s="82">
        <v>3</v>
      </c>
      <c r="I10" s="82">
        <v>4</v>
      </c>
      <c r="J10" s="90">
        <v>5</v>
      </c>
      <c r="K10" s="29"/>
    </row>
    <row r="11" spans="3:11" ht="15.75" thickBot="1" x14ac:dyDescent="0.3">
      <c r="C11" s="62" t="s">
        <v>92</v>
      </c>
      <c r="D11" s="63" t="s">
        <v>93</v>
      </c>
      <c r="E11" s="32">
        <v>0</v>
      </c>
      <c r="F11" s="32">
        <f>'Ingresos (A)'!D3</f>
        <v>90000000</v>
      </c>
      <c r="G11" s="32">
        <f>F11*(1+$E$2)</f>
        <v>97200000</v>
      </c>
      <c r="H11" s="32">
        <f>G11*(1+$E$2)</f>
        <v>104976000</v>
      </c>
      <c r="I11" s="32">
        <f>H11*(1+$E$2)</f>
        <v>113374080.00000001</v>
      </c>
      <c r="J11" s="48">
        <f>I11*(1+$E$2)</f>
        <v>122444006.40000002</v>
      </c>
      <c r="K11" s="32"/>
    </row>
    <row r="12" spans="3:11" ht="15.75" thickBot="1" x14ac:dyDescent="0.3">
      <c r="C12" s="47" t="s">
        <v>94</v>
      </c>
      <c r="D12" s="33" t="s">
        <v>95</v>
      </c>
      <c r="E12" s="43">
        <f>'Costos de Producción (A)'!E4</f>
        <v>31410000</v>
      </c>
      <c r="F12" s="34">
        <f>E12*(1+$E$2)</f>
        <v>33922800</v>
      </c>
      <c r="G12" s="34">
        <f t="shared" ref="G12" si="0">F12*(1+$E$2)</f>
        <v>36636624</v>
      </c>
      <c r="H12" s="34">
        <f t="shared" ref="H12:I13" si="1">G12*(1+$E$2)</f>
        <v>39567553.920000002</v>
      </c>
      <c r="I12" s="34">
        <f t="shared" si="1"/>
        <v>42732958.233600006</v>
      </c>
      <c r="J12" s="34">
        <f>I12*(1+$E$2)</f>
        <v>46151594.892288007</v>
      </c>
      <c r="K12" s="34"/>
    </row>
    <row r="13" spans="3:11" ht="15.75" thickBot="1" x14ac:dyDescent="0.3">
      <c r="C13" s="47" t="s">
        <v>94</v>
      </c>
      <c r="D13" s="33" t="s">
        <v>96</v>
      </c>
      <c r="E13" s="43">
        <f>'Costos de Producción (A)'!E24</f>
        <v>25276123.699999999</v>
      </c>
      <c r="F13" s="34">
        <f>E13*(1+$E$2)</f>
        <v>27298213.596000001</v>
      </c>
      <c r="G13" s="34">
        <f t="shared" ref="G13" si="2">F13*(1+$E$2)</f>
        <v>29482070.683680002</v>
      </c>
      <c r="H13" s="34">
        <f t="shared" si="1"/>
        <v>31840636.338374402</v>
      </c>
      <c r="I13" s="34">
        <f t="shared" si="1"/>
        <v>34387887.245444357</v>
      </c>
      <c r="J13" s="34">
        <f t="shared" ref="J13" si="3">I13*(1+$E$2)</f>
        <v>37138918.225079909</v>
      </c>
      <c r="K13" s="34"/>
    </row>
    <row r="14" spans="3:11" ht="15.75" thickBot="1" x14ac:dyDescent="0.3">
      <c r="C14" s="47" t="s">
        <v>94</v>
      </c>
      <c r="D14" s="33" t="s">
        <v>97</v>
      </c>
      <c r="E14" s="43">
        <f>'Costos de Producción (A)'!F90</f>
        <v>10622000</v>
      </c>
      <c r="F14" s="34"/>
      <c r="G14" s="34"/>
      <c r="H14" s="34"/>
      <c r="I14" s="34"/>
      <c r="J14" s="49"/>
      <c r="K14" s="34"/>
    </row>
    <row r="15" spans="3:11" ht="15.75" thickBot="1" x14ac:dyDescent="0.3">
      <c r="C15" s="47"/>
      <c r="D15" s="35" t="s">
        <v>98</v>
      </c>
      <c r="E15" s="43">
        <f>'Costos de Producción (A)'!E45</f>
        <v>3300000</v>
      </c>
      <c r="F15" s="34">
        <f>E15*(1+$E$2)</f>
        <v>3564000.0000000005</v>
      </c>
      <c r="G15" s="34">
        <f t="shared" ref="G15:J15" si="4">F15*(1+$E$2)</f>
        <v>3849120.0000000009</v>
      </c>
      <c r="H15" s="34">
        <f t="shared" si="4"/>
        <v>4157049.6000000015</v>
      </c>
      <c r="I15" s="34">
        <f t="shared" si="4"/>
        <v>4489613.5680000018</v>
      </c>
      <c r="J15" s="34">
        <f t="shared" si="4"/>
        <v>4848782.6534400024</v>
      </c>
      <c r="K15" s="36"/>
    </row>
    <row r="16" spans="3:11" ht="15.75" thickBot="1" x14ac:dyDescent="0.3">
      <c r="C16" s="47" t="s">
        <v>92</v>
      </c>
      <c r="D16" s="31" t="s">
        <v>99</v>
      </c>
      <c r="E16" s="44">
        <f>SUM(E12:E15)</f>
        <v>70608123.700000003</v>
      </c>
      <c r="F16" s="32">
        <f>SUM(F12:F15)</f>
        <v>64785013.596000001</v>
      </c>
      <c r="G16" s="32">
        <f t="shared" ref="G16:J16" si="5">SUM(G12:G15)</f>
        <v>69967814.683679998</v>
      </c>
      <c r="H16" s="32">
        <f t="shared" si="5"/>
        <v>75565239.858374417</v>
      </c>
      <c r="I16" s="32">
        <f t="shared" si="5"/>
        <v>81610459.047044367</v>
      </c>
      <c r="J16" s="48">
        <f t="shared" si="5"/>
        <v>88139295.770807922</v>
      </c>
      <c r="K16" s="32"/>
    </row>
    <row r="17" spans="3:11" ht="15.75" thickBot="1" x14ac:dyDescent="0.3">
      <c r="C17" s="47" t="s">
        <v>92</v>
      </c>
      <c r="D17" s="37" t="s">
        <v>100</v>
      </c>
      <c r="E17" s="45">
        <f>E11-E16</f>
        <v>-70608123.700000003</v>
      </c>
      <c r="F17" s="32">
        <f>F11-F16</f>
        <v>25214986.403999999</v>
      </c>
      <c r="G17" s="32">
        <f t="shared" ref="G17:J17" si="6">G11-G16</f>
        <v>27232185.316320002</v>
      </c>
      <c r="H17" s="32">
        <f t="shared" si="6"/>
        <v>29410760.141625583</v>
      </c>
      <c r="I17" s="32">
        <f t="shared" si="6"/>
        <v>31763620.952955648</v>
      </c>
      <c r="J17" s="48">
        <f t="shared" si="6"/>
        <v>34304710.629192099</v>
      </c>
      <c r="K17" s="32"/>
    </row>
    <row r="18" spans="3:11" ht="15.75" thickBot="1" x14ac:dyDescent="0.3">
      <c r="C18" s="47" t="s">
        <v>101</v>
      </c>
      <c r="D18" s="38" t="s">
        <v>102</v>
      </c>
      <c r="E18">
        <v>0</v>
      </c>
      <c r="F18" s="39">
        <f>'Costos de Producción (A)'!E32</f>
        <v>2124400</v>
      </c>
      <c r="G18" s="39">
        <f>F18*1.05</f>
        <v>2230620</v>
      </c>
      <c r="H18" s="39">
        <f t="shared" ref="H18:J18" si="7">G18*1.05</f>
        <v>2342151</v>
      </c>
      <c r="I18" s="39">
        <f t="shared" si="7"/>
        <v>2459258.5500000003</v>
      </c>
      <c r="J18" s="50">
        <f t="shared" si="7"/>
        <v>2582221.4775000005</v>
      </c>
      <c r="K18" s="39"/>
    </row>
    <row r="19" spans="3:11" ht="15.75" thickBot="1" x14ac:dyDescent="0.3">
      <c r="C19" s="47" t="s">
        <v>92</v>
      </c>
      <c r="D19" s="31" t="s">
        <v>103</v>
      </c>
      <c r="E19" s="45">
        <f>E17</f>
        <v>-70608123.700000003</v>
      </c>
      <c r="F19" s="32">
        <f>F17-F18</f>
        <v>23090586.403999999</v>
      </c>
      <c r="G19" s="32">
        <f t="shared" ref="G19:J19" si="8">G17-G18</f>
        <v>25001565.316320002</v>
      </c>
      <c r="H19" s="32">
        <f t="shared" si="8"/>
        <v>27068609.141625583</v>
      </c>
      <c r="I19" s="32">
        <f t="shared" si="8"/>
        <v>29304362.402955648</v>
      </c>
      <c r="J19" s="48">
        <f t="shared" si="8"/>
        <v>31722489.1516921</v>
      </c>
      <c r="K19" s="32"/>
    </row>
    <row r="20" spans="3:11" ht="15.75" thickBot="1" x14ac:dyDescent="0.3">
      <c r="C20" s="47" t="s">
        <v>101</v>
      </c>
      <c r="D20" s="33" t="s">
        <v>104</v>
      </c>
      <c r="E20" s="28">
        <v>0</v>
      </c>
      <c r="F20" s="28">
        <v>0</v>
      </c>
      <c r="G20" s="28">
        <v>0</v>
      </c>
      <c r="H20" s="28">
        <v>0</v>
      </c>
      <c r="I20" s="28">
        <v>0</v>
      </c>
      <c r="J20" s="51">
        <v>0</v>
      </c>
      <c r="K20" s="34"/>
    </row>
    <row r="21" spans="3:11" ht="15.75" thickBot="1" x14ac:dyDescent="0.3">
      <c r="C21" s="52" t="s">
        <v>105</v>
      </c>
      <c r="D21" s="41" t="s">
        <v>106</v>
      </c>
      <c r="E21" s="45">
        <f>E19-E20</f>
        <v>-70608123.700000003</v>
      </c>
      <c r="F21" s="45">
        <f t="shared" ref="F21:J21" si="9">F19-F20</f>
        <v>23090586.403999999</v>
      </c>
      <c r="G21" s="45">
        <f t="shared" si="9"/>
        <v>25001565.316320002</v>
      </c>
      <c r="H21" s="45">
        <f t="shared" si="9"/>
        <v>27068609.141625583</v>
      </c>
      <c r="I21" s="45">
        <f t="shared" si="9"/>
        <v>29304362.402955648</v>
      </c>
      <c r="J21" s="53">
        <f t="shared" si="9"/>
        <v>31722489.1516921</v>
      </c>
      <c r="K21" s="32"/>
    </row>
    <row r="22" spans="3:11" ht="15.75" thickBot="1" x14ac:dyDescent="0.3">
      <c r="C22" s="54"/>
      <c r="D22" t="s">
        <v>102</v>
      </c>
      <c r="E22" s="28">
        <f>E18</f>
        <v>0</v>
      </c>
      <c r="F22" s="28">
        <f t="shared" ref="F22:J22" si="10">F18</f>
        <v>2124400</v>
      </c>
      <c r="G22" s="28">
        <f t="shared" si="10"/>
        <v>2230620</v>
      </c>
      <c r="H22" s="28">
        <f t="shared" si="10"/>
        <v>2342151</v>
      </c>
      <c r="I22" s="28">
        <f t="shared" si="10"/>
        <v>2459258.5500000003</v>
      </c>
      <c r="J22" s="51">
        <f t="shared" si="10"/>
        <v>2582221.4775000005</v>
      </c>
    </row>
    <row r="23" spans="3:11" ht="15.75" thickBot="1" x14ac:dyDescent="0.3">
      <c r="C23" s="54"/>
      <c r="D23" s="59" t="s">
        <v>117</v>
      </c>
      <c r="E23" s="60">
        <f>E21+E18</f>
        <v>-70608123.700000003</v>
      </c>
      <c r="F23" s="60">
        <f>F21+F22</f>
        <v>25214986.403999999</v>
      </c>
      <c r="G23" s="60">
        <f t="shared" ref="G23:J23" si="11">G21+G22</f>
        <v>27232185.316320002</v>
      </c>
      <c r="H23" s="60">
        <f t="shared" si="11"/>
        <v>29410760.141625583</v>
      </c>
      <c r="I23" s="60">
        <f t="shared" si="11"/>
        <v>31763620.952955648</v>
      </c>
      <c r="J23" s="61">
        <f t="shared" si="11"/>
        <v>34304710.629192099</v>
      </c>
    </row>
    <row r="24" spans="3:11" ht="15.75" thickBot="1" x14ac:dyDescent="0.3">
      <c r="C24" s="55"/>
      <c r="D24" s="56" t="s">
        <v>120</v>
      </c>
      <c r="E24" s="56"/>
      <c r="F24" s="57">
        <f>F23/12</f>
        <v>2101248.8670000001</v>
      </c>
      <c r="G24" s="57">
        <f t="shared" ref="G24:J24" si="12">G23/12</f>
        <v>2269348.77636</v>
      </c>
      <c r="H24" s="57">
        <f t="shared" si="12"/>
        <v>2450896.6784687988</v>
      </c>
      <c r="I24" s="57">
        <f t="shared" si="12"/>
        <v>2646968.4127463042</v>
      </c>
      <c r="J24" s="58">
        <f t="shared" si="12"/>
        <v>2858725.8857660084</v>
      </c>
    </row>
    <row r="25" spans="3:11" x14ac:dyDescent="0.25">
      <c r="D25" t="s">
        <v>108</v>
      </c>
      <c r="E25" s="46">
        <v>0.2</v>
      </c>
    </row>
    <row r="26" spans="3:11" x14ac:dyDescent="0.25">
      <c r="D26" t="s">
        <v>109</v>
      </c>
      <c r="E26" s="28">
        <f>NPV(E25,F23:J23)+E23</f>
        <v>15440118.652516991</v>
      </c>
    </row>
    <row r="27" spans="3:11" x14ac:dyDescent="0.25">
      <c r="D27" t="s">
        <v>110</v>
      </c>
      <c r="E27" s="46">
        <f>IRR(E23:J23)</f>
        <v>0.29052797235176286</v>
      </c>
    </row>
    <row r="28" spans="3:11" x14ac:dyDescent="0.25">
      <c r="D28" t="s">
        <v>111</v>
      </c>
      <c r="E28">
        <f>E29/E30</f>
        <v>1.0529328828582729</v>
      </c>
    </row>
    <row r="29" spans="3:11" x14ac:dyDescent="0.25">
      <c r="D29" t="s">
        <v>112</v>
      </c>
      <c r="E29" s="42">
        <f>NPV(E25,F11:J11)+E11</f>
        <v>307132500</v>
      </c>
    </row>
    <row r="30" spans="3:11" x14ac:dyDescent="0.25">
      <c r="D30" t="s">
        <v>113</v>
      </c>
      <c r="E30" s="43">
        <f>NPV(E25,F16:J16)+E16</f>
        <v>291692381.34748304</v>
      </c>
    </row>
    <row r="31" spans="3:11" x14ac:dyDescent="0.25">
      <c r="D31" t="s">
        <v>114</v>
      </c>
      <c r="E31">
        <v>2</v>
      </c>
    </row>
  </sheetData>
  <mergeCells count="3">
    <mergeCell ref="C9:J9"/>
    <mergeCell ref="F2:G2"/>
    <mergeCell ref="F3:I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683D9D-5213-494E-9F14-CE3577CE6341}">
  <dimension ref="B1:D17"/>
  <sheetViews>
    <sheetView workbookViewId="0">
      <selection activeCell="C18" sqref="C18"/>
    </sheetView>
  </sheetViews>
  <sheetFormatPr baseColWidth="10" defaultColWidth="11.42578125" defaultRowHeight="15" x14ac:dyDescent="0.25"/>
  <cols>
    <col min="2" max="2" width="24.85546875" customWidth="1"/>
    <col min="3" max="3" width="22.85546875" customWidth="1"/>
    <col min="4" max="4" width="17.5703125" customWidth="1"/>
  </cols>
  <sheetData>
    <row r="1" spans="2:4" x14ac:dyDescent="0.25">
      <c r="B1" s="125" t="s">
        <v>137</v>
      </c>
      <c r="C1" s="125"/>
      <c r="D1" s="125"/>
    </row>
    <row r="2" spans="2:4" x14ac:dyDescent="0.25">
      <c r="B2" s="2" t="s">
        <v>89</v>
      </c>
      <c r="C2" s="2" t="s">
        <v>90</v>
      </c>
      <c r="D2" s="2" t="s">
        <v>91</v>
      </c>
    </row>
    <row r="3" spans="2:4" x14ac:dyDescent="0.25">
      <c r="B3" s="4">
        <v>30000</v>
      </c>
      <c r="C3" s="4">
        <f>(4000*0.7)*2</f>
        <v>5600</v>
      </c>
      <c r="D3" s="27">
        <f>B3*C3</f>
        <v>168000000</v>
      </c>
    </row>
    <row r="4" spans="2:4" x14ac:dyDescent="0.25">
      <c r="D4" s="28"/>
    </row>
    <row r="5" spans="2:4" x14ac:dyDescent="0.25">
      <c r="D5" s="28">
        <f>D3-'Costos de Producción (A)'!E95</f>
        <v>95267476.299999997</v>
      </c>
    </row>
    <row r="6" spans="2:4" x14ac:dyDescent="0.25">
      <c r="D6" s="28">
        <f>D5/12</f>
        <v>7938956.3583333334</v>
      </c>
    </row>
    <row r="10" spans="2:4" x14ac:dyDescent="0.25">
      <c r="B10" s="125" t="s">
        <v>147</v>
      </c>
      <c r="C10" s="125"/>
      <c r="D10" s="125"/>
    </row>
    <row r="11" spans="2:4" x14ac:dyDescent="0.25">
      <c r="B11" s="2" t="s">
        <v>89</v>
      </c>
      <c r="C11" s="2" t="s">
        <v>90</v>
      </c>
      <c r="D11" s="2" t="s">
        <v>91</v>
      </c>
    </row>
    <row r="12" spans="2:4" x14ac:dyDescent="0.25">
      <c r="B12" s="4">
        <v>30000</v>
      </c>
      <c r="C12" s="4">
        <f>(3600*0.7)*2</f>
        <v>5040</v>
      </c>
      <c r="D12" s="27">
        <f>B12*C12</f>
        <v>151200000</v>
      </c>
    </row>
    <row r="15" spans="2:4" x14ac:dyDescent="0.25">
      <c r="B15" s="142" t="s">
        <v>148</v>
      </c>
      <c r="C15" s="143"/>
      <c r="D15" s="144"/>
    </row>
    <row r="16" spans="2:4" x14ac:dyDescent="0.25">
      <c r="B16" s="2" t="s">
        <v>89</v>
      </c>
      <c r="C16" s="2" t="s">
        <v>90</v>
      </c>
      <c r="D16" s="2" t="s">
        <v>91</v>
      </c>
    </row>
    <row r="17" spans="2:4" x14ac:dyDescent="0.25">
      <c r="B17" s="4">
        <v>30000</v>
      </c>
      <c r="C17" s="4">
        <f>(4400*0.7)*2</f>
        <v>6160</v>
      </c>
      <c r="D17" s="27">
        <f>B17*C17</f>
        <v>184800000</v>
      </c>
    </row>
  </sheetData>
  <mergeCells count="3">
    <mergeCell ref="B1:D1"/>
    <mergeCell ref="B10:D10"/>
    <mergeCell ref="B15:D15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AA29B5-AD94-49D1-ADE7-BC24B7CC6353}">
  <dimension ref="C2:K41"/>
  <sheetViews>
    <sheetView topLeftCell="A4" workbookViewId="0">
      <selection activeCell="G33" sqref="G33:H36"/>
    </sheetView>
  </sheetViews>
  <sheetFormatPr baseColWidth="10" defaultColWidth="9.140625" defaultRowHeight="15" x14ac:dyDescent="0.25"/>
  <cols>
    <col min="3" max="3" width="4.85546875" customWidth="1"/>
    <col min="4" max="4" width="28" customWidth="1"/>
    <col min="5" max="5" width="19.140625" customWidth="1"/>
    <col min="6" max="6" width="26.85546875" bestFit="1" customWidth="1"/>
    <col min="7" max="7" width="19.85546875" customWidth="1"/>
    <col min="8" max="8" width="16.42578125" bestFit="1" customWidth="1"/>
    <col min="9" max="9" width="20.42578125" bestFit="1" customWidth="1"/>
    <col min="10" max="10" width="16.28515625" bestFit="1" customWidth="1"/>
    <col min="11" max="11" width="16.85546875" bestFit="1" customWidth="1"/>
  </cols>
  <sheetData>
    <row r="2" spans="3:11" x14ac:dyDescent="0.25">
      <c r="D2" s="2" t="s">
        <v>119</v>
      </c>
      <c r="E2" s="91">
        <v>0.08</v>
      </c>
      <c r="F2" s="145" t="s">
        <v>161</v>
      </c>
      <c r="G2" s="145"/>
      <c r="H2" s="145"/>
      <c r="I2" s="145"/>
    </row>
    <row r="3" spans="3:11" x14ac:dyDescent="0.25">
      <c r="F3" s="91">
        <v>0.19</v>
      </c>
      <c r="G3" s="2"/>
      <c r="H3" s="2"/>
      <c r="I3" s="91">
        <v>0.28000000000000003</v>
      </c>
    </row>
    <row r="4" spans="3:11" x14ac:dyDescent="0.25">
      <c r="F4" s="2">
        <v>1090</v>
      </c>
      <c r="G4" s="2">
        <v>1700</v>
      </c>
      <c r="H4" s="2">
        <v>1700</v>
      </c>
      <c r="I4" s="2">
        <v>4100</v>
      </c>
    </row>
    <row r="5" spans="3:11" x14ac:dyDescent="0.25">
      <c r="F5" s="96">
        <f>F4*E7</f>
        <v>51300850</v>
      </c>
      <c r="G5" s="96">
        <f>G4*E7</f>
        <v>80010500</v>
      </c>
      <c r="H5" s="96">
        <f>G5</f>
        <v>80010500</v>
      </c>
      <c r="I5" s="96">
        <f>I4*E7</f>
        <v>192966500</v>
      </c>
    </row>
    <row r="7" spans="3:11" x14ac:dyDescent="0.25">
      <c r="D7" s="2" t="s">
        <v>162</v>
      </c>
      <c r="E7" s="97">
        <v>47065</v>
      </c>
    </row>
    <row r="9" spans="3:11" x14ac:dyDescent="0.25">
      <c r="C9" s="125" t="s">
        <v>121</v>
      </c>
      <c r="D9" s="125"/>
      <c r="E9" s="75">
        <v>0</v>
      </c>
      <c r="F9" s="75">
        <v>1</v>
      </c>
      <c r="G9" s="75">
        <v>2</v>
      </c>
      <c r="H9" s="75">
        <v>3</v>
      </c>
      <c r="I9" s="75">
        <v>4</v>
      </c>
      <c r="J9" s="75">
        <v>5</v>
      </c>
      <c r="K9" s="29"/>
    </row>
    <row r="10" spans="3:11" x14ac:dyDescent="0.25">
      <c r="C10" s="98" t="s">
        <v>92</v>
      </c>
      <c r="D10" s="99" t="s">
        <v>93</v>
      </c>
      <c r="E10" s="100">
        <v>0</v>
      </c>
      <c r="F10" s="100">
        <f>'Ingresos (DO)'!D3</f>
        <v>168000000</v>
      </c>
      <c r="G10" s="100">
        <f>F10*(1+$E$2)</f>
        <v>181440000</v>
      </c>
      <c r="H10" s="100">
        <f t="shared" ref="H10:I10" si="0">G10*(1+$E$2)</f>
        <v>195955200</v>
      </c>
      <c r="I10" s="100">
        <f t="shared" si="0"/>
        <v>211631616</v>
      </c>
      <c r="J10" s="100">
        <f>I10*(1+$E$2)</f>
        <v>228562145.28</v>
      </c>
      <c r="K10" s="32"/>
    </row>
    <row r="11" spans="3:11" x14ac:dyDescent="0.25">
      <c r="C11" s="98" t="s">
        <v>94</v>
      </c>
      <c r="D11" s="101" t="s">
        <v>95</v>
      </c>
      <c r="E11" s="102">
        <f>'Costos de Producción (A)'!E4</f>
        <v>31410000</v>
      </c>
      <c r="F11" s="103">
        <f>E11*(1+$E$2)</f>
        <v>33922800</v>
      </c>
      <c r="G11" s="103">
        <f t="shared" ref="G11:J11" si="1">F11*(1+$E$2)</f>
        <v>36636624</v>
      </c>
      <c r="H11" s="103">
        <f t="shared" si="1"/>
        <v>39567553.920000002</v>
      </c>
      <c r="I11" s="103">
        <f t="shared" si="1"/>
        <v>42732958.233600006</v>
      </c>
      <c r="J11" s="103">
        <f t="shared" si="1"/>
        <v>46151594.892288007</v>
      </c>
      <c r="K11" s="34"/>
    </row>
    <row r="12" spans="3:11" x14ac:dyDescent="0.25">
      <c r="C12" s="98" t="s">
        <v>94</v>
      </c>
      <c r="D12" s="101" t="s">
        <v>96</v>
      </c>
      <c r="E12" s="102">
        <f>'Costos de Producción (A)'!E24</f>
        <v>25276123.699999999</v>
      </c>
      <c r="F12" s="103">
        <f>E12*(1+$E$2)</f>
        <v>27298213.596000001</v>
      </c>
      <c r="G12" s="103">
        <f t="shared" ref="G12:J12" si="2">F12*(1+$E$2)</f>
        <v>29482070.683680002</v>
      </c>
      <c r="H12" s="103">
        <f t="shared" si="2"/>
        <v>31840636.338374402</v>
      </c>
      <c r="I12" s="103">
        <f t="shared" si="2"/>
        <v>34387887.245444357</v>
      </c>
      <c r="J12" s="103">
        <f t="shared" si="2"/>
        <v>37138918.225079909</v>
      </c>
      <c r="K12" s="34"/>
    </row>
    <row r="13" spans="3:11" x14ac:dyDescent="0.25">
      <c r="C13" s="98" t="s">
        <v>94</v>
      </c>
      <c r="D13" s="101" t="s">
        <v>97</v>
      </c>
      <c r="E13" s="102">
        <f>'Costos de Producción (A)'!F90</f>
        <v>10622000</v>
      </c>
      <c r="F13" s="103"/>
      <c r="G13" s="103"/>
      <c r="H13" s="103"/>
      <c r="I13" s="103"/>
      <c r="J13" s="103"/>
      <c r="K13" s="34"/>
    </row>
    <row r="14" spans="3:11" x14ac:dyDescent="0.25">
      <c r="C14" s="98" t="s">
        <v>101</v>
      </c>
      <c r="D14" s="104" t="s">
        <v>98</v>
      </c>
      <c r="E14" s="102">
        <f>'Costos de Producción (A)'!E45</f>
        <v>3300000</v>
      </c>
      <c r="F14" s="103">
        <f t="shared" ref="F14:J14" si="3">E14*(1+$E$2)</f>
        <v>3564000.0000000005</v>
      </c>
      <c r="G14" s="103">
        <f>F14*(1+$E$2)</f>
        <v>3849120.0000000009</v>
      </c>
      <c r="H14" s="103">
        <f t="shared" si="3"/>
        <v>4157049.6000000015</v>
      </c>
      <c r="I14" s="103">
        <f t="shared" si="3"/>
        <v>4489613.5680000018</v>
      </c>
      <c r="J14" s="103">
        <f t="shared" si="3"/>
        <v>4848782.6534400024</v>
      </c>
      <c r="K14" s="36"/>
    </row>
    <row r="15" spans="3:11" x14ac:dyDescent="0.25">
      <c r="C15" s="98" t="s">
        <v>101</v>
      </c>
      <c r="D15" s="104" t="s">
        <v>166</v>
      </c>
      <c r="E15" s="105">
        <v>21000000</v>
      </c>
      <c r="F15" s="106">
        <f>12000000*(1+$E$2)</f>
        <v>12960000</v>
      </c>
      <c r="G15" s="106">
        <f>F15*(1+$E$2)</f>
        <v>13996800</v>
      </c>
      <c r="H15" s="106">
        <f t="shared" ref="H15:J16" si="4">G15*(1+$E$2)</f>
        <v>15116544.000000002</v>
      </c>
      <c r="I15" s="106">
        <f t="shared" si="4"/>
        <v>16325867.520000003</v>
      </c>
      <c r="J15" s="106">
        <f t="shared" si="4"/>
        <v>17631936.921600007</v>
      </c>
      <c r="K15" s="36"/>
    </row>
    <row r="16" spans="3:11" x14ac:dyDescent="0.25">
      <c r="C16" s="98" t="s">
        <v>101</v>
      </c>
      <c r="D16" s="104" t="s">
        <v>165</v>
      </c>
      <c r="E16" s="105">
        <v>24000000</v>
      </c>
      <c r="F16" s="106">
        <f>E16*(1+$E$2)</f>
        <v>25920000</v>
      </c>
      <c r="G16" s="106">
        <f t="shared" ref="G16:J16" si="5">F16*(1+$E$2)</f>
        <v>27993600</v>
      </c>
      <c r="H16" s="106">
        <f t="shared" si="4"/>
        <v>30233088.000000004</v>
      </c>
      <c r="I16" s="106">
        <f t="shared" si="4"/>
        <v>32651735.040000007</v>
      </c>
      <c r="J16" s="106">
        <f t="shared" si="4"/>
        <v>35263873.843200013</v>
      </c>
      <c r="K16" s="36"/>
    </row>
    <row r="17" spans="3:11" x14ac:dyDescent="0.25">
      <c r="C17" s="98" t="s">
        <v>92</v>
      </c>
      <c r="D17" s="99" t="s">
        <v>99</v>
      </c>
      <c r="E17" s="107">
        <f>SUM(E11:E16)</f>
        <v>115608123.7</v>
      </c>
      <c r="F17" s="107">
        <f>SUM(F11:F16)</f>
        <v>103665013.596</v>
      </c>
      <c r="G17" s="107">
        <f>SUM(G11:G16)</f>
        <v>111958214.68368</v>
      </c>
      <c r="H17" s="107">
        <f>SUM(H11:H16)</f>
        <v>120914871.85837442</v>
      </c>
      <c r="I17" s="107">
        <f>SUM(I11:I16)</f>
        <v>130588061.60704438</v>
      </c>
      <c r="J17" s="107">
        <f>SUM(J11:J16)</f>
        <v>141035106.53560793</v>
      </c>
      <c r="K17" s="32"/>
    </row>
    <row r="18" spans="3:11" x14ac:dyDescent="0.25">
      <c r="C18" s="98" t="s">
        <v>92</v>
      </c>
      <c r="D18" s="108" t="s">
        <v>100</v>
      </c>
      <c r="E18" s="109">
        <f>E10-E17</f>
        <v>-115608123.7</v>
      </c>
      <c r="F18" s="100">
        <f>F10-F17</f>
        <v>64334986.403999999</v>
      </c>
      <c r="G18" s="100">
        <f t="shared" ref="G18:J18" si="6">G10-G17</f>
        <v>69481785.316320002</v>
      </c>
      <c r="H18" s="100">
        <f t="shared" si="6"/>
        <v>75040328.141625583</v>
      </c>
      <c r="I18" s="100">
        <f t="shared" si="6"/>
        <v>81043554.392955616</v>
      </c>
      <c r="J18" s="100">
        <f t="shared" si="6"/>
        <v>87527038.744392067</v>
      </c>
      <c r="K18" s="32"/>
    </row>
    <row r="19" spans="3:11" x14ac:dyDescent="0.25">
      <c r="C19" s="98" t="s">
        <v>101</v>
      </c>
      <c r="D19" s="110" t="s">
        <v>102</v>
      </c>
      <c r="E19" s="2">
        <v>0</v>
      </c>
      <c r="F19" s="111">
        <f>'Costos de Producción (A)'!E32</f>
        <v>2124400</v>
      </c>
      <c r="G19" s="111">
        <f>F19*1.05</f>
        <v>2230620</v>
      </c>
      <c r="H19" s="111">
        <f t="shared" ref="H19:J19" si="7">G19*1.05</f>
        <v>2342151</v>
      </c>
      <c r="I19" s="111">
        <f t="shared" si="7"/>
        <v>2459258.5500000003</v>
      </c>
      <c r="J19" s="111">
        <f t="shared" si="7"/>
        <v>2582221.4775000005</v>
      </c>
      <c r="K19" s="39"/>
    </row>
    <row r="20" spans="3:11" x14ac:dyDescent="0.25">
      <c r="C20" s="98" t="s">
        <v>92</v>
      </c>
      <c r="D20" s="99" t="s">
        <v>103</v>
      </c>
      <c r="E20" s="109">
        <f>E18</f>
        <v>-115608123.7</v>
      </c>
      <c r="F20" s="100">
        <f>F18-F19</f>
        <v>62210586.403999999</v>
      </c>
      <c r="G20" s="100">
        <f t="shared" ref="G20:J20" si="8">G18-G19</f>
        <v>67251165.316320002</v>
      </c>
      <c r="H20" s="100">
        <f>H18-H19</f>
        <v>72698177.141625583</v>
      </c>
      <c r="I20" s="100">
        <f t="shared" si="8"/>
        <v>78584295.842955619</v>
      </c>
      <c r="J20" s="100">
        <f t="shared" si="8"/>
        <v>84944817.266892061</v>
      </c>
      <c r="K20" s="32"/>
    </row>
    <row r="21" spans="3:11" x14ac:dyDescent="0.25">
      <c r="C21" s="98" t="s">
        <v>101</v>
      </c>
      <c r="D21" s="101" t="s">
        <v>104</v>
      </c>
      <c r="E21" s="112">
        <v>0</v>
      </c>
      <c r="F21" s="112">
        <f t="shared" ref="F21:I21" si="9">((((F20/$E$7)-$H$4)*0.28)+116)*$E$7</f>
        <v>475564.19311999937</v>
      </c>
      <c r="G21" s="112">
        <f t="shared" si="9"/>
        <v>1886926.2885695992</v>
      </c>
      <c r="H21" s="112">
        <f t="shared" si="9"/>
        <v>3412089.5996551635</v>
      </c>
      <c r="I21" s="112">
        <f t="shared" si="9"/>
        <v>5060202.8360275738</v>
      </c>
      <c r="J21" s="112">
        <f>((((J20/$E$7)-$H$4)*0.28)+116)*$E$7</f>
        <v>6841148.8347297776</v>
      </c>
      <c r="K21" s="34"/>
    </row>
    <row r="22" spans="3:11" x14ac:dyDescent="0.25">
      <c r="C22" s="113" t="s">
        <v>105</v>
      </c>
      <c r="D22" s="114" t="s">
        <v>106</v>
      </c>
      <c r="E22" s="109">
        <f>E20-E21</f>
        <v>-115608123.7</v>
      </c>
      <c r="F22" s="109">
        <f t="shared" ref="F22:J22" si="10">F20-F21</f>
        <v>61735022.210879996</v>
      </c>
      <c r="G22" s="109">
        <f t="shared" si="10"/>
        <v>65364239.027750403</v>
      </c>
      <c r="H22" s="109">
        <f>H20-H21</f>
        <v>69286087.541970417</v>
      </c>
      <c r="I22" s="109">
        <f t="shared" si="10"/>
        <v>73524093.006928042</v>
      </c>
      <c r="J22" s="109">
        <f t="shared" si="10"/>
        <v>78103668.432162285</v>
      </c>
      <c r="K22" s="32"/>
    </row>
    <row r="23" spans="3:11" x14ac:dyDescent="0.25">
      <c r="C23" s="2"/>
      <c r="D23" s="2" t="s">
        <v>102</v>
      </c>
      <c r="E23" s="112">
        <f>E19</f>
        <v>0</v>
      </c>
      <c r="F23" s="112">
        <f t="shared" ref="F23:J23" si="11">F19</f>
        <v>2124400</v>
      </c>
      <c r="G23" s="112">
        <f t="shared" si="11"/>
        <v>2230620</v>
      </c>
      <c r="H23" s="112">
        <f t="shared" si="11"/>
        <v>2342151</v>
      </c>
      <c r="I23" s="112">
        <f t="shared" si="11"/>
        <v>2459258.5500000003</v>
      </c>
      <c r="J23" s="112">
        <f t="shared" si="11"/>
        <v>2582221.4775000005</v>
      </c>
    </row>
    <row r="24" spans="3:11" x14ac:dyDescent="0.25">
      <c r="C24" s="2"/>
      <c r="D24" s="2" t="s">
        <v>167</v>
      </c>
      <c r="E24" s="112">
        <f>E22+E19</f>
        <v>-115608123.7</v>
      </c>
      <c r="F24" s="112">
        <f>F22+F23</f>
        <v>63859422.210879996</v>
      </c>
      <c r="G24" s="112">
        <f>G22+G23</f>
        <v>67594859.027750403</v>
      </c>
      <c r="H24" s="112">
        <f>H22+H23</f>
        <v>71628238.541970417</v>
      </c>
      <c r="I24" s="112">
        <f>I22+I23</f>
        <v>75983351.556928039</v>
      </c>
      <c r="J24" s="112">
        <f>J22+J23</f>
        <v>80685889.909662291</v>
      </c>
    </row>
    <row r="25" spans="3:11" x14ac:dyDescent="0.25">
      <c r="F25" s="28">
        <f>F24/12</f>
        <v>5321618.5175733333</v>
      </c>
      <c r="G25" s="28">
        <f t="shared" ref="G25:J25" si="12">G24/12</f>
        <v>5632904.9189792005</v>
      </c>
      <c r="H25" s="28">
        <f t="shared" si="12"/>
        <v>5969019.8784975344</v>
      </c>
      <c r="I25" s="28">
        <f t="shared" si="12"/>
        <v>6331945.9630773365</v>
      </c>
      <c r="J25" s="28">
        <f t="shared" si="12"/>
        <v>6723824.159138524</v>
      </c>
    </row>
    <row r="26" spans="3:11" x14ac:dyDescent="0.25">
      <c r="D26" t="s">
        <v>108</v>
      </c>
      <c r="E26" s="46">
        <v>0.2</v>
      </c>
    </row>
    <row r="27" spans="3:11" x14ac:dyDescent="0.25">
      <c r="D27" t="s">
        <v>109</v>
      </c>
      <c r="E27" s="28">
        <f>NPV(E26,F24:J24)+E24</f>
        <v>95069518.072298899</v>
      </c>
    </row>
    <row r="28" spans="3:11" x14ac:dyDescent="0.25">
      <c r="D28" t="s">
        <v>110</v>
      </c>
      <c r="E28" s="46">
        <f>IRR(E24:J24)</f>
        <v>0.52134366275578259</v>
      </c>
    </row>
    <row r="29" spans="3:11" x14ac:dyDescent="0.25">
      <c r="D29" t="s">
        <v>111</v>
      </c>
      <c r="E29">
        <f>E30/E31</f>
        <v>1.2214448659345698</v>
      </c>
    </row>
    <row r="30" spans="3:11" x14ac:dyDescent="0.25">
      <c r="D30" t="s">
        <v>112</v>
      </c>
      <c r="E30" s="42">
        <f>NPV(E26,F10:J10)+E10</f>
        <v>573314000</v>
      </c>
    </row>
    <row r="31" spans="3:11" x14ac:dyDescent="0.25">
      <c r="D31" t="s">
        <v>113</v>
      </c>
      <c r="E31" s="43">
        <f>NPV(E26,F17:J17)+E17</f>
        <v>469373621.34748304</v>
      </c>
    </row>
    <row r="32" spans="3:11" x14ac:dyDescent="0.25">
      <c r="D32" t="s">
        <v>114</v>
      </c>
      <c r="E32">
        <v>2</v>
      </c>
    </row>
    <row r="33" spans="4:8" x14ac:dyDescent="0.25">
      <c r="D33" s="1" t="s">
        <v>141</v>
      </c>
      <c r="E33" s="1" t="s">
        <v>168</v>
      </c>
      <c r="G33" s="1" t="s">
        <v>141</v>
      </c>
      <c r="H33" s="1" t="s">
        <v>168</v>
      </c>
    </row>
    <row r="34" spans="4:8" x14ac:dyDescent="0.25">
      <c r="D34" s="2" t="s">
        <v>109</v>
      </c>
      <c r="E34" s="4">
        <v>95069518.072298899</v>
      </c>
      <c r="G34" s="2" t="s">
        <v>109</v>
      </c>
      <c r="H34" s="4">
        <v>15440118.652516991</v>
      </c>
    </row>
    <row r="35" spans="4:8" x14ac:dyDescent="0.25">
      <c r="D35" s="2" t="s">
        <v>110</v>
      </c>
      <c r="E35" s="77">
        <v>0.52134366275578259</v>
      </c>
      <c r="G35" s="2" t="s">
        <v>110</v>
      </c>
      <c r="H35" s="77">
        <v>0.29052797235176286</v>
      </c>
    </row>
    <row r="36" spans="4:8" x14ac:dyDescent="0.25">
      <c r="D36" s="2" t="s">
        <v>111</v>
      </c>
      <c r="E36" s="79">
        <v>1.2214448659345698</v>
      </c>
      <c r="G36" s="2" t="s">
        <v>111</v>
      </c>
      <c r="H36" s="149">
        <v>1.0529328828582729</v>
      </c>
    </row>
    <row r="39" spans="4:8" x14ac:dyDescent="0.25">
      <c r="F39" s="150">
        <f>E34-H34</f>
        <v>79629399.419781908</v>
      </c>
    </row>
    <row r="40" spans="4:8" x14ac:dyDescent="0.25">
      <c r="F40" s="71">
        <f t="shared" ref="F40:F41" si="13">E35-H35</f>
        <v>0.23081569040401972</v>
      </c>
    </row>
    <row r="41" spans="4:8" x14ac:dyDescent="0.25">
      <c r="F41" s="150">
        <f t="shared" si="13"/>
        <v>0.16851198307629689</v>
      </c>
    </row>
  </sheetData>
  <mergeCells count="2">
    <mergeCell ref="C9:D9"/>
    <mergeCell ref="F2:I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9C953C-077C-4F4A-8910-0FA258F69B03}">
  <dimension ref="A1:G51"/>
  <sheetViews>
    <sheetView topLeftCell="A25" workbookViewId="0">
      <selection activeCell="G49" sqref="G49"/>
    </sheetView>
  </sheetViews>
  <sheetFormatPr baseColWidth="10" defaultRowHeight="15" x14ac:dyDescent="0.25"/>
  <cols>
    <col min="1" max="1" width="19.5703125" customWidth="1"/>
    <col min="2" max="2" width="25.5703125" customWidth="1"/>
    <col min="3" max="4" width="15.42578125" customWidth="1"/>
    <col min="5" max="5" width="16.140625" customWidth="1"/>
    <col min="6" max="6" width="17" customWidth="1"/>
  </cols>
  <sheetData>
    <row r="1" spans="1:7" x14ac:dyDescent="0.25">
      <c r="A1" t="s">
        <v>121</v>
      </c>
      <c r="B1">
        <v>1</v>
      </c>
      <c r="C1">
        <v>2</v>
      </c>
      <c r="D1">
        <v>3</v>
      </c>
      <c r="E1">
        <v>4</v>
      </c>
      <c r="F1">
        <v>5</v>
      </c>
    </row>
    <row r="2" spans="1:7" x14ac:dyDescent="0.25">
      <c r="A2" t="s">
        <v>136</v>
      </c>
      <c r="B2" s="67">
        <f>'Flujo de caja (A)'!F23/1000000</f>
        <v>25.214986403999998</v>
      </c>
      <c r="C2" s="67">
        <f>'Flujo de caja (A)'!G23/1000000</f>
        <v>27.232185316320002</v>
      </c>
      <c r="D2" s="67">
        <f>'Flujo de caja (A)'!H23/1000000</f>
        <v>29.410760141625584</v>
      </c>
      <c r="E2" s="67">
        <f>'Flujo de caja (A)'!I23/1000000</f>
        <v>31.763620952955648</v>
      </c>
      <c r="F2" s="67">
        <f>'Flujo de caja (A)'!J23/1000000</f>
        <v>34.304710629192101</v>
      </c>
    </row>
    <row r="3" spans="1:7" x14ac:dyDescent="0.25">
      <c r="A3" t="s">
        <v>137</v>
      </c>
      <c r="B3" s="68">
        <f>'Flujo de caja (DO)'!F24/1000000</f>
        <v>63.859422210879998</v>
      </c>
      <c r="C3" s="68">
        <f>'Flujo de caja (DO)'!G24/1000000</f>
        <v>67.594859027750402</v>
      </c>
      <c r="D3" s="68">
        <f>'Flujo de caja (DO)'!H24/1000000</f>
        <v>71.628238541970418</v>
      </c>
      <c r="E3" s="68">
        <f>'Flujo de caja (DO)'!I24/1000000</f>
        <v>75.983351556928042</v>
      </c>
      <c r="F3" s="68">
        <f>'Flujo de caja (DO)'!J24/1000000</f>
        <v>80.685889909662293</v>
      </c>
    </row>
    <row r="4" spans="1:7" x14ac:dyDescent="0.25">
      <c r="A4" t="s">
        <v>138</v>
      </c>
      <c r="B4" s="71">
        <f>(B3-B2)/B2</f>
        <v>1.5325979236201217</v>
      </c>
      <c r="C4" s="71">
        <f t="shared" ref="C4:F4" si="0">(C3-C2)/C2</f>
        <v>1.4821680024056467</v>
      </c>
      <c r="D4" s="71">
        <f t="shared" si="0"/>
        <v>1.4354432934425814</v>
      </c>
      <c r="E4" s="71">
        <f t="shared" si="0"/>
        <v>1.3921501792716011</v>
      </c>
      <c r="F4" s="71">
        <f t="shared" si="0"/>
        <v>1.352035286984798</v>
      </c>
      <c r="G4" s="46">
        <f>AVERAGE(B4:F4)</f>
        <v>1.4388789371449497</v>
      </c>
    </row>
    <row r="31" spans="1:3" x14ac:dyDescent="0.25">
      <c r="A31" s="2" t="s">
        <v>141</v>
      </c>
      <c r="B31" s="2" t="s">
        <v>140</v>
      </c>
      <c r="C31" s="2" t="s">
        <v>139</v>
      </c>
    </row>
    <row r="32" spans="1:3" x14ac:dyDescent="0.25">
      <c r="A32" s="75" t="s">
        <v>109</v>
      </c>
      <c r="B32" s="4">
        <v>22154145.692746535</v>
      </c>
      <c r="C32" s="76">
        <v>174679060.73241955</v>
      </c>
    </row>
    <row r="33" spans="1:7" x14ac:dyDescent="0.25">
      <c r="A33" s="75" t="s">
        <v>110</v>
      </c>
      <c r="B33" s="77">
        <v>0.32771182910761598</v>
      </c>
      <c r="C33" s="78">
        <v>0.9083636466132321</v>
      </c>
    </row>
    <row r="34" spans="1:7" x14ac:dyDescent="0.25">
      <c r="A34" s="75" t="s">
        <v>111</v>
      </c>
      <c r="B34" s="79">
        <v>1.077739748854261</v>
      </c>
      <c r="C34" s="80">
        <v>1.6028092453766201</v>
      </c>
    </row>
    <row r="36" spans="1:7" x14ac:dyDescent="0.25">
      <c r="A36" s="75" t="s">
        <v>141</v>
      </c>
      <c r="B36" s="75" t="s">
        <v>142</v>
      </c>
    </row>
    <row r="37" spans="1:7" x14ac:dyDescent="0.25">
      <c r="A37" s="75" t="s">
        <v>109</v>
      </c>
      <c r="B37" s="81">
        <f>C32-B32</f>
        <v>152524915.03967303</v>
      </c>
    </row>
    <row r="38" spans="1:7" x14ac:dyDescent="0.25">
      <c r="A38" s="75" t="s">
        <v>110</v>
      </c>
      <c r="B38" s="78">
        <f>C33-B33</f>
        <v>0.58065181750561612</v>
      </c>
    </row>
    <row r="39" spans="1:7" x14ac:dyDescent="0.25">
      <c r="A39" s="75" t="s">
        <v>111</v>
      </c>
      <c r="B39" s="80">
        <f>C34-B34</f>
        <v>0.52506949652235901</v>
      </c>
    </row>
    <row r="47" spans="1:7" x14ac:dyDescent="0.25">
      <c r="A47" t="s">
        <v>121</v>
      </c>
      <c r="B47">
        <v>0</v>
      </c>
      <c r="C47">
        <v>1</v>
      </c>
      <c r="D47">
        <v>2</v>
      </c>
      <c r="E47">
        <v>3</v>
      </c>
      <c r="F47">
        <v>4</v>
      </c>
      <c r="G47">
        <v>5</v>
      </c>
    </row>
    <row r="48" spans="1:7" x14ac:dyDescent="0.25">
      <c r="A48" t="s">
        <v>145</v>
      </c>
      <c r="B48" s="72">
        <f>'Flujo de caja (A)'!E23/1000000</f>
        <v>-70.608123700000007</v>
      </c>
      <c r="C48" s="73">
        <v>27.014570114999994</v>
      </c>
      <c r="D48" s="73">
        <v>29.279685724199997</v>
      </c>
      <c r="E48" s="73">
        <v>31.731208082135989</v>
      </c>
      <c r="F48" s="73">
        <v>34.384309603706882</v>
      </c>
      <c r="G48" s="73">
        <v>37.25538949075343</v>
      </c>
    </row>
    <row r="49" spans="1:7" x14ac:dyDescent="0.25">
      <c r="A49" t="s">
        <v>144</v>
      </c>
      <c r="B49" s="72">
        <f>'Flujo de caja (DO)'!E22/1000000</f>
        <v>-115.60812370000001</v>
      </c>
      <c r="C49" s="73">
        <v>83.817522482799987</v>
      </c>
      <c r="D49" s="73">
        <v>86.881292606940008</v>
      </c>
      <c r="E49" s="73">
        <v>90.075856357286995</v>
      </c>
      <c r="F49" s="73">
        <v>93.405961824751344</v>
      </c>
      <c r="G49" s="73">
        <v>96.876451177556916</v>
      </c>
    </row>
    <row r="50" spans="1:7" x14ac:dyDescent="0.25">
      <c r="A50" t="s">
        <v>143</v>
      </c>
      <c r="B50" s="74">
        <v>-91.608123700000007</v>
      </c>
      <c r="C50" s="73">
        <f>'Sensibilidad P1'!F23/1000000</f>
        <v>70.42582221088</v>
      </c>
      <c r="D50" s="73">
        <f>'Sensibilidad P1'!G23/1000000</f>
        <v>74.686571027750404</v>
      </c>
      <c r="E50" s="73">
        <f>'Sensibilidad P1'!H23/1000000</f>
        <v>79.287287501970425</v>
      </c>
      <c r="F50" s="73">
        <f>'Sensibilidad P1'!I23/1000000</f>
        <v>84.255124433728056</v>
      </c>
      <c r="G50" s="73">
        <f>'Sensibilidad P1'!J23/1000000</f>
        <v>89.619404616606303</v>
      </c>
    </row>
    <row r="51" spans="1:7" x14ac:dyDescent="0.25">
      <c r="A51" t="s">
        <v>146</v>
      </c>
      <c r="B51" s="74">
        <v>-91.608123700000007</v>
      </c>
      <c r="C51" s="72">
        <f>'Sensibilidad P2'!F23/1000000</f>
        <v>94.617822210879993</v>
      </c>
      <c r="D51" s="72">
        <f>'Sensibilidad P2'!G23/1000000</f>
        <v>100.8139310277504</v>
      </c>
      <c r="E51" s="72">
        <f>'Sensibilidad P2'!H23/1000000</f>
        <v>107.50483630197043</v>
      </c>
      <c r="F51" s="72">
        <f>'Sensibilidad P2'!I23/1000000</f>
        <v>114.73007713772806</v>
      </c>
      <c r="G51" s="72">
        <f>'Sensibilidad P2'!J23/1000000</f>
        <v>122.53235353692631</v>
      </c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0FB02F-0E01-49A7-8523-8CBF7A5D9B3B}">
  <dimension ref="C2:K31"/>
  <sheetViews>
    <sheetView workbookViewId="0">
      <selection activeCell="F2" sqref="F2:I2"/>
    </sheetView>
  </sheetViews>
  <sheetFormatPr baseColWidth="10" defaultColWidth="9.140625" defaultRowHeight="15" x14ac:dyDescent="0.25"/>
  <cols>
    <col min="3" max="3" width="4.85546875" customWidth="1"/>
    <col min="4" max="4" width="28" customWidth="1"/>
    <col min="5" max="5" width="19.140625" customWidth="1"/>
    <col min="6" max="6" width="26.85546875" bestFit="1" customWidth="1"/>
    <col min="7" max="7" width="19.85546875" customWidth="1"/>
    <col min="8" max="8" width="16.42578125" bestFit="1" customWidth="1"/>
    <col min="9" max="9" width="20.42578125" bestFit="1" customWidth="1"/>
    <col min="10" max="10" width="16.28515625" bestFit="1" customWidth="1"/>
    <col min="11" max="11" width="16.85546875" bestFit="1" customWidth="1"/>
  </cols>
  <sheetData>
    <row r="2" spans="3:11" x14ac:dyDescent="0.25">
      <c r="D2" s="2" t="s">
        <v>119</v>
      </c>
      <c r="E2" s="91">
        <v>0.08</v>
      </c>
      <c r="F2" s="145" t="s">
        <v>161</v>
      </c>
      <c r="G2" s="145"/>
      <c r="H2" s="145"/>
      <c r="I2" s="145"/>
    </row>
    <row r="3" spans="3:11" x14ac:dyDescent="0.25">
      <c r="F3" s="91">
        <v>0.19</v>
      </c>
      <c r="G3" s="2"/>
      <c r="H3" s="2"/>
      <c r="I3" s="91">
        <v>0.28000000000000003</v>
      </c>
    </row>
    <row r="4" spans="3:11" x14ac:dyDescent="0.25">
      <c r="F4" s="2">
        <v>1090</v>
      </c>
      <c r="G4" s="2">
        <v>1700</v>
      </c>
      <c r="H4" s="2">
        <v>1700</v>
      </c>
      <c r="I4" s="2">
        <v>4100</v>
      </c>
    </row>
    <row r="5" spans="3:11" x14ac:dyDescent="0.25">
      <c r="F5" s="96">
        <f>F4*E7</f>
        <v>51300850</v>
      </c>
      <c r="G5" s="96">
        <f>G4*E7</f>
        <v>80010500</v>
      </c>
      <c r="H5" s="96">
        <f>G5</f>
        <v>80010500</v>
      </c>
      <c r="I5" s="96">
        <f>I4*E7</f>
        <v>192966500</v>
      </c>
    </row>
    <row r="7" spans="3:11" x14ac:dyDescent="0.25">
      <c r="D7" s="2" t="s">
        <v>162</v>
      </c>
      <c r="E7" s="97">
        <v>47065</v>
      </c>
    </row>
    <row r="9" spans="3:11" ht="15.75" thickBot="1" x14ac:dyDescent="0.3">
      <c r="C9" s="146" t="s">
        <v>121</v>
      </c>
      <c r="D9" s="146"/>
      <c r="E9" s="29">
        <v>0</v>
      </c>
      <c r="F9" s="29">
        <v>1</v>
      </c>
      <c r="G9" s="29">
        <v>2</v>
      </c>
      <c r="H9" s="29">
        <v>3</v>
      </c>
      <c r="I9" s="29">
        <v>4</v>
      </c>
      <c r="J9" s="29">
        <v>5</v>
      </c>
      <c r="K9" s="29"/>
    </row>
    <row r="10" spans="3:11" ht="15.75" thickBot="1" x14ac:dyDescent="0.3">
      <c r="C10" s="30" t="s">
        <v>92</v>
      </c>
      <c r="D10" s="31" t="s">
        <v>93</v>
      </c>
      <c r="E10" s="32">
        <v>0</v>
      </c>
      <c r="F10" s="32">
        <f>'Ingresos (DO)'!D12</f>
        <v>151200000</v>
      </c>
      <c r="G10" s="32">
        <f>F10*(1+$E$2)</f>
        <v>163296000</v>
      </c>
      <c r="H10" s="32">
        <f t="shared" ref="H10:J10" si="0">G10*(1+$E$2)</f>
        <v>176359680</v>
      </c>
      <c r="I10" s="32">
        <f t="shared" si="0"/>
        <v>190468454.40000001</v>
      </c>
      <c r="J10" s="32">
        <f t="shared" si="0"/>
        <v>205705930.75200003</v>
      </c>
      <c r="K10" s="32"/>
    </row>
    <row r="11" spans="3:11" ht="15.75" thickBot="1" x14ac:dyDescent="0.3">
      <c r="C11" s="30" t="s">
        <v>94</v>
      </c>
      <c r="D11" s="33" t="s">
        <v>95</v>
      </c>
      <c r="E11" s="43">
        <f>'Costos de Producción (A)'!E4</f>
        <v>31410000</v>
      </c>
      <c r="F11" s="34">
        <f>E11*(1+$E$2)</f>
        <v>33922800</v>
      </c>
      <c r="G11" s="34">
        <f>F11*(1+$E$2)</f>
        <v>36636624</v>
      </c>
      <c r="H11" s="34">
        <f t="shared" ref="H11:J11" si="1">G11*(1+$E$2)</f>
        <v>39567553.920000002</v>
      </c>
      <c r="I11" s="34">
        <f t="shared" si="1"/>
        <v>42732958.233600006</v>
      </c>
      <c r="J11" s="34">
        <f t="shared" si="1"/>
        <v>46151594.892288007</v>
      </c>
      <c r="K11" s="34"/>
    </row>
    <row r="12" spans="3:11" ht="15.75" thickBot="1" x14ac:dyDescent="0.3">
      <c r="C12" s="30" t="s">
        <v>94</v>
      </c>
      <c r="D12" s="33" t="s">
        <v>96</v>
      </c>
      <c r="E12" s="43">
        <f>'Costos de Producción (A)'!E24</f>
        <v>25276123.699999999</v>
      </c>
      <c r="F12" s="34">
        <f>E12*(1+$E$2)</f>
        <v>27298213.596000001</v>
      </c>
      <c r="G12" s="34">
        <f t="shared" ref="G12:J12" si="2">F12*(1+$E$2)</f>
        <v>29482070.683680002</v>
      </c>
      <c r="H12" s="34">
        <f t="shared" si="2"/>
        <v>31840636.338374402</v>
      </c>
      <c r="I12" s="34">
        <f t="shared" si="2"/>
        <v>34387887.245444357</v>
      </c>
      <c r="J12" s="34">
        <f t="shared" si="2"/>
        <v>37138918.225079909</v>
      </c>
      <c r="K12" s="34"/>
    </row>
    <row r="13" spans="3:11" ht="15.75" thickBot="1" x14ac:dyDescent="0.3">
      <c r="C13" s="30" t="s">
        <v>94</v>
      </c>
      <c r="D13" s="33" t="s">
        <v>97</v>
      </c>
      <c r="E13" s="43">
        <f>'Costos de Producción (A)'!F90</f>
        <v>10622000</v>
      </c>
      <c r="F13" s="34"/>
      <c r="G13" s="34"/>
      <c r="H13" s="34"/>
      <c r="I13" s="34"/>
      <c r="J13" s="34"/>
      <c r="K13" s="34"/>
    </row>
    <row r="14" spans="3:11" ht="15.75" thickBot="1" x14ac:dyDescent="0.3">
      <c r="C14" s="30" t="s">
        <v>101</v>
      </c>
      <c r="D14" s="35" t="s">
        <v>98</v>
      </c>
      <c r="E14" s="43">
        <f>'Costos de Producción (A)'!E45</f>
        <v>3300000</v>
      </c>
      <c r="F14" s="34">
        <f>E14*(1+$E$2)</f>
        <v>3564000.0000000005</v>
      </c>
      <c r="G14" s="34">
        <f>F14*(1+$E$2)</f>
        <v>3849120.0000000009</v>
      </c>
      <c r="H14" s="34">
        <f t="shared" ref="H14:J14" si="3">G14*(1+$E$2)</f>
        <v>4157049.6000000015</v>
      </c>
      <c r="I14" s="34">
        <f t="shared" si="3"/>
        <v>4489613.5680000018</v>
      </c>
      <c r="J14" s="34">
        <f t="shared" si="3"/>
        <v>4848782.6534400024</v>
      </c>
      <c r="K14" s="36"/>
    </row>
    <row r="15" spans="3:11" ht="15.75" thickBot="1" x14ac:dyDescent="0.3">
      <c r="C15" s="30" t="s">
        <v>101</v>
      </c>
      <c r="D15" s="35" t="s">
        <v>115</v>
      </c>
      <c r="E15" s="69">
        <v>21000000</v>
      </c>
      <c r="F15" s="70">
        <f>12000000*(1+$E$2)</f>
        <v>12960000</v>
      </c>
      <c r="G15" s="70">
        <f>F15*(1+$E$2)</f>
        <v>13996800</v>
      </c>
      <c r="H15" s="70">
        <f t="shared" ref="H15:J15" si="4">G15*(1+$E$2)</f>
        <v>15116544.000000002</v>
      </c>
      <c r="I15" s="70">
        <f t="shared" si="4"/>
        <v>16325867.520000003</v>
      </c>
      <c r="J15" s="70">
        <f t="shared" si="4"/>
        <v>17631936.921600007</v>
      </c>
      <c r="K15" s="36"/>
    </row>
    <row r="16" spans="3:11" ht="15.75" thickBot="1" x14ac:dyDescent="0.3">
      <c r="C16" s="30" t="s">
        <v>92</v>
      </c>
      <c r="D16" s="31" t="s">
        <v>99</v>
      </c>
      <c r="E16" s="44">
        <f>SUM(E11:E15)</f>
        <v>91608123.700000003</v>
      </c>
      <c r="F16" s="44">
        <f t="shared" ref="F16:J16" si="5">SUM(F11:F15)</f>
        <v>77745013.596000001</v>
      </c>
      <c r="G16" s="44">
        <f>SUM(G11:G15)</f>
        <v>83964614.683679998</v>
      </c>
      <c r="H16" s="44">
        <f t="shared" si="5"/>
        <v>90681783.858374417</v>
      </c>
      <c r="I16" s="44">
        <f t="shared" si="5"/>
        <v>97936326.567044377</v>
      </c>
      <c r="J16" s="44">
        <f t="shared" si="5"/>
        <v>105771232.69240794</v>
      </c>
      <c r="K16" s="32"/>
    </row>
    <row r="17" spans="3:11" ht="15.75" thickBot="1" x14ac:dyDescent="0.3">
      <c r="C17" s="30" t="s">
        <v>92</v>
      </c>
      <c r="D17" s="37" t="s">
        <v>100</v>
      </c>
      <c r="E17" s="45">
        <f>E10-E16</f>
        <v>-91608123.700000003</v>
      </c>
      <c r="F17" s="32">
        <f>F10-F16</f>
        <v>73454986.403999999</v>
      </c>
      <c r="G17" s="32">
        <f t="shared" ref="G17:J17" si="6">G10-G16</f>
        <v>79331385.316320002</v>
      </c>
      <c r="H17" s="32">
        <f t="shared" si="6"/>
        <v>85677896.141625583</v>
      </c>
      <c r="I17" s="32">
        <f t="shared" si="6"/>
        <v>92532127.832955629</v>
      </c>
      <c r="J17" s="32">
        <f t="shared" si="6"/>
        <v>99934698.059592098</v>
      </c>
      <c r="K17" s="32"/>
    </row>
    <row r="18" spans="3:11" ht="15.75" thickBot="1" x14ac:dyDescent="0.3">
      <c r="C18" s="30" t="s">
        <v>101</v>
      </c>
      <c r="D18" s="38" t="s">
        <v>102</v>
      </c>
      <c r="E18">
        <v>0</v>
      </c>
      <c r="F18" s="39">
        <f>'Costos de Producción (A)'!E32</f>
        <v>2124400</v>
      </c>
      <c r="G18" s="39">
        <f>F18*1.05</f>
        <v>2230620</v>
      </c>
      <c r="H18" s="39">
        <f t="shared" ref="H18:J18" si="7">G18*1.05</f>
        <v>2342151</v>
      </c>
      <c r="I18" s="39">
        <f t="shared" si="7"/>
        <v>2459258.5500000003</v>
      </c>
      <c r="J18" s="39">
        <f t="shared" si="7"/>
        <v>2582221.4775000005</v>
      </c>
      <c r="K18" s="39"/>
    </row>
    <row r="19" spans="3:11" ht="15.75" thickBot="1" x14ac:dyDescent="0.3">
      <c r="C19" s="30" t="s">
        <v>92</v>
      </c>
      <c r="D19" s="31" t="s">
        <v>103</v>
      </c>
      <c r="E19" s="45">
        <f>E17</f>
        <v>-91608123.700000003</v>
      </c>
      <c r="F19" s="32">
        <f>F17-F18</f>
        <v>71330586.403999999</v>
      </c>
      <c r="G19" s="32">
        <f t="shared" ref="G19:J19" si="8">G17-G18</f>
        <v>77100765.316320002</v>
      </c>
      <c r="H19" s="32">
        <f>H17-H18</f>
        <v>83335745.141625583</v>
      </c>
      <c r="I19" s="32">
        <f t="shared" si="8"/>
        <v>90072869.282955632</v>
      </c>
      <c r="J19" s="32">
        <f t="shared" si="8"/>
        <v>97352476.582092091</v>
      </c>
      <c r="K19" s="32"/>
    </row>
    <row r="20" spans="3:11" ht="15.75" thickBot="1" x14ac:dyDescent="0.3">
      <c r="C20" s="30" t="s">
        <v>101</v>
      </c>
      <c r="D20" s="33" t="s">
        <v>104</v>
      </c>
      <c r="E20" s="28">
        <v>0</v>
      </c>
      <c r="F20" s="28">
        <f t="shared" ref="F20:I20" si="9">((((F19/$E$7)-$H$4)*0.28)+116)*$E$7</f>
        <v>3029164.1931199995</v>
      </c>
      <c r="G20" s="28">
        <f t="shared" si="9"/>
        <v>4644814.2885696003</v>
      </c>
      <c r="H20" s="28">
        <f t="shared" si="9"/>
        <v>6390608.6396551635</v>
      </c>
      <c r="I20" s="28">
        <f t="shared" si="9"/>
        <v>8277003.3992275782</v>
      </c>
      <c r="J20" s="28">
        <f>((((J19/$E$7)-$H$4)*0.28)+116)*$E$7</f>
        <v>10315293.442985782</v>
      </c>
      <c r="K20" s="34"/>
    </row>
    <row r="21" spans="3:11" ht="15.75" thickBot="1" x14ac:dyDescent="0.3">
      <c r="C21" s="40" t="s">
        <v>105</v>
      </c>
      <c r="D21" s="41" t="s">
        <v>106</v>
      </c>
      <c r="E21" s="45">
        <f>E19-E20</f>
        <v>-91608123.700000003</v>
      </c>
      <c r="F21" s="45">
        <f t="shared" ref="F21:J21" si="10">F19-F20</f>
        <v>68301422.210879996</v>
      </c>
      <c r="G21" s="45">
        <f t="shared" si="10"/>
        <v>72455951.027750403</v>
      </c>
      <c r="H21" s="45">
        <f>H19-H20</f>
        <v>76945136.501970425</v>
      </c>
      <c r="I21" s="45">
        <f t="shared" si="10"/>
        <v>81795865.883728057</v>
      </c>
      <c r="J21" s="45">
        <f t="shared" si="10"/>
        <v>87037183.139106303</v>
      </c>
      <c r="K21" s="32"/>
    </row>
    <row r="22" spans="3:11" x14ac:dyDescent="0.25">
      <c r="D22" t="s">
        <v>102</v>
      </c>
      <c r="E22" s="28">
        <f>E18</f>
        <v>0</v>
      </c>
      <c r="F22" s="28">
        <f t="shared" ref="F22:J22" si="11">F18</f>
        <v>2124400</v>
      </c>
      <c r="G22" s="28">
        <f t="shared" si="11"/>
        <v>2230620</v>
      </c>
      <c r="H22" s="28">
        <f t="shared" si="11"/>
        <v>2342151</v>
      </c>
      <c r="I22" s="28">
        <f t="shared" si="11"/>
        <v>2459258.5500000003</v>
      </c>
      <c r="J22" s="28">
        <f t="shared" si="11"/>
        <v>2582221.4775000005</v>
      </c>
    </row>
    <row r="23" spans="3:11" x14ac:dyDescent="0.25">
      <c r="D23" t="s">
        <v>107</v>
      </c>
      <c r="E23" s="28">
        <f>E21+E18</f>
        <v>-91608123.700000003</v>
      </c>
      <c r="F23" s="28">
        <f>F21+F22</f>
        <v>70425822.210879996</v>
      </c>
      <c r="G23" s="28">
        <f>G21+G22</f>
        <v>74686571.027750403</v>
      </c>
      <c r="H23" s="28">
        <f>H21+H22</f>
        <v>79287287.501970425</v>
      </c>
      <c r="I23" s="28">
        <f t="shared" ref="I23:J23" si="12">I21+I22</f>
        <v>84255124.433728054</v>
      </c>
      <c r="J23" s="28">
        <f t="shared" si="12"/>
        <v>89619404.61660631</v>
      </c>
    </row>
    <row r="24" spans="3:11" x14ac:dyDescent="0.25">
      <c r="F24" s="28">
        <f>F23/12</f>
        <v>5868818.5175733333</v>
      </c>
      <c r="G24" s="28">
        <f t="shared" ref="G24:J24" si="13">G23/12</f>
        <v>6223880.9189792005</v>
      </c>
      <c r="H24" s="28">
        <f t="shared" si="13"/>
        <v>6607273.9584975354</v>
      </c>
      <c r="I24" s="28">
        <f t="shared" si="13"/>
        <v>7021260.3694773382</v>
      </c>
      <c r="J24" s="28">
        <f t="shared" si="13"/>
        <v>7468283.7180505255</v>
      </c>
    </row>
    <row r="25" spans="3:11" x14ac:dyDescent="0.25">
      <c r="D25" t="s">
        <v>108</v>
      </c>
      <c r="E25" s="46">
        <v>0.2</v>
      </c>
    </row>
    <row r="26" spans="3:11" x14ac:dyDescent="0.25">
      <c r="D26" t="s">
        <v>109</v>
      </c>
      <c r="E26" s="28">
        <f>NPV(E25,F23:J23)+E23</f>
        <v>141477905.27229893</v>
      </c>
    </row>
    <row r="27" spans="3:11" x14ac:dyDescent="0.25">
      <c r="D27" t="s">
        <v>110</v>
      </c>
      <c r="E27" s="46">
        <f>IRR(E23:J23)</f>
        <v>0.77056811993687058</v>
      </c>
    </row>
    <row r="28" spans="3:11" x14ac:dyDescent="0.25">
      <c r="D28" t="s">
        <v>111</v>
      </c>
      <c r="E28">
        <f>E29/E30</f>
        <v>1.4456555494396515</v>
      </c>
    </row>
    <row r="29" spans="3:11" x14ac:dyDescent="0.25">
      <c r="D29" t="s">
        <v>112</v>
      </c>
      <c r="E29" s="42">
        <f>NPV(E25,F10:J10)+E10</f>
        <v>515982600</v>
      </c>
    </row>
    <row r="30" spans="3:11" x14ac:dyDescent="0.25">
      <c r="D30" t="s">
        <v>113</v>
      </c>
      <c r="E30" s="43">
        <f>NPV(E25,F16:J16)+E16</f>
        <v>356919461.34748304</v>
      </c>
    </row>
    <row r="31" spans="3:11" x14ac:dyDescent="0.25">
      <c r="D31" t="s">
        <v>114</v>
      </c>
      <c r="E31">
        <v>2</v>
      </c>
    </row>
  </sheetData>
  <mergeCells count="2">
    <mergeCell ref="C9:D9"/>
    <mergeCell ref="F2:I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FA4FC0-F977-4E2D-B6CA-B003D5EF57BA}">
  <dimension ref="C2:K40"/>
  <sheetViews>
    <sheetView topLeftCell="A7" workbookViewId="0">
      <selection activeCell="G24" sqref="G24"/>
    </sheetView>
  </sheetViews>
  <sheetFormatPr baseColWidth="10" defaultColWidth="9.140625" defaultRowHeight="15" x14ac:dyDescent="0.25"/>
  <cols>
    <col min="3" max="3" width="4.85546875" customWidth="1"/>
    <col min="4" max="4" width="28" customWidth="1"/>
    <col min="5" max="5" width="19.140625" customWidth="1"/>
    <col min="6" max="6" width="26.85546875" bestFit="1" customWidth="1"/>
    <col min="7" max="7" width="19.85546875" customWidth="1"/>
    <col min="8" max="8" width="16.42578125" bestFit="1" customWidth="1"/>
    <col min="9" max="9" width="20.42578125" bestFit="1" customWidth="1"/>
    <col min="10" max="10" width="16.28515625" bestFit="1" customWidth="1"/>
    <col min="11" max="11" width="16.85546875" bestFit="1" customWidth="1"/>
  </cols>
  <sheetData>
    <row r="2" spans="3:11" x14ac:dyDescent="0.25">
      <c r="D2" s="2" t="s">
        <v>119</v>
      </c>
      <c r="E2" s="91">
        <v>0.08</v>
      </c>
      <c r="F2" s="145" t="s">
        <v>161</v>
      </c>
      <c r="G2" s="145"/>
      <c r="H2" s="145"/>
      <c r="I2" s="145"/>
    </row>
    <row r="3" spans="3:11" x14ac:dyDescent="0.25">
      <c r="F3" s="91">
        <v>0.19</v>
      </c>
      <c r="G3" s="2"/>
      <c r="H3" s="2"/>
      <c r="I3" s="91">
        <v>0.28000000000000003</v>
      </c>
    </row>
    <row r="4" spans="3:11" x14ac:dyDescent="0.25">
      <c r="F4" s="2">
        <v>1090</v>
      </c>
      <c r="G4" s="2">
        <v>1700</v>
      </c>
      <c r="H4" s="2">
        <v>1700</v>
      </c>
      <c r="I4" s="2">
        <v>4100</v>
      </c>
    </row>
    <row r="5" spans="3:11" x14ac:dyDescent="0.25">
      <c r="F5" s="96">
        <f>F4*E7</f>
        <v>51300850</v>
      </c>
      <c r="G5" s="96">
        <f>G4*E7</f>
        <v>80010500</v>
      </c>
      <c r="H5" s="96">
        <f>G5</f>
        <v>80010500</v>
      </c>
      <c r="I5" s="96">
        <f>I4*E7</f>
        <v>192966500</v>
      </c>
    </row>
    <row r="7" spans="3:11" x14ac:dyDescent="0.25">
      <c r="D7" s="2" t="s">
        <v>162</v>
      </c>
      <c r="E7" s="97">
        <v>47065</v>
      </c>
    </row>
    <row r="9" spans="3:11" x14ac:dyDescent="0.25">
      <c r="C9" s="125" t="s">
        <v>121</v>
      </c>
      <c r="D9" s="125"/>
      <c r="E9" s="75">
        <v>0</v>
      </c>
      <c r="F9" s="75">
        <v>1</v>
      </c>
      <c r="G9" s="75">
        <v>2</v>
      </c>
      <c r="H9" s="75">
        <v>3</v>
      </c>
      <c r="I9" s="75">
        <v>4</v>
      </c>
      <c r="J9" s="75">
        <v>5</v>
      </c>
      <c r="K9" s="29"/>
    </row>
    <row r="10" spans="3:11" x14ac:dyDescent="0.25">
      <c r="C10" s="98" t="s">
        <v>92</v>
      </c>
      <c r="D10" s="99" t="s">
        <v>93</v>
      </c>
      <c r="E10" s="100">
        <v>0</v>
      </c>
      <c r="F10" s="100">
        <f>'Ingresos (DO)'!D17</f>
        <v>184800000</v>
      </c>
      <c r="G10" s="100">
        <f>F10*(1+$E$2)</f>
        <v>199584000</v>
      </c>
      <c r="H10" s="100">
        <f t="shared" ref="H10:J10" si="0">G10*(1+$E$2)</f>
        <v>215550720</v>
      </c>
      <c r="I10" s="100">
        <f t="shared" si="0"/>
        <v>232794777.60000002</v>
      </c>
      <c r="J10" s="100">
        <f t="shared" si="0"/>
        <v>251418359.80800003</v>
      </c>
      <c r="K10" s="32"/>
    </row>
    <row r="11" spans="3:11" x14ac:dyDescent="0.25">
      <c r="C11" s="98" t="s">
        <v>94</v>
      </c>
      <c r="D11" s="101" t="s">
        <v>95</v>
      </c>
      <c r="E11" s="102">
        <f>'Costos de Producción (A)'!E4</f>
        <v>31410000</v>
      </c>
      <c r="F11" s="103">
        <f>E11*(1+$E$2)</f>
        <v>33922800</v>
      </c>
      <c r="G11" s="103">
        <f t="shared" ref="G11:J11" si="1">F11*(1+$E$2)</f>
        <v>36636624</v>
      </c>
      <c r="H11" s="103">
        <f t="shared" si="1"/>
        <v>39567553.920000002</v>
      </c>
      <c r="I11" s="103">
        <f t="shared" si="1"/>
        <v>42732958.233600006</v>
      </c>
      <c r="J11" s="103">
        <f t="shared" si="1"/>
        <v>46151594.892288007</v>
      </c>
      <c r="K11" s="34"/>
    </row>
    <row r="12" spans="3:11" x14ac:dyDescent="0.25">
      <c r="C12" s="98" t="s">
        <v>94</v>
      </c>
      <c r="D12" s="101" t="s">
        <v>96</v>
      </c>
      <c r="E12" s="102">
        <f>'Costos de Producción (A)'!E24</f>
        <v>25276123.699999999</v>
      </c>
      <c r="F12" s="103">
        <f>E12*(1+$E$2)</f>
        <v>27298213.596000001</v>
      </c>
      <c r="G12" s="103">
        <f t="shared" ref="G12:J12" si="2">F12*(1+$E$2)</f>
        <v>29482070.683680002</v>
      </c>
      <c r="H12" s="103">
        <f t="shared" si="2"/>
        <v>31840636.338374402</v>
      </c>
      <c r="I12" s="103">
        <f t="shared" si="2"/>
        <v>34387887.245444357</v>
      </c>
      <c r="J12" s="103">
        <f t="shared" si="2"/>
        <v>37138918.225079909</v>
      </c>
      <c r="K12" s="34"/>
    </row>
    <row r="13" spans="3:11" x14ac:dyDescent="0.25">
      <c r="C13" s="98" t="s">
        <v>94</v>
      </c>
      <c r="D13" s="101" t="s">
        <v>97</v>
      </c>
      <c r="E13" s="102">
        <f>'Costos de Producción (A)'!F90</f>
        <v>10622000</v>
      </c>
      <c r="F13" s="103"/>
      <c r="G13" s="103"/>
      <c r="H13" s="103"/>
      <c r="I13" s="103"/>
      <c r="J13" s="103"/>
      <c r="K13" s="34"/>
    </row>
    <row r="14" spans="3:11" x14ac:dyDescent="0.25">
      <c r="C14" s="98" t="s">
        <v>101</v>
      </c>
      <c r="D14" s="104" t="s">
        <v>98</v>
      </c>
      <c r="E14" s="102">
        <f>'Costos de Producción (A)'!E45</f>
        <v>3300000</v>
      </c>
      <c r="F14" s="103">
        <f t="shared" ref="F14:J14" si="3">E14*(1+$E$2)</f>
        <v>3564000.0000000005</v>
      </c>
      <c r="G14" s="103">
        <f t="shared" si="3"/>
        <v>3849120.0000000009</v>
      </c>
      <c r="H14" s="103">
        <f t="shared" si="3"/>
        <v>4157049.6000000015</v>
      </c>
      <c r="I14" s="103">
        <f t="shared" si="3"/>
        <v>4489613.5680000018</v>
      </c>
      <c r="J14" s="103">
        <f t="shared" si="3"/>
        <v>4848782.6534400024</v>
      </c>
      <c r="K14" s="36"/>
    </row>
    <row r="15" spans="3:11" x14ac:dyDescent="0.25">
      <c r="C15" s="98" t="s">
        <v>101</v>
      </c>
      <c r="D15" s="104" t="s">
        <v>115</v>
      </c>
      <c r="E15" s="105">
        <v>21000000</v>
      </c>
      <c r="F15" s="106">
        <f>12000000*(1+$E$2)</f>
        <v>12960000</v>
      </c>
      <c r="G15" s="106">
        <f>F15*(1+$E$2)</f>
        <v>13996800</v>
      </c>
      <c r="H15" s="106">
        <f t="shared" ref="H15:J15" si="4">G15*(1+$E$2)</f>
        <v>15116544.000000002</v>
      </c>
      <c r="I15" s="106">
        <f t="shared" si="4"/>
        <v>16325867.520000003</v>
      </c>
      <c r="J15" s="106">
        <f t="shared" si="4"/>
        <v>17631936.921600007</v>
      </c>
      <c r="K15" s="36"/>
    </row>
    <row r="16" spans="3:11" x14ac:dyDescent="0.25">
      <c r="C16" s="98" t="s">
        <v>92</v>
      </c>
      <c r="D16" s="99" t="s">
        <v>99</v>
      </c>
      <c r="E16" s="107">
        <f>SUM(E11:E15)</f>
        <v>91608123.700000003</v>
      </c>
      <c r="F16" s="107">
        <f t="shared" ref="F16:J16" si="5">SUM(F11:F15)</f>
        <v>77745013.596000001</v>
      </c>
      <c r="G16" s="107">
        <f>SUM(G11:G15)</f>
        <v>83964614.683679998</v>
      </c>
      <c r="H16" s="107">
        <f t="shared" si="5"/>
        <v>90681783.858374417</v>
      </c>
      <c r="I16" s="107">
        <f t="shared" si="5"/>
        <v>97936326.567044377</v>
      </c>
      <c r="J16" s="107">
        <f t="shared" si="5"/>
        <v>105771232.69240794</v>
      </c>
      <c r="K16" s="32"/>
    </row>
    <row r="17" spans="3:11" x14ac:dyDescent="0.25">
      <c r="C17" s="98" t="s">
        <v>92</v>
      </c>
      <c r="D17" s="108" t="s">
        <v>100</v>
      </c>
      <c r="E17" s="109">
        <f>E10-E16</f>
        <v>-91608123.700000003</v>
      </c>
      <c r="F17" s="100">
        <f>F10-F16</f>
        <v>107054986.404</v>
      </c>
      <c r="G17" s="100">
        <f t="shared" ref="G17:J17" si="6">G10-G16</f>
        <v>115619385.31632</v>
      </c>
      <c r="H17" s="100">
        <f t="shared" si="6"/>
        <v>124868936.14162558</v>
      </c>
      <c r="I17" s="100">
        <f t="shared" si="6"/>
        <v>134858451.03295565</v>
      </c>
      <c r="J17" s="100">
        <f t="shared" si="6"/>
        <v>145647127.11559209</v>
      </c>
      <c r="K17" s="32"/>
    </row>
    <row r="18" spans="3:11" x14ac:dyDescent="0.25">
      <c r="C18" s="98" t="s">
        <v>101</v>
      </c>
      <c r="D18" s="110" t="s">
        <v>102</v>
      </c>
      <c r="E18" s="2">
        <v>0</v>
      </c>
      <c r="F18" s="111">
        <f>'Costos de Producción (A)'!E32</f>
        <v>2124400</v>
      </c>
      <c r="G18" s="111">
        <f>F18*1.05</f>
        <v>2230620</v>
      </c>
      <c r="H18" s="111">
        <f t="shared" ref="H18:J18" si="7">G18*1.05</f>
        <v>2342151</v>
      </c>
      <c r="I18" s="111">
        <f t="shared" si="7"/>
        <v>2459258.5500000003</v>
      </c>
      <c r="J18" s="111">
        <f t="shared" si="7"/>
        <v>2582221.4775000005</v>
      </c>
      <c r="K18" s="39"/>
    </row>
    <row r="19" spans="3:11" x14ac:dyDescent="0.25">
      <c r="C19" s="98" t="s">
        <v>92</v>
      </c>
      <c r="D19" s="99" t="s">
        <v>103</v>
      </c>
      <c r="E19" s="109">
        <f>E17</f>
        <v>-91608123.700000003</v>
      </c>
      <c r="F19" s="100">
        <f>F17-F18</f>
        <v>104930586.404</v>
      </c>
      <c r="G19" s="100">
        <f t="shared" ref="G19:J19" si="8">G17-G18</f>
        <v>113388765.31632</v>
      </c>
      <c r="H19" s="100">
        <f>H17-H18</f>
        <v>122526785.14162558</v>
      </c>
      <c r="I19" s="100">
        <f t="shared" si="8"/>
        <v>132399192.48295565</v>
      </c>
      <c r="J19" s="100">
        <f t="shared" si="8"/>
        <v>143064905.6380921</v>
      </c>
      <c r="K19" s="32"/>
    </row>
    <row r="20" spans="3:11" x14ac:dyDescent="0.25">
      <c r="C20" s="98" t="s">
        <v>101</v>
      </c>
      <c r="D20" s="101" t="s">
        <v>104</v>
      </c>
      <c r="E20" s="112">
        <v>0</v>
      </c>
      <c r="F20" s="112">
        <f t="shared" ref="F20:I20" si="9">((((F19/$E$7)-$H$4)*0.28)+116)*$E$7</f>
        <v>12437164.193120003</v>
      </c>
      <c r="G20" s="112">
        <f t="shared" si="9"/>
        <v>14805454.288569599</v>
      </c>
      <c r="H20" s="112">
        <f t="shared" si="9"/>
        <v>17364099.839655161</v>
      </c>
      <c r="I20" s="112">
        <f t="shared" si="9"/>
        <v>20128373.895227581</v>
      </c>
      <c r="J20" s="112">
        <f>((((J19/$E$7)-$H$4)*0.28)+116)*$E$7</f>
        <v>23114773.578665789</v>
      </c>
      <c r="K20" s="34"/>
    </row>
    <row r="21" spans="3:11" x14ac:dyDescent="0.25">
      <c r="C21" s="113" t="s">
        <v>105</v>
      </c>
      <c r="D21" s="114" t="s">
        <v>106</v>
      </c>
      <c r="E21" s="109">
        <f>E19-E20</f>
        <v>-91608123.700000003</v>
      </c>
      <c r="F21" s="109">
        <f t="shared" ref="F21:J21" si="10">F19-F20</f>
        <v>92493422.210879996</v>
      </c>
      <c r="G21" s="109">
        <f t="shared" si="10"/>
        <v>98583311.027750403</v>
      </c>
      <c r="H21" s="109">
        <f>H19-H20</f>
        <v>105162685.30197042</v>
      </c>
      <c r="I21" s="109">
        <f t="shared" si="10"/>
        <v>112270818.58772807</v>
      </c>
      <c r="J21" s="109">
        <f t="shared" si="10"/>
        <v>119950132.05942631</v>
      </c>
      <c r="K21" s="32"/>
    </row>
    <row r="22" spans="3:11" x14ac:dyDescent="0.25">
      <c r="C22" s="2"/>
      <c r="D22" s="2" t="s">
        <v>102</v>
      </c>
      <c r="E22" s="112">
        <f>E18</f>
        <v>0</v>
      </c>
      <c r="F22" s="112">
        <f t="shared" ref="F22:J22" si="11">F18</f>
        <v>2124400</v>
      </c>
      <c r="G22" s="112">
        <f t="shared" si="11"/>
        <v>2230620</v>
      </c>
      <c r="H22" s="112">
        <f t="shared" si="11"/>
        <v>2342151</v>
      </c>
      <c r="I22" s="112">
        <f t="shared" si="11"/>
        <v>2459258.5500000003</v>
      </c>
      <c r="J22" s="112">
        <f t="shared" si="11"/>
        <v>2582221.4775000005</v>
      </c>
    </row>
    <row r="23" spans="3:11" x14ac:dyDescent="0.25">
      <c r="C23" s="2"/>
      <c r="D23" s="2" t="s">
        <v>107</v>
      </c>
      <c r="E23" s="112">
        <f>E21+E18</f>
        <v>-91608123.700000003</v>
      </c>
      <c r="F23" s="112">
        <f>F21+F22</f>
        <v>94617822.210879996</v>
      </c>
      <c r="G23" s="112">
        <f>G21+G22</f>
        <v>100813931.0277504</v>
      </c>
      <c r="H23" s="112">
        <f>H21+H22</f>
        <v>107504836.30197042</v>
      </c>
      <c r="I23" s="112">
        <f t="shared" ref="I23:J23" si="12">I21+I22</f>
        <v>114730077.13772807</v>
      </c>
      <c r="J23" s="112">
        <f t="shared" si="12"/>
        <v>122532353.53692631</v>
      </c>
    </row>
    <row r="24" spans="3:11" x14ac:dyDescent="0.25">
      <c r="F24" s="28">
        <f>F23/12</f>
        <v>7884818.5175733333</v>
      </c>
      <c r="G24" s="28">
        <f t="shared" ref="G24:J24" si="13">G23/12</f>
        <v>8401160.9189791996</v>
      </c>
      <c r="H24" s="28">
        <f t="shared" si="13"/>
        <v>8958736.3584975358</v>
      </c>
      <c r="I24" s="28">
        <f t="shared" si="13"/>
        <v>9560839.7614773382</v>
      </c>
      <c r="J24" s="28">
        <f t="shared" si="13"/>
        <v>10211029.461410526</v>
      </c>
    </row>
    <row r="25" spans="3:11" x14ac:dyDescent="0.25">
      <c r="D25" t="s">
        <v>108</v>
      </c>
      <c r="E25" s="46">
        <v>0.2</v>
      </c>
    </row>
    <row r="26" spans="3:11" x14ac:dyDescent="0.25">
      <c r="D26" t="s">
        <v>109</v>
      </c>
      <c r="E26" s="28">
        <f>NPV(E25,F23:J23)+E23</f>
        <v>224035121.27229899</v>
      </c>
    </row>
    <row r="27" spans="3:11" x14ac:dyDescent="0.25">
      <c r="D27" t="s">
        <v>110</v>
      </c>
      <c r="E27" s="46">
        <f>IRR(E23:J23)</f>
        <v>1.0606145463208723</v>
      </c>
    </row>
    <row r="28" spans="3:11" x14ac:dyDescent="0.25">
      <c r="D28" t="s">
        <v>111</v>
      </c>
      <c r="E28">
        <f>E29/E30</f>
        <v>1.7669123382040184</v>
      </c>
    </row>
    <row r="29" spans="3:11" x14ac:dyDescent="0.25">
      <c r="D29" t="s">
        <v>112</v>
      </c>
      <c r="E29" s="42">
        <f>NPV(E25,F10:J10)+E10</f>
        <v>630645400</v>
      </c>
    </row>
    <row r="30" spans="3:11" x14ac:dyDescent="0.25">
      <c r="D30" t="s">
        <v>113</v>
      </c>
      <c r="E30" s="43">
        <f>NPV(E25,F16:J16)+E16</f>
        <v>356919461.34748304</v>
      </c>
    </row>
    <row r="31" spans="3:11" x14ac:dyDescent="0.25">
      <c r="D31" t="s">
        <v>114</v>
      </c>
      <c r="E31">
        <v>2</v>
      </c>
    </row>
    <row r="37" spans="5:6" x14ac:dyDescent="0.25">
      <c r="E37" s="2" t="s">
        <v>149</v>
      </c>
      <c r="F37" s="27">
        <f>'Ingresos (A)'!C3</f>
        <v>3000</v>
      </c>
    </row>
    <row r="38" spans="5:6" x14ac:dyDescent="0.25">
      <c r="E38" s="2" t="s">
        <v>150</v>
      </c>
      <c r="F38" s="27">
        <f>'Ingresos (DO)'!C3</f>
        <v>5600</v>
      </c>
    </row>
    <row r="39" spans="5:6" x14ac:dyDescent="0.25">
      <c r="E39" s="2" t="s">
        <v>151</v>
      </c>
      <c r="F39" s="27">
        <f>'Ingresos (DO)'!C12</f>
        <v>5040</v>
      </c>
    </row>
    <row r="40" spans="5:6" x14ac:dyDescent="0.25">
      <c r="E40" s="2" t="s">
        <v>152</v>
      </c>
      <c r="F40" s="27">
        <f>'Ingresos (DO)'!C17</f>
        <v>6160</v>
      </c>
    </row>
  </sheetData>
  <mergeCells count="2">
    <mergeCell ref="C9:D9"/>
    <mergeCell ref="F2:I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12</vt:i4>
      </vt:variant>
    </vt:vector>
  </HeadingPairs>
  <TitlesOfParts>
    <vt:vector size="12" baseType="lpstr">
      <vt:lpstr>Costos de Producción (A)</vt:lpstr>
      <vt:lpstr>Ingresos (A)</vt:lpstr>
      <vt:lpstr>Costos DO</vt:lpstr>
      <vt:lpstr>Flujo de caja (A)</vt:lpstr>
      <vt:lpstr>Ingresos (DO)</vt:lpstr>
      <vt:lpstr>Flujo de caja (DO)</vt:lpstr>
      <vt:lpstr>gráficas</vt:lpstr>
      <vt:lpstr>Sensibilidad P1</vt:lpstr>
      <vt:lpstr>Sensibilidad P2</vt:lpstr>
      <vt:lpstr>Flujo de caja Escenario 1</vt:lpstr>
      <vt:lpstr>Flujo de caja Escenario 2</vt:lpstr>
      <vt:lpstr>Flujo de caja Escenario 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Carolina Zuluaga Mejia</dc:creator>
  <cp:keywords/>
  <dc:description/>
  <cp:lastModifiedBy>Carolina Zuluaga Mejia</cp:lastModifiedBy>
  <cp:revision/>
  <dcterms:created xsi:type="dcterms:W3CDTF">2024-02-07T20:59:58Z</dcterms:created>
  <dcterms:modified xsi:type="dcterms:W3CDTF">2024-03-12T14:33:10Z</dcterms:modified>
  <cp:category/>
  <cp:contentStatus/>
</cp:coreProperties>
</file>