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Usuario\Desktop\TRAB GRADOS\Entregable final\"/>
    </mc:Choice>
  </mc:AlternateContent>
  <xr:revisionPtr revIDLastSave="0" documentId="8_{97829696-FF00-48A3-948A-25E72D7321B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figCreditos" sheetId="9" r:id="rId1"/>
    <sheet name="FC" sheetId="7" r:id="rId2"/>
    <sheet name="ESCENARIOS" sheetId="10" r:id="rId3"/>
    <sheet name="MAPA CALOR" sheetId="11" r:id="rId4"/>
  </sheets>
  <externalReferences>
    <externalReference r:id="rId5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7</definedName>
    <definedName name="_AtRisk_SimSetting_ReportsList" hidden="1">831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chart.v1.0" hidden="1">'MAPA CALOR'!$E$4:$E$7</definedName>
    <definedName name="_xlchart.v1.1" hidden="1">'MAPA CALOR'!$F$4:$F$7</definedName>
    <definedName name="Ajuste00">[1]EEFF!$F$90</definedName>
    <definedName name="Ajuste01">[1]EEFF!$G$90</definedName>
    <definedName name="Ajuste02">[1]EEFF!$H$90</definedName>
    <definedName name="Ajuste03">[1]EEFF!$I$90</definedName>
    <definedName name="Ajuste04">[1]EEFF!$J$90</definedName>
    <definedName name="Ajuste05">[1]EEFF!$K$90</definedName>
    <definedName name="Ajuste06">[1]EEFF!$L$90</definedName>
    <definedName name="Ajuste07">[1]EEFF!$M$90</definedName>
    <definedName name="Ajuste08">[1]EEFF!$N$90</definedName>
    <definedName name="Ajuste09">[1]EEFF!$O$90</definedName>
    <definedName name="Ajuste10">[1]EEFF!$P$90</definedName>
    <definedName name="Ajuste11">[1]EEFF!$Q$90</definedName>
    <definedName name="Ajuste12">[1]EEFF!$R$90</definedName>
    <definedName name="Ajuste13">[1]EEFF!$S$90</definedName>
    <definedName name="Ajuste14">[1]EEFF!$T$90</definedName>
    <definedName name="Ajuste15">[1]EEFF!$U$90</definedName>
    <definedName name="Ajuste16">[1]EEFF!$V$90</definedName>
    <definedName name="Ajuste17">[1]EEFF!$W$90</definedName>
    <definedName name="Ajuste18">[1]EEFF!$X$90</definedName>
    <definedName name="Ajuste19">[1]EEFF!$Y$90</definedName>
    <definedName name="FC_0">FC!$K$31</definedName>
    <definedName name="FC_1">FC!$L$31</definedName>
    <definedName name="FC_10">FC!$U$31</definedName>
    <definedName name="FC_2">FC!$M$31</definedName>
    <definedName name="FC_3">FC!$N$31</definedName>
    <definedName name="FC_4">FC!$O$31</definedName>
    <definedName name="FC_5">FC!$P$31</definedName>
    <definedName name="FC_6">FC!$Q$31</definedName>
    <definedName name="FC_7">FC!$R$31</definedName>
    <definedName name="FC_8">FC!$S$31</definedName>
    <definedName name="FC_9">FC!$T$31</definedName>
    <definedName name="HTML_CodePage" hidden="1">1252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PRI">FC!$K$40</definedName>
    <definedName name="RBC">FC!$K$39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141592653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TRUE</definedName>
    <definedName name="TIO">FC!$K$34</definedName>
    <definedName name="TIR">FC!$K$36</definedName>
    <definedName name="VAUE">FC!$K$38</definedName>
    <definedName name="VPN">FC!$K$35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0" l="1"/>
  <c r="I5" i="10"/>
  <c r="I6" i="10"/>
  <c r="H4" i="10"/>
  <c r="H5" i="10"/>
  <c r="H6" i="10"/>
  <c r="G4" i="10"/>
  <c r="G5" i="10"/>
  <c r="G6" i="10"/>
  <c r="F4" i="10"/>
  <c r="F5" i="10"/>
  <c r="F6" i="10"/>
  <c r="E4" i="10"/>
  <c r="E5" i="10"/>
  <c r="E6" i="10"/>
  <c r="D4" i="10"/>
  <c r="D5" i="10"/>
  <c r="D6" i="10"/>
  <c r="C4" i="10"/>
  <c r="C5" i="10"/>
  <c r="C6" i="10"/>
  <c r="I3" i="10"/>
  <c r="H3" i="10"/>
  <c r="G3" i="10"/>
  <c r="F3" i="10"/>
  <c r="E3" i="10"/>
  <c r="D3" i="10"/>
  <c r="C3" i="10"/>
  <c r="I2" i="10"/>
  <c r="H2" i="10"/>
  <c r="G2" i="10"/>
  <c r="F2" i="10"/>
  <c r="E2" i="10"/>
  <c r="D2" i="10"/>
  <c r="C2" i="10"/>
  <c r="F18" i="11"/>
  <c r="L20" i="11"/>
  <c r="L21" i="11"/>
  <c r="L22" i="11"/>
  <c r="K20" i="11"/>
  <c r="K21" i="11"/>
  <c r="K22" i="11"/>
  <c r="J20" i="11"/>
  <c r="J21" i="11"/>
  <c r="J22" i="11"/>
  <c r="I20" i="11"/>
  <c r="I21" i="11"/>
  <c r="I22" i="11"/>
  <c r="H20" i="11"/>
  <c r="H21" i="11"/>
  <c r="H22" i="11"/>
  <c r="L19" i="11"/>
  <c r="L18" i="11"/>
  <c r="K19" i="11"/>
  <c r="K18" i="11"/>
  <c r="J19" i="11"/>
  <c r="J18" i="11"/>
  <c r="I19" i="11"/>
  <c r="I18" i="11"/>
  <c r="H19" i="11"/>
  <c r="H18" i="11"/>
  <c r="G20" i="11"/>
  <c r="G21" i="11"/>
  <c r="G22" i="11"/>
  <c r="G19" i="11"/>
  <c r="G18" i="11"/>
  <c r="F20" i="11"/>
  <c r="F21" i="11"/>
  <c r="F22" i="11"/>
  <c r="F19" i="11"/>
  <c r="Q3" i="7"/>
  <c r="V3" i="7"/>
  <c r="F46" i="10"/>
  <c r="L3" i="7" s="1"/>
  <c r="G46" i="10"/>
  <c r="M3" i="7" s="1"/>
  <c r="H46" i="10"/>
  <c r="N3" i="7" s="1"/>
  <c r="I46" i="10"/>
  <c r="O3" i="7" s="1"/>
  <c r="J46" i="10"/>
  <c r="P3" i="7" s="1"/>
  <c r="K46" i="10"/>
  <c r="L46" i="10"/>
  <c r="R3" i="7" s="1"/>
  <c r="M46" i="10"/>
  <c r="S3" i="7" s="1"/>
  <c r="N46" i="10"/>
  <c r="T3" i="7" s="1"/>
  <c r="O46" i="10"/>
  <c r="U3" i="7" s="1"/>
  <c r="P46" i="10"/>
  <c r="Q46" i="10"/>
  <c r="W3" i="7" s="1"/>
  <c r="R46" i="10"/>
  <c r="X3" i="7" s="1"/>
  <c r="S46" i="10"/>
  <c r="Y3" i="7" s="1"/>
  <c r="T46" i="10"/>
  <c r="Z3" i="7" s="1"/>
  <c r="U46" i="10"/>
  <c r="AA3" i="7" s="1"/>
  <c r="F47" i="10"/>
  <c r="G47" i="10"/>
  <c r="F48" i="10"/>
  <c r="F49" i="10"/>
  <c r="E47" i="10"/>
  <c r="E48" i="10"/>
  <c r="E49" i="10"/>
  <c r="E46" i="10"/>
  <c r="K3" i="7" s="1"/>
  <c r="C37" i="7"/>
  <c r="H11" i="10"/>
  <c r="V41" i="10"/>
  <c r="H42" i="10"/>
  <c r="I42" i="10"/>
  <c r="J42" i="10"/>
  <c r="J43" i="10" s="1"/>
  <c r="J44" i="10" s="1"/>
  <c r="K42" i="10"/>
  <c r="K43" i="10" s="1"/>
  <c r="K44" i="10" s="1"/>
  <c r="L42" i="10"/>
  <c r="L43" i="10" s="1"/>
  <c r="L44" i="10" s="1"/>
  <c r="M42" i="10"/>
  <c r="M43" i="10" s="1"/>
  <c r="M44" i="10" s="1"/>
  <c r="N42" i="10"/>
  <c r="N43" i="10" s="1"/>
  <c r="N44" i="10" s="1"/>
  <c r="O42" i="10"/>
  <c r="O43" i="10" s="1"/>
  <c r="O44" i="10" s="1"/>
  <c r="P42" i="10"/>
  <c r="Q42" i="10"/>
  <c r="Q43" i="10" s="1"/>
  <c r="Q44" i="10" s="1"/>
  <c r="R42" i="10"/>
  <c r="R43" i="10" s="1"/>
  <c r="R44" i="10" s="1"/>
  <c r="S42" i="10"/>
  <c r="S43" i="10" s="1"/>
  <c r="S44" i="10" s="1"/>
  <c r="T42" i="10"/>
  <c r="T43" i="10" s="1"/>
  <c r="T44" i="10" s="1"/>
  <c r="U42" i="10"/>
  <c r="U43" i="10" s="1"/>
  <c r="U44" i="10" s="1"/>
  <c r="P43" i="10"/>
  <c r="P44" i="10" s="1"/>
  <c r="G43" i="10"/>
  <c r="G48" i="10" s="1"/>
  <c r="G42" i="10"/>
  <c r="V36" i="10"/>
  <c r="H37" i="10"/>
  <c r="H38" i="10" s="1"/>
  <c r="H39" i="10" s="1"/>
  <c r="I37" i="10"/>
  <c r="I38" i="10" s="1"/>
  <c r="I39" i="10" s="1"/>
  <c r="J37" i="10"/>
  <c r="J38" i="10" s="1"/>
  <c r="J39" i="10" s="1"/>
  <c r="K37" i="10"/>
  <c r="K38" i="10" s="1"/>
  <c r="K39" i="10" s="1"/>
  <c r="L37" i="10"/>
  <c r="L38" i="10" s="1"/>
  <c r="L39" i="10" s="1"/>
  <c r="M37" i="10"/>
  <c r="M38" i="10" s="1"/>
  <c r="M39" i="10" s="1"/>
  <c r="N37" i="10"/>
  <c r="N38" i="10" s="1"/>
  <c r="N39" i="10" s="1"/>
  <c r="O37" i="10"/>
  <c r="O38" i="10" s="1"/>
  <c r="O39" i="10" s="1"/>
  <c r="P37" i="10"/>
  <c r="P38" i="10" s="1"/>
  <c r="P39" i="10" s="1"/>
  <c r="Q37" i="10"/>
  <c r="Q38" i="10" s="1"/>
  <c r="Q39" i="10" s="1"/>
  <c r="R37" i="10"/>
  <c r="R38" i="10" s="1"/>
  <c r="R39" i="10" s="1"/>
  <c r="S37" i="10"/>
  <c r="S38" i="10" s="1"/>
  <c r="S39" i="10" s="1"/>
  <c r="T37" i="10"/>
  <c r="T38" i="10" s="1"/>
  <c r="T39" i="10" s="1"/>
  <c r="U37" i="10"/>
  <c r="U38" i="10" s="1"/>
  <c r="U39" i="10" s="1"/>
  <c r="G37" i="10"/>
  <c r="G38" i="10"/>
  <c r="G39" i="10" s="1"/>
  <c r="G32" i="10"/>
  <c r="V31" i="10"/>
  <c r="G33" i="10"/>
  <c r="G34" i="10" s="1"/>
  <c r="I32" i="10"/>
  <c r="I33" i="10" s="1"/>
  <c r="I34" i="10" s="1"/>
  <c r="J32" i="10"/>
  <c r="J33" i="10" s="1"/>
  <c r="J34" i="10" s="1"/>
  <c r="K32" i="10"/>
  <c r="K33" i="10" s="1"/>
  <c r="K34" i="10" s="1"/>
  <c r="L32" i="10"/>
  <c r="L33" i="10" s="1"/>
  <c r="L34" i="10" s="1"/>
  <c r="M32" i="10"/>
  <c r="M33" i="10" s="1"/>
  <c r="M34" i="10" s="1"/>
  <c r="N32" i="10"/>
  <c r="N33" i="10" s="1"/>
  <c r="N34" i="10" s="1"/>
  <c r="O32" i="10"/>
  <c r="O33" i="10" s="1"/>
  <c r="O34" i="10" s="1"/>
  <c r="P32" i="10"/>
  <c r="P33" i="10" s="1"/>
  <c r="P34" i="10" s="1"/>
  <c r="Q32" i="10"/>
  <c r="Q33" i="10" s="1"/>
  <c r="Q34" i="10" s="1"/>
  <c r="R32" i="10"/>
  <c r="R33" i="10" s="1"/>
  <c r="R34" i="10" s="1"/>
  <c r="S32" i="10"/>
  <c r="S33" i="10" s="1"/>
  <c r="S34" i="10" s="1"/>
  <c r="T32" i="10"/>
  <c r="T33" i="10" s="1"/>
  <c r="T34" i="10" s="1"/>
  <c r="U32" i="10"/>
  <c r="U33" i="10" s="1"/>
  <c r="U34" i="10" s="1"/>
  <c r="H32" i="10"/>
  <c r="V26" i="10"/>
  <c r="Q27" i="10"/>
  <c r="Q28" i="10" s="1"/>
  <c r="Q29" i="10" s="1"/>
  <c r="R27" i="10"/>
  <c r="R28" i="10" s="1"/>
  <c r="R29" i="10" s="1"/>
  <c r="M27" i="10"/>
  <c r="M28" i="10" s="1"/>
  <c r="M29" i="10" s="1"/>
  <c r="V21" i="10"/>
  <c r="L22" i="10"/>
  <c r="L23" i="10" s="1"/>
  <c r="L24" i="10" s="1"/>
  <c r="M22" i="10"/>
  <c r="M23" i="10" s="1"/>
  <c r="M24" i="10" s="1"/>
  <c r="N11" i="10"/>
  <c r="V15" i="10"/>
  <c r="I16" i="10"/>
  <c r="I17" i="10" s="1"/>
  <c r="I18" i="10" s="1"/>
  <c r="J16" i="10"/>
  <c r="J17" i="10" s="1"/>
  <c r="J18" i="10" s="1"/>
  <c r="K16" i="10"/>
  <c r="K17" i="10" s="1"/>
  <c r="K18" i="10" s="1"/>
  <c r="L16" i="10"/>
  <c r="L17" i="10" s="1"/>
  <c r="L18" i="10" s="1"/>
  <c r="M16" i="10"/>
  <c r="M17" i="10" s="1"/>
  <c r="M18" i="10" s="1"/>
  <c r="N16" i="10"/>
  <c r="N17" i="10" s="1"/>
  <c r="N18" i="10" s="1"/>
  <c r="O16" i="10"/>
  <c r="O17" i="10" s="1"/>
  <c r="O18" i="10" s="1"/>
  <c r="P16" i="10"/>
  <c r="P17" i="10" s="1"/>
  <c r="P18" i="10" s="1"/>
  <c r="Q16" i="10"/>
  <c r="Q17" i="10" s="1"/>
  <c r="Q18" i="10" s="1"/>
  <c r="R16" i="10"/>
  <c r="R17" i="10" s="1"/>
  <c r="R18" i="10" s="1"/>
  <c r="S16" i="10"/>
  <c r="S17" i="10" s="1"/>
  <c r="S18" i="10" s="1"/>
  <c r="T16" i="10"/>
  <c r="T17" i="10" s="1"/>
  <c r="T18" i="10" s="1"/>
  <c r="U16" i="10"/>
  <c r="U17" i="10" s="1"/>
  <c r="U18" i="10" s="1"/>
  <c r="H16" i="10"/>
  <c r="H17" i="10" s="1"/>
  <c r="H18" i="10" s="1"/>
  <c r="V10" i="10"/>
  <c r="E11" i="10"/>
  <c r="V18" i="9"/>
  <c r="V37" i="9"/>
  <c r="V56" i="9"/>
  <c r="V76" i="9"/>
  <c r="V96" i="9"/>
  <c r="V116" i="9"/>
  <c r="V136" i="9"/>
  <c r="U142" i="9"/>
  <c r="V142" i="9" s="1"/>
  <c r="V137" i="9"/>
  <c r="V117" i="9"/>
  <c r="V97" i="9"/>
  <c r="V77" i="9"/>
  <c r="V57" i="9"/>
  <c r="V38" i="9"/>
  <c r="U135" i="9"/>
  <c r="U115" i="9"/>
  <c r="U95" i="9"/>
  <c r="U75" i="9"/>
  <c r="U55" i="9"/>
  <c r="U36" i="9"/>
  <c r="V19" i="9"/>
  <c r="U17" i="9"/>
  <c r="C6" i="9"/>
  <c r="G44" i="10" l="1"/>
  <c r="G49" i="10" s="1"/>
  <c r="V53" i="10"/>
  <c r="V42" i="10"/>
  <c r="M48" i="10"/>
  <c r="V46" i="10"/>
  <c r="I43" i="10"/>
  <c r="H43" i="10"/>
  <c r="V37" i="10"/>
  <c r="V43" i="10"/>
  <c r="V32" i="10"/>
  <c r="V39" i="10"/>
  <c r="H33" i="10"/>
  <c r="H34" i="10" s="1"/>
  <c r="V34" i="10" s="1"/>
  <c r="V38" i="10"/>
  <c r="L27" i="10"/>
  <c r="L28" i="10" s="1"/>
  <c r="L29" i="10" s="1"/>
  <c r="K27" i="10"/>
  <c r="K28" i="10" s="1"/>
  <c r="K29" i="10" s="1"/>
  <c r="H27" i="10"/>
  <c r="H28" i="10" s="1"/>
  <c r="J27" i="10"/>
  <c r="J28" i="10" s="1"/>
  <c r="J29" i="10" s="1"/>
  <c r="P27" i="10"/>
  <c r="P28" i="10" s="1"/>
  <c r="P29" i="10" s="1"/>
  <c r="T27" i="10"/>
  <c r="T28" i="10" s="1"/>
  <c r="T29" i="10" s="1"/>
  <c r="I27" i="10"/>
  <c r="I28" i="10" s="1"/>
  <c r="I29" i="10" s="1"/>
  <c r="R22" i="10"/>
  <c r="R23" i="10" s="1"/>
  <c r="R24" i="10" s="1"/>
  <c r="R49" i="10" s="1"/>
  <c r="S27" i="10"/>
  <c r="S28" i="10" s="1"/>
  <c r="S29" i="10" s="1"/>
  <c r="T22" i="10"/>
  <c r="T23" i="10" s="1"/>
  <c r="T24" i="10" s="1"/>
  <c r="N27" i="10"/>
  <c r="K22" i="10"/>
  <c r="K23" i="10" s="1"/>
  <c r="K24" i="10" s="1"/>
  <c r="J22" i="10"/>
  <c r="J23" i="10" s="1"/>
  <c r="J24" i="10" s="1"/>
  <c r="O27" i="10"/>
  <c r="N12" i="10"/>
  <c r="N13" i="10" s="1"/>
  <c r="S22" i="10"/>
  <c r="S23" i="10" s="1"/>
  <c r="S24" i="10" s="1"/>
  <c r="U27" i="10"/>
  <c r="U28" i="10" s="1"/>
  <c r="U29" i="10" s="1"/>
  <c r="P22" i="10"/>
  <c r="P23" i="10" s="1"/>
  <c r="P24" i="10" s="1"/>
  <c r="P49" i="10" s="1"/>
  <c r="O22" i="10"/>
  <c r="O23" i="10" s="1"/>
  <c r="O24" i="10" s="1"/>
  <c r="H22" i="10"/>
  <c r="N22" i="10"/>
  <c r="N23" i="10" s="1"/>
  <c r="N24" i="10" s="1"/>
  <c r="Q22" i="10"/>
  <c r="Q23" i="10" s="1"/>
  <c r="Q24" i="10" s="1"/>
  <c r="Q49" i="10" s="1"/>
  <c r="I22" i="10"/>
  <c r="I23" i="10" s="1"/>
  <c r="I24" i="10" s="1"/>
  <c r="U22" i="10"/>
  <c r="U23" i="10" s="1"/>
  <c r="U24" i="10" s="1"/>
  <c r="H12" i="10"/>
  <c r="P11" i="10"/>
  <c r="P12" i="10" s="1"/>
  <c r="P13" i="10" s="1"/>
  <c r="O11" i="10"/>
  <c r="O12" i="10" s="1"/>
  <c r="O13" i="10" s="1"/>
  <c r="M11" i="10"/>
  <c r="M12" i="10" s="1"/>
  <c r="M13" i="10" s="1"/>
  <c r="M49" i="10" s="1"/>
  <c r="V18" i="10"/>
  <c r="U11" i="10"/>
  <c r="U12" i="10" s="1"/>
  <c r="U13" i="10" s="1"/>
  <c r="L11" i="10"/>
  <c r="L12" i="10" s="1"/>
  <c r="L13" i="10" s="1"/>
  <c r="T11" i="10"/>
  <c r="T12" i="10" s="1"/>
  <c r="T13" i="10" s="1"/>
  <c r="K11" i="10"/>
  <c r="K12" i="10" s="1"/>
  <c r="K13" i="10" s="1"/>
  <c r="S11" i="10"/>
  <c r="S12" i="10" s="1"/>
  <c r="S13" i="10" s="1"/>
  <c r="J11" i="10"/>
  <c r="J12" i="10" s="1"/>
  <c r="J13" i="10" s="1"/>
  <c r="R11" i="10"/>
  <c r="R12" i="10" s="1"/>
  <c r="R13" i="10" s="1"/>
  <c r="I11" i="10"/>
  <c r="I12" i="10" s="1"/>
  <c r="I13" i="10" s="1"/>
  <c r="Q11" i="10"/>
  <c r="Q12" i="10" s="1"/>
  <c r="Q13" i="10" s="1"/>
  <c r="V17" i="10"/>
  <c r="V16" i="10"/>
  <c r="H13" i="10"/>
  <c r="AD15" i="7"/>
  <c r="K34" i="7"/>
  <c r="D9" i="7"/>
  <c r="E137" i="9"/>
  <c r="E117" i="9"/>
  <c r="AD133" i="9"/>
  <c r="AD132" i="9"/>
  <c r="AD131" i="9"/>
  <c r="AD125" i="9"/>
  <c r="AD124" i="9"/>
  <c r="X129" i="9"/>
  <c r="X128" i="9"/>
  <c r="X127" i="9"/>
  <c r="R133" i="9"/>
  <c r="R132" i="9"/>
  <c r="R131" i="9"/>
  <c r="R125" i="9"/>
  <c r="R124" i="9"/>
  <c r="L130" i="9"/>
  <c r="L129" i="9"/>
  <c r="L128" i="9"/>
  <c r="F126" i="9"/>
  <c r="F127" i="9"/>
  <c r="F128" i="9"/>
  <c r="F134" i="9"/>
  <c r="F124" i="9"/>
  <c r="F137" i="9" s="1"/>
  <c r="D137" i="9"/>
  <c r="C124" i="9"/>
  <c r="C126" i="9" s="1"/>
  <c r="AD130" i="9" s="1"/>
  <c r="I122" i="9"/>
  <c r="O122" i="9" s="1"/>
  <c r="AD113" i="9"/>
  <c r="AD112" i="9"/>
  <c r="AD111" i="9"/>
  <c r="AD109" i="9"/>
  <c r="AD108" i="9"/>
  <c r="AD105" i="9"/>
  <c r="AD104" i="9"/>
  <c r="X113" i="9"/>
  <c r="X112" i="9"/>
  <c r="X109" i="9"/>
  <c r="X108" i="9"/>
  <c r="X107" i="9"/>
  <c r="X105" i="9"/>
  <c r="X104" i="9"/>
  <c r="R113" i="9"/>
  <c r="R112" i="9"/>
  <c r="R111" i="9"/>
  <c r="R109" i="9"/>
  <c r="R108" i="9"/>
  <c r="R105" i="9"/>
  <c r="R104" i="9"/>
  <c r="L114" i="9"/>
  <c r="L113" i="9"/>
  <c r="L110" i="9"/>
  <c r="L109" i="9"/>
  <c r="L108" i="9"/>
  <c r="L106" i="9"/>
  <c r="L105" i="9"/>
  <c r="F106" i="9"/>
  <c r="F107" i="9"/>
  <c r="F108" i="9"/>
  <c r="F110" i="9"/>
  <c r="F111" i="9"/>
  <c r="F114" i="9"/>
  <c r="F104" i="9"/>
  <c r="F117" i="9" s="1"/>
  <c r="D117" i="9"/>
  <c r="C104" i="9"/>
  <c r="C106" i="9" s="1"/>
  <c r="AD110" i="9" s="1"/>
  <c r="I102" i="9"/>
  <c r="O102" i="9" s="1"/>
  <c r="U102" i="9" s="1"/>
  <c r="AA102" i="9" s="1"/>
  <c r="AG102" i="9" s="1"/>
  <c r="AD94" i="9"/>
  <c r="T97" i="9" s="1"/>
  <c r="AD90" i="9"/>
  <c r="AD89" i="9"/>
  <c r="AD88" i="9"/>
  <c r="AD86" i="9"/>
  <c r="X94" i="9"/>
  <c r="X93" i="9"/>
  <c r="X92" i="9"/>
  <c r="X90" i="9"/>
  <c r="X86" i="9"/>
  <c r="X85" i="9"/>
  <c r="X84" i="9"/>
  <c r="R94" i="9"/>
  <c r="R93" i="9"/>
  <c r="R90" i="9"/>
  <c r="R89" i="9"/>
  <c r="R88" i="9"/>
  <c r="R86" i="9"/>
  <c r="R85" i="9"/>
  <c r="O82" i="9"/>
  <c r="U82" i="9" s="1"/>
  <c r="L94" i="9"/>
  <c r="L93" i="9"/>
  <c r="L91" i="9"/>
  <c r="L90" i="9"/>
  <c r="L87" i="9"/>
  <c r="L86" i="9"/>
  <c r="L85" i="9"/>
  <c r="F84" i="9"/>
  <c r="F97" i="9" s="1"/>
  <c r="C64" i="9"/>
  <c r="C84" i="9"/>
  <c r="C86" i="9" s="1"/>
  <c r="AD87" i="9" s="1"/>
  <c r="G83" i="9"/>
  <c r="H83" i="9" s="1"/>
  <c r="I83" i="9" s="1"/>
  <c r="G84" i="9" s="1"/>
  <c r="E97" i="9"/>
  <c r="D97" i="9"/>
  <c r="I82" i="9"/>
  <c r="U62" i="9"/>
  <c r="AA62" i="9" s="1"/>
  <c r="S63" i="9"/>
  <c r="T63" i="9" s="1"/>
  <c r="O62" i="9"/>
  <c r="F77" i="9"/>
  <c r="E77" i="9"/>
  <c r="D77" i="9"/>
  <c r="C66" i="9"/>
  <c r="I62" i="9"/>
  <c r="G63" i="9" s="1"/>
  <c r="H63" i="9" s="1"/>
  <c r="I63" i="9" s="1"/>
  <c r="AD51" i="9"/>
  <c r="AD50" i="9"/>
  <c r="AD49" i="9"/>
  <c r="X54" i="9"/>
  <c r="X53" i="9"/>
  <c r="X52" i="9"/>
  <c r="X46" i="9"/>
  <c r="X45" i="9"/>
  <c r="R51" i="9"/>
  <c r="R50" i="9"/>
  <c r="R49" i="9"/>
  <c r="O42" i="9"/>
  <c r="U42" i="9" s="1"/>
  <c r="L54" i="9"/>
  <c r="L53" i="9"/>
  <c r="L47" i="9"/>
  <c r="L46" i="9"/>
  <c r="L45" i="9"/>
  <c r="F50" i="9"/>
  <c r="F51" i="9"/>
  <c r="F52" i="9"/>
  <c r="F57" i="9"/>
  <c r="E57" i="9"/>
  <c r="D57" i="9"/>
  <c r="C44" i="9"/>
  <c r="C46" i="9" s="1"/>
  <c r="AD48" i="9" s="1"/>
  <c r="I42" i="9"/>
  <c r="O23" i="9"/>
  <c r="M24" i="9" s="1"/>
  <c r="H5" i="9"/>
  <c r="I5" i="9" s="1"/>
  <c r="G5" i="9"/>
  <c r="I23" i="9"/>
  <c r="G24" i="9" s="1"/>
  <c r="H24" i="9" s="1"/>
  <c r="I24" i="9" s="1"/>
  <c r="G25" i="9" s="1"/>
  <c r="H25" i="9" s="1"/>
  <c r="C25" i="9"/>
  <c r="K49" i="10" l="1"/>
  <c r="U49" i="10"/>
  <c r="S49" i="10"/>
  <c r="L49" i="10"/>
  <c r="J47" i="10"/>
  <c r="H47" i="10"/>
  <c r="V33" i="10"/>
  <c r="T49" i="10"/>
  <c r="T48" i="10"/>
  <c r="J49" i="10"/>
  <c r="M47" i="10"/>
  <c r="S47" i="10"/>
  <c r="O28" i="10"/>
  <c r="V28" i="10" s="1"/>
  <c r="O47" i="10"/>
  <c r="I47" i="10"/>
  <c r="L47" i="10"/>
  <c r="Q47" i="10"/>
  <c r="N28" i="10"/>
  <c r="N47" i="10"/>
  <c r="P48" i="10"/>
  <c r="T47" i="10"/>
  <c r="K47" i="10"/>
  <c r="K48" i="10"/>
  <c r="R47" i="10"/>
  <c r="S48" i="10"/>
  <c r="U47" i="10"/>
  <c r="J48" i="10"/>
  <c r="I44" i="10"/>
  <c r="I49" i="10" s="1"/>
  <c r="I48" i="10"/>
  <c r="P47" i="10"/>
  <c r="R48" i="10"/>
  <c r="U48" i="10"/>
  <c r="Q48" i="10"/>
  <c r="H44" i="10"/>
  <c r="L48" i="10"/>
  <c r="H29" i="10"/>
  <c r="V27" i="10"/>
  <c r="V22" i="10"/>
  <c r="H23" i="10"/>
  <c r="H48" i="10" s="1"/>
  <c r="V13" i="10"/>
  <c r="V12" i="10"/>
  <c r="V11" i="10"/>
  <c r="S83" i="9"/>
  <c r="T83" i="9" s="1"/>
  <c r="AA82" i="9"/>
  <c r="AG82" i="9" s="1"/>
  <c r="AE83" i="9" s="1"/>
  <c r="AF83" i="9" s="1"/>
  <c r="AA42" i="9"/>
  <c r="S43" i="9"/>
  <c r="T43" i="9" s="1"/>
  <c r="M123" i="9"/>
  <c r="N123" i="9" s="1"/>
  <c r="U122" i="9"/>
  <c r="AA122" i="9" s="1"/>
  <c r="AG122" i="9" s="1"/>
  <c r="AE123" i="9" s="1"/>
  <c r="AF123" i="9" s="1"/>
  <c r="AG123" i="9" s="1"/>
  <c r="AE124" i="9" s="1"/>
  <c r="AF124" i="9" s="1"/>
  <c r="AG124" i="9" s="1"/>
  <c r="AG62" i="9"/>
  <c r="Y63" i="9"/>
  <c r="Z63" i="9" s="1"/>
  <c r="G6" i="9"/>
  <c r="H6" i="9" s="1"/>
  <c r="I6" i="9" s="1"/>
  <c r="H43" i="9"/>
  <c r="I43" i="9" s="1"/>
  <c r="G44" i="9" s="1"/>
  <c r="S117" i="9"/>
  <c r="G43" i="9"/>
  <c r="F49" i="9"/>
  <c r="L48" i="9"/>
  <c r="R52" i="9"/>
  <c r="X47" i="9"/>
  <c r="AD52" i="9"/>
  <c r="L88" i="9"/>
  <c r="R91" i="9"/>
  <c r="O97" i="9" s="1"/>
  <c r="X87" i="9"/>
  <c r="AD91" i="9"/>
  <c r="G103" i="9"/>
  <c r="H103" i="9" s="1"/>
  <c r="F113" i="9"/>
  <c r="F105" i="9"/>
  <c r="L111" i="9"/>
  <c r="R106" i="9"/>
  <c r="R114" i="9"/>
  <c r="R117" i="9" s="1"/>
  <c r="X110" i="9"/>
  <c r="AD106" i="9"/>
  <c r="AD114" i="9"/>
  <c r="T117" i="9" s="1"/>
  <c r="F133" i="9"/>
  <c r="F125" i="9"/>
  <c r="G137" i="9" s="1"/>
  <c r="L131" i="9"/>
  <c r="R126" i="9"/>
  <c r="R134" i="9"/>
  <c r="R137" i="9" s="1"/>
  <c r="X130" i="9"/>
  <c r="AD126" i="9"/>
  <c r="AD134" i="9"/>
  <c r="T137" i="9" s="1"/>
  <c r="F48" i="9"/>
  <c r="L49" i="9"/>
  <c r="R45" i="9"/>
  <c r="R53" i="9"/>
  <c r="Q57" i="9" s="1"/>
  <c r="X48" i="9"/>
  <c r="AD45" i="9"/>
  <c r="AD53" i="9"/>
  <c r="S57" i="9" s="1"/>
  <c r="L89" i="9"/>
  <c r="R84" i="9"/>
  <c r="R92" i="9"/>
  <c r="X88" i="9"/>
  <c r="AD84" i="9"/>
  <c r="J97" i="9" s="1"/>
  <c r="AD92" i="9"/>
  <c r="F112" i="9"/>
  <c r="L104" i="9"/>
  <c r="L112" i="9"/>
  <c r="R107" i="9"/>
  <c r="X111" i="9"/>
  <c r="AD107" i="9"/>
  <c r="F132" i="9"/>
  <c r="N137" i="9" s="1"/>
  <c r="L124" i="9"/>
  <c r="L132" i="9"/>
  <c r="O137" i="9" s="1"/>
  <c r="R127" i="9"/>
  <c r="X131" i="9"/>
  <c r="AD127" i="9"/>
  <c r="F47" i="9"/>
  <c r="I57" i="9" s="1"/>
  <c r="L50" i="9"/>
  <c r="R46" i="9"/>
  <c r="J57" i="9" s="1"/>
  <c r="R54" i="9"/>
  <c r="X49" i="9"/>
  <c r="AD46" i="9"/>
  <c r="AD54" i="9"/>
  <c r="T57" i="9" s="1"/>
  <c r="X89" i="9"/>
  <c r="AD85" i="9"/>
  <c r="AD93" i="9"/>
  <c r="F131" i="9"/>
  <c r="M137" i="9" s="1"/>
  <c r="L125" i="9"/>
  <c r="L133" i="9"/>
  <c r="R128" i="9"/>
  <c r="X124" i="9"/>
  <c r="X132" i="9"/>
  <c r="AD128" i="9"/>
  <c r="F45" i="9"/>
  <c r="G57" i="9" s="1"/>
  <c r="F46" i="9"/>
  <c r="L51" i="9"/>
  <c r="R47" i="9"/>
  <c r="X50" i="9"/>
  <c r="AD47" i="9"/>
  <c r="F130" i="9"/>
  <c r="L126" i="9"/>
  <c r="L134" i="9"/>
  <c r="Q137" i="9" s="1"/>
  <c r="R129" i="9"/>
  <c r="X125" i="9"/>
  <c r="X133" i="9"/>
  <c r="AD129" i="9"/>
  <c r="U23" i="9"/>
  <c r="F53" i="9"/>
  <c r="F54" i="9"/>
  <c r="L52" i="9"/>
  <c r="O57" i="9" s="1"/>
  <c r="R48" i="9"/>
  <c r="X51" i="9"/>
  <c r="L84" i="9"/>
  <c r="L92" i="9"/>
  <c r="R87" i="9"/>
  <c r="X91" i="9"/>
  <c r="F109" i="9"/>
  <c r="L107" i="9"/>
  <c r="J117" i="9" s="1"/>
  <c r="R110" i="9"/>
  <c r="X106" i="9"/>
  <c r="X114" i="9"/>
  <c r="F129" i="9"/>
  <c r="L127" i="9"/>
  <c r="R130" i="9"/>
  <c r="X126" i="9"/>
  <c r="X134" i="9"/>
  <c r="S137" i="9" s="1"/>
  <c r="K137" i="9"/>
  <c r="J137" i="9"/>
  <c r="L137" i="9"/>
  <c r="O123" i="9"/>
  <c r="I137" i="9"/>
  <c r="G123" i="9"/>
  <c r="H123" i="9" s="1"/>
  <c r="I123" i="9" s="1"/>
  <c r="G124" i="9" s="1"/>
  <c r="H124" i="9" s="1"/>
  <c r="I124" i="9" s="1"/>
  <c r="P137" i="9"/>
  <c r="H137" i="9"/>
  <c r="AE103" i="9"/>
  <c r="AF103" i="9" s="1"/>
  <c r="AG103" i="9" s="1"/>
  <c r="K117" i="9"/>
  <c r="Y103" i="9"/>
  <c r="Z103" i="9" s="1"/>
  <c r="AA103" i="9" s="1"/>
  <c r="M117" i="9"/>
  <c r="I117" i="9"/>
  <c r="S103" i="9"/>
  <c r="T103" i="9" s="1"/>
  <c r="U103" i="9" s="1"/>
  <c r="O117" i="9"/>
  <c r="M103" i="9"/>
  <c r="N103" i="9" s="1"/>
  <c r="O103" i="9" s="1"/>
  <c r="Q117" i="9"/>
  <c r="L117" i="9"/>
  <c r="G117" i="9"/>
  <c r="H117" i="9"/>
  <c r="P117" i="9"/>
  <c r="I103" i="9"/>
  <c r="AG83" i="9"/>
  <c r="Y83" i="9"/>
  <c r="Z83" i="9" s="1"/>
  <c r="AA83" i="9" s="1"/>
  <c r="U83" i="9"/>
  <c r="M83" i="9"/>
  <c r="N83" i="9" s="1"/>
  <c r="O83" i="9" s="1"/>
  <c r="H84" i="9"/>
  <c r="I84" i="9" s="1"/>
  <c r="G85" i="9" s="1"/>
  <c r="F68" i="9"/>
  <c r="L70" i="9"/>
  <c r="R66" i="9"/>
  <c r="R74" i="9"/>
  <c r="X69" i="9"/>
  <c r="AD66" i="9"/>
  <c r="AD74" i="9"/>
  <c r="T77" i="9" s="1"/>
  <c r="F69" i="9"/>
  <c r="F65" i="9"/>
  <c r="G77" i="9" s="1"/>
  <c r="F67" i="9"/>
  <c r="L71" i="9"/>
  <c r="R67" i="9"/>
  <c r="X70" i="9"/>
  <c r="AD67" i="9"/>
  <c r="S97" i="9"/>
  <c r="R65" i="9"/>
  <c r="R73" i="9"/>
  <c r="X68" i="9"/>
  <c r="AD65" i="9"/>
  <c r="AD73" i="9"/>
  <c r="F74" i="9"/>
  <c r="F66" i="9"/>
  <c r="H77" i="9" s="1"/>
  <c r="L72" i="9"/>
  <c r="R68" i="9"/>
  <c r="X71" i="9"/>
  <c r="P77" i="9" s="1"/>
  <c r="AD68" i="9"/>
  <c r="F73" i="9"/>
  <c r="L65" i="9"/>
  <c r="L73" i="9"/>
  <c r="R69" i="9"/>
  <c r="X72" i="9"/>
  <c r="AD69" i="9"/>
  <c r="P97" i="9"/>
  <c r="F72" i="9"/>
  <c r="L66" i="9"/>
  <c r="L74" i="9"/>
  <c r="R70" i="9"/>
  <c r="X65" i="9"/>
  <c r="X73" i="9"/>
  <c r="R77" i="9" s="1"/>
  <c r="AD70" i="9"/>
  <c r="K97" i="9"/>
  <c r="F71" i="9"/>
  <c r="L67" i="9"/>
  <c r="R71" i="9"/>
  <c r="X66" i="9"/>
  <c r="K77" i="9" s="1"/>
  <c r="X74" i="9"/>
  <c r="S77" i="9" s="1"/>
  <c r="AD71" i="9"/>
  <c r="L69" i="9"/>
  <c r="F70" i="9"/>
  <c r="L68" i="9"/>
  <c r="R72" i="9"/>
  <c r="X67" i="9"/>
  <c r="AD72" i="9"/>
  <c r="F85" i="9"/>
  <c r="G97" i="9" s="1"/>
  <c r="F94" i="9"/>
  <c r="F88" i="9"/>
  <c r="F91" i="9"/>
  <c r="F89" i="9"/>
  <c r="F87" i="9"/>
  <c r="F93" i="9"/>
  <c r="F86" i="9"/>
  <c r="H97" i="9" s="1"/>
  <c r="F92" i="9"/>
  <c r="F90" i="9"/>
  <c r="I97" i="9"/>
  <c r="AE63" i="9"/>
  <c r="AF63" i="9" s="1"/>
  <c r="AG63" i="9" s="1"/>
  <c r="AA63" i="9"/>
  <c r="J77" i="9"/>
  <c r="U63" i="9"/>
  <c r="N77" i="9"/>
  <c r="M63" i="9"/>
  <c r="N63" i="9" s="1"/>
  <c r="O63" i="9" s="1"/>
  <c r="G64" i="9"/>
  <c r="H64" i="9" s="1"/>
  <c r="I64" i="9" s="1"/>
  <c r="U43" i="9"/>
  <c r="N57" i="9"/>
  <c r="M43" i="9"/>
  <c r="N43" i="9" s="1"/>
  <c r="O43" i="9" s="1"/>
  <c r="L57" i="9"/>
  <c r="K57" i="9"/>
  <c r="H44" i="9"/>
  <c r="I44" i="9" s="1"/>
  <c r="G45" i="9" s="1"/>
  <c r="H57" i="9"/>
  <c r="P57" i="9"/>
  <c r="N24" i="9"/>
  <c r="O24" i="9" s="1"/>
  <c r="V54" i="10" l="1"/>
  <c r="V47" i="10"/>
  <c r="O29" i="10"/>
  <c r="O49" i="10" s="1"/>
  <c r="O48" i="10"/>
  <c r="H49" i="10"/>
  <c r="V44" i="10"/>
  <c r="V48" i="10"/>
  <c r="N29" i="10"/>
  <c r="N49" i="10" s="1"/>
  <c r="N48" i="10"/>
  <c r="H24" i="10"/>
  <c r="V24" i="10" s="1"/>
  <c r="V23" i="10"/>
  <c r="V55" i="10" s="1"/>
  <c r="Y123" i="9"/>
  <c r="Z123" i="9" s="1"/>
  <c r="AA123" i="9" s="1"/>
  <c r="Y124" i="9" s="1"/>
  <c r="Z124" i="9" s="1"/>
  <c r="AA124" i="9" s="1"/>
  <c r="Q77" i="9"/>
  <c r="AA23" i="9"/>
  <c r="S24" i="9"/>
  <c r="T24" i="9" s="1"/>
  <c r="U24" i="9" s="1"/>
  <c r="O77" i="9"/>
  <c r="S123" i="9"/>
  <c r="T123" i="9" s="1"/>
  <c r="M57" i="9"/>
  <c r="AG42" i="9"/>
  <c r="Y43" i="9"/>
  <c r="Z43" i="9" s="1"/>
  <c r="AA43" i="9" s="1"/>
  <c r="Y44" i="9" s="1"/>
  <c r="Z44" i="9" s="1"/>
  <c r="AA44" i="9" s="1"/>
  <c r="Y45" i="9" s="1"/>
  <c r="Z45" i="9" s="1"/>
  <c r="AA45" i="9" s="1"/>
  <c r="H85" i="9"/>
  <c r="I85" i="9" s="1"/>
  <c r="G86" i="9" s="1"/>
  <c r="L77" i="9"/>
  <c r="U123" i="9"/>
  <c r="N117" i="9"/>
  <c r="R57" i="9"/>
  <c r="AE125" i="9"/>
  <c r="AF125" i="9" s="1"/>
  <c r="AG125" i="9" s="1"/>
  <c r="S124" i="9"/>
  <c r="T124" i="9" s="1"/>
  <c r="U124" i="9" s="1"/>
  <c r="M124" i="9"/>
  <c r="N124" i="9" s="1"/>
  <c r="O124" i="9" s="1"/>
  <c r="U137" i="9"/>
  <c r="G125" i="9"/>
  <c r="H125" i="9" s="1"/>
  <c r="I125" i="9" s="1"/>
  <c r="AE104" i="9"/>
  <c r="AF104" i="9" s="1"/>
  <c r="AG104" i="9" s="1"/>
  <c r="Y104" i="9"/>
  <c r="Z104" i="9" s="1"/>
  <c r="AA104" i="9" s="1"/>
  <c r="S104" i="9"/>
  <c r="T104" i="9" s="1"/>
  <c r="U104" i="9" s="1"/>
  <c r="M104" i="9"/>
  <c r="N104" i="9" s="1"/>
  <c r="O104" i="9" s="1"/>
  <c r="U117" i="9"/>
  <c r="G104" i="9"/>
  <c r="H104" i="9" s="1"/>
  <c r="I104" i="9" s="1"/>
  <c r="AE84" i="9"/>
  <c r="AF84" i="9" s="1"/>
  <c r="AG84" i="9" s="1"/>
  <c r="Y84" i="9"/>
  <c r="Z84" i="9" s="1"/>
  <c r="AA84" i="9" s="1"/>
  <c r="S84" i="9"/>
  <c r="T84" i="9" s="1"/>
  <c r="U84" i="9" s="1"/>
  <c r="M84" i="9"/>
  <c r="N84" i="9" s="1"/>
  <c r="O84" i="9" s="1"/>
  <c r="Q97" i="9"/>
  <c r="M97" i="9"/>
  <c r="M77" i="9"/>
  <c r="R97" i="9"/>
  <c r="L97" i="9"/>
  <c r="I77" i="9"/>
  <c r="U77" i="9" s="1"/>
  <c r="N97" i="9"/>
  <c r="H86" i="9"/>
  <c r="I86" i="9" s="1"/>
  <c r="G87" i="9" s="1"/>
  <c r="H87" i="9" s="1"/>
  <c r="I87" i="9" s="1"/>
  <c r="G88" i="9" s="1"/>
  <c r="H88" i="9" s="1"/>
  <c r="I88" i="9" s="1"/>
  <c r="AE64" i="9"/>
  <c r="AF64" i="9" s="1"/>
  <c r="AG64" i="9" s="1"/>
  <c r="Y64" i="9"/>
  <c r="Z64" i="9" s="1"/>
  <c r="AA64" i="9" s="1"/>
  <c r="S64" i="9"/>
  <c r="T64" i="9" s="1"/>
  <c r="U64" i="9" s="1"/>
  <c r="M64" i="9"/>
  <c r="N64" i="9" s="1"/>
  <c r="O64" i="9" s="1"/>
  <c r="G65" i="9"/>
  <c r="H65" i="9" s="1"/>
  <c r="I65" i="9" s="1"/>
  <c r="S44" i="9"/>
  <c r="T44" i="9" s="1"/>
  <c r="U44" i="9" s="1"/>
  <c r="M44" i="9"/>
  <c r="N44" i="9" s="1"/>
  <c r="O44" i="9" s="1"/>
  <c r="U57" i="9"/>
  <c r="H45" i="9"/>
  <c r="I45" i="9" s="1"/>
  <c r="G46" i="9" s="1"/>
  <c r="H46" i="9" s="1"/>
  <c r="I46" i="9" s="1"/>
  <c r="G47" i="9" s="1"/>
  <c r="H47" i="9" s="1"/>
  <c r="I47" i="9" s="1"/>
  <c r="G48" i="9" s="1"/>
  <c r="H48" i="9" s="1"/>
  <c r="S25" i="9"/>
  <c r="T25" i="9" s="1"/>
  <c r="U25" i="9" s="1"/>
  <c r="M25" i="9"/>
  <c r="N25" i="9" s="1"/>
  <c r="O25" i="9" s="1"/>
  <c r="V29" i="10" l="1"/>
  <c r="V56" i="10" s="1"/>
  <c r="V49" i="10"/>
  <c r="AG23" i="9"/>
  <c r="AE24" i="9" s="1"/>
  <c r="AF24" i="9" s="1"/>
  <c r="AG24" i="9" s="1"/>
  <c r="AE25" i="9" s="1"/>
  <c r="AF25" i="9" s="1"/>
  <c r="AG25" i="9" s="1"/>
  <c r="AE26" i="9" s="1"/>
  <c r="Y24" i="9"/>
  <c r="Z24" i="9" s="1"/>
  <c r="AA24" i="9" s="1"/>
  <c r="Y25" i="9" s="1"/>
  <c r="Z25" i="9" s="1"/>
  <c r="AA25" i="9" s="1"/>
  <c r="Y26" i="9" s="1"/>
  <c r="AG43" i="9"/>
  <c r="AE44" i="9" s="1"/>
  <c r="AF44" i="9" s="1"/>
  <c r="AG44" i="9" s="1"/>
  <c r="AE43" i="9"/>
  <c r="AF43" i="9" s="1"/>
  <c r="AE126" i="9"/>
  <c r="AF126" i="9" s="1"/>
  <c r="AG126" i="9" s="1"/>
  <c r="Y125" i="9"/>
  <c r="Z125" i="9" s="1"/>
  <c r="AA125" i="9" s="1"/>
  <c r="S125" i="9"/>
  <c r="T125" i="9" s="1"/>
  <c r="U125" i="9" s="1"/>
  <c r="M125" i="9"/>
  <c r="N125" i="9" s="1"/>
  <c r="O125" i="9" s="1"/>
  <c r="G126" i="9"/>
  <c r="H126" i="9" s="1"/>
  <c r="I126" i="9" s="1"/>
  <c r="AE105" i="9"/>
  <c r="AF105" i="9" s="1"/>
  <c r="AG105" i="9" s="1"/>
  <c r="Y105" i="9"/>
  <c r="Z105" i="9" s="1"/>
  <c r="AA105" i="9" s="1"/>
  <c r="S105" i="9"/>
  <c r="T105" i="9" s="1"/>
  <c r="U105" i="9" s="1"/>
  <c r="M105" i="9"/>
  <c r="N105" i="9" s="1"/>
  <c r="O105" i="9" s="1"/>
  <c r="G105" i="9"/>
  <c r="H105" i="9" s="1"/>
  <c r="I105" i="9" s="1"/>
  <c r="AE85" i="9"/>
  <c r="AF85" i="9" s="1"/>
  <c r="AG85" i="9" s="1"/>
  <c r="Y85" i="9"/>
  <c r="Z85" i="9" s="1"/>
  <c r="AA85" i="9" s="1"/>
  <c r="U97" i="9"/>
  <c r="S85" i="9"/>
  <c r="T85" i="9" s="1"/>
  <c r="U85" i="9" s="1"/>
  <c r="M85" i="9"/>
  <c r="N85" i="9" s="1"/>
  <c r="O85" i="9" s="1"/>
  <c r="G89" i="9"/>
  <c r="H89" i="9" s="1"/>
  <c r="I89" i="9" s="1"/>
  <c r="AE65" i="9"/>
  <c r="AF65" i="9" s="1"/>
  <c r="AG65" i="9" s="1"/>
  <c r="Y65" i="9"/>
  <c r="Z65" i="9" s="1"/>
  <c r="AA65" i="9" s="1"/>
  <c r="S65" i="9"/>
  <c r="T65" i="9" s="1"/>
  <c r="U65" i="9" s="1"/>
  <c r="M65" i="9"/>
  <c r="N65" i="9" s="1"/>
  <c r="O65" i="9" s="1"/>
  <c r="G66" i="9"/>
  <c r="H66" i="9" s="1"/>
  <c r="I66" i="9" s="1"/>
  <c r="AE45" i="9"/>
  <c r="AF45" i="9" s="1"/>
  <c r="AG45" i="9" s="1"/>
  <c r="Y46" i="9"/>
  <c r="Z46" i="9" s="1"/>
  <c r="AA46" i="9" s="1"/>
  <c r="S45" i="9"/>
  <c r="T45" i="9" s="1"/>
  <c r="U45" i="9" s="1"/>
  <c r="M45" i="9"/>
  <c r="N45" i="9" s="1"/>
  <c r="O45" i="9" s="1"/>
  <c r="I48" i="9"/>
  <c r="G49" i="9" s="1"/>
  <c r="H49" i="9" s="1"/>
  <c r="I49" i="9" s="1"/>
  <c r="S26" i="9"/>
  <c r="M26" i="9"/>
  <c r="AE127" i="9" l="1"/>
  <c r="AF127" i="9" s="1"/>
  <c r="AG127" i="9" s="1"/>
  <c r="Y126" i="9"/>
  <c r="Z126" i="9" s="1"/>
  <c r="AA126" i="9" s="1"/>
  <c r="S126" i="9"/>
  <c r="T126" i="9" s="1"/>
  <c r="U126" i="9" s="1"/>
  <c r="M126" i="9"/>
  <c r="N126" i="9" s="1"/>
  <c r="O126" i="9" s="1"/>
  <c r="G127" i="9"/>
  <c r="H127" i="9" s="1"/>
  <c r="I127" i="9" s="1"/>
  <c r="AE106" i="9"/>
  <c r="AF106" i="9" s="1"/>
  <c r="AG106" i="9" s="1"/>
  <c r="Y106" i="9"/>
  <c r="Z106" i="9" s="1"/>
  <c r="AA106" i="9" s="1"/>
  <c r="S106" i="9"/>
  <c r="T106" i="9" s="1"/>
  <c r="U106" i="9" s="1"/>
  <c r="M106" i="9"/>
  <c r="N106" i="9" s="1"/>
  <c r="O106" i="9" s="1"/>
  <c r="G106" i="9"/>
  <c r="H106" i="9" s="1"/>
  <c r="I106" i="9" s="1"/>
  <c r="AE86" i="9"/>
  <c r="AF86" i="9" s="1"/>
  <c r="AG86" i="9" s="1"/>
  <c r="Y86" i="9"/>
  <c r="Z86" i="9" s="1"/>
  <c r="AA86" i="9" s="1"/>
  <c r="S86" i="9"/>
  <c r="T86" i="9" s="1"/>
  <c r="U86" i="9" s="1"/>
  <c r="M86" i="9"/>
  <c r="N86" i="9" s="1"/>
  <c r="O86" i="9" s="1"/>
  <c r="G90" i="9"/>
  <c r="H90" i="9" s="1"/>
  <c r="I90" i="9" s="1"/>
  <c r="AE66" i="9"/>
  <c r="AF66" i="9" s="1"/>
  <c r="AG66" i="9" s="1"/>
  <c r="Y66" i="9"/>
  <c r="Z66" i="9" s="1"/>
  <c r="AA66" i="9" s="1"/>
  <c r="S66" i="9"/>
  <c r="T66" i="9" s="1"/>
  <c r="U66" i="9" s="1"/>
  <c r="M66" i="9"/>
  <c r="N66" i="9" s="1"/>
  <c r="O66" i="9" s="1"/>
  <c r="G67" i="9"/>
  <c r="H67" i="9" s="1"/>
  <c r="I67" i="9" s="1"/>
  <c r="AE46" i="9"/>
  <c r="AF46" i="9" s="1"/>
  <c r="AG46" i="9" s="1"/>
  <c r="Y47" i="9"/>
  <c r="Z47" i="9" s="1"/>
  <c r="AA47" i="9" s="1"/>
  <c r="S46" i="9"/>
  <c r="T46" i="9" s="1"/>
  <c r="U46" i="9" s="1"/>
  <c r="M46" i="9"/>
  <c r="N46" i="9" s="1"/>
  <c r="O46" i="9" s="1"/>
  <c r="G50" i="9"/>
  <c r="H50" i="9" s="1"/>
  <c r="I50" i="9"/>
  <c r="AE128" i="9" l="1"/>
  <c r="AF128" i="9" s="1"/>
  <c r="AG128" i="9" s="1"/>
  <c r="Y127" i="9"/>
  <c r="Z127" i="9" s="1"/>
  <c r="AA127" i="9" s="1"/>
  <c r="S127" i="9"/>
  <c r="T127" i="9" s="1"/>
  <c r="U127" i="9" s="1"/>
  <c r="M127" i="9"/>
  <c r="N127" i="9" s="1"/>
  <c r="O127" i="9" s="1"/>
  <c r="G128" i="9"/>
  <c r="H128" i="9" s="1"/>
  <c r="I128" i="9" s="1"/>
  <c r="AE107" i="9"/>
  <c r="AF107" i="9" s="1"/>
  <c r="AG107" i="9" s="1"/>
  <c r="Y107" i="9"/>
  <c r="Z107" i="9" s="1"/>
  <c r="AA107" i="9" s="1"/>
  <c r="S107" i="9"/>
  <c r="T107" i="9" s="1"/>
  <c r="U107" i="9" s="1"/>
  <c r="M107" i="9"/>
  <c r="N107" i="9" s="1"/>
  <c r="O107" i="9" s="1"/>
  <c r="G107" i="9"/>
  <c r="H107" i="9" s="1"/>
  <c r="I107" i="9" s="1"/>
  <c r="AE87" i="9"/>
  <c r="AF87" i="9" s="1"/>
  <c r="AG87" i="9"/>
  <c r="Y87" i="9"/>
  <c r="Z87" i="9" s="1"/>
  <c r="AA87" i="9" s="1"/>
  <c r="S87" i="9"/>
  <c r="T87" i="9" s="1"/>
  <c r="U87" i="9" s="1"/>
  <c r="M87" i="9"/>
  <c r="N87" i="9" s="1"/>
  <c r="O87" i="9" s="1"/>
  <c r="G91" i="9"/>
  <c r="H91" i="9" s="1"/>
  <c r="I91" i="9" s="1"/>
  <c r="AE67" i="9"/>
  <c r="AF67" i="9" s="1"/>
  <c r="AG67" i="9" s="1"/>
  <c r="Y67" i="9"/>
  <c r="Z67" i="9" s="1"/>
  <c r="AA67" i="9" s="1"/>
  <c r="S67" i="9"/>
  <c r="T67" i="9" s="1"/>
  <c r="U67" i="9" s="1"/>
  <c r="M67" i="9"/>
  <c r="N67" i="9" s="1"/>
  <c r="O67" i="9" s="1"/>
  <c r="G68" i="9"/>
  <c r="H68" i="9" s="1"/>
  <c r="I68" i="9" s="1"/>
  <c r="AE47" i="9"/>
  <c r="AF47" i="9" s="1"/>
  <c r="AG47" i="9"/>
  <c r="Y48" i="9"/>
  <c r="Z48" i="9" s="1"/>
  <c r="AA48" i="9" s="1"/>
  <c r="S47" i="9"/>
  <c r="T47" i="9" s="1"/>
  <c r="U47" i="9" s="1"/>
  <c r="M47" i="9"/>
  <c r="N47" i="9" s="1"/>
  <c r="O47" i="9" s="1"/>
  <c r="G51" i="9"/>
  <c r="H51" i="9" s="1"/>
  <c r="I51" i="9" s="1"/>
  <c r="AE129" i="9" l="1"/>
  <c r="AF129" i="9" s="1"/>
  <c r="AG129" i="9" s="1"/>
  <c r="Y128" i="9"/>
  <c r="Z128" i="9" s="1"/>
  <c r="AA128" i="9" s="1"/>
  <c r="S128" i="9"/>
  <c r="T128" i="9" s="1"/>
  <c r="U128" i="9" s="1"/>
  <c r="M128" i="9"/>
  <c r="N128" i="9" s="1"/>
  <c r="O128" i="9" s="1"/>
  <c r="G129" i="9"/>
  <c r="H129" i="9" s="1"/>
  <c r="I129" i="9" s="1"/>
  <c r="AE108" i="9"/>
  <c r="AF108" i="9" s="1"/>
  <c r="AG108" i="9" s="1"/>
  <c r="Y108" i="9"/>
  <c r="Z108" i="9" s="1"/>
  <c r="AA108" i="9" s="1"/>
  <c r="S108" i="9"/>
  <c r="T108" i="9" s="1"/>
  <c r="U108" i="9" s="1"/>
  <c r="M108" i="9"/>
  <c r="N108" i="9" s="1"/>
  <c r="O108" i="9" s="1"/>
  <c r="G108" i="9"/>
  <c r="H108" i="9" s="1"/>
  <c r="I108" i="9" s="1"/>
  <c r="AE88" i="9"/>
  <c r="AF88" i="9" s="1"/>
  <c r="AG88" i="9" s="1"/>
  <c r="Y88" i="9"/>
  <c r="Z88" i="9" s="1"/>
  <c r="AA88" i="9" s="1"/>
  <c r="S88" i="9"/>
  <c r="T88" i="9" s="1"/>
  <c r="U88" i="9" s="1"/>
  <c r="M88" i="9"/>
  <c r="N88" i="9" s="1"/>
  <c r="O88" i="9" s="1"/>
  <c r="G92" i="9"/>
  <c r="H92" i="9" s="1"/>
  <c r="I92" i="9" s="1"/>
  <c r="AE68" i="9"/>
  <c r="AF68" i="9" s="1"/>
  <c r="AG68" i="9" s="1"/>
  <c r="Y68" i="9"/>
  <c r="Z68" i="9" s="1"/>
  <c r="AA68" i="9" s="1"/>
  <c r="S68" i="9"/>
  <c r="T68" i="9" s="1"/>
  <c r="U68" i="9" s="1"/>
  <c r="M68" i="9"/>
  <c r="N68" i="9" s="1"/>
  <c r="O68" i="9" s="1"/>
  <c r="G69" i="9"/>
  <c r="H69" i="9" s="1"/>
  <c r="I69" i="9" s="1"/>
  <c r="AE48" i="9"/>
  <c r="AF48" i="9" s="1"/>
  <c r="AG48" i="9" s="1"/>
  <c r="Y49" i="9"/>
  <c r="Z49" i="9" s="1"/>
  <c r="AA49" i="9" s="1"/>
  <c r="S48" i="9"/>
  <c r="T48" i="9" s="1"/>
  <c r="U48" i="9" s="1"/>
  <c r="O48" i="9"/>
  <c r="M48" i="9"/>
  <c r="N48" i="9" s="1"/>
  <c r="G52" i="9"/>
  <c r="H52" i="9" s="1"/>
  <c r="I52" i="9" s="1"/>
  <c r="AE130" i="9" l="1"/>
  <c r="AF130" i="9" s="1"/>
  <c r="AG130" i="9" s="1"/>
  <c r="Y129" i="9"/>
  <c r="Z129" i="9" s="1"/>
  <c r="AA129" i="9" s="1"/>
  <c r="S129" i="9"/>
  <c r="T129" i="9" s="1"/>
  <c r="U129" i="9" s="1"/>
  <c r="M129" i="9"/>
  <c r="N129" i="9" s="1"/>
  <c r="O129" i="9" s="1"/>
  <c r="G130" i="9"/>
  <c r="H130" i="9" s="1"/>
  <c r="I130" i="9" s="1"/>
  <c r="AE109" i="9"/>
  <c r="AF109" i="9" s="1"/>
  <c r="AG109" i="9" s="1"/>
  <c r="Y109" i="9"/>
  <c r="Z109" i="9" s="1"/>
  <c r="AA109" i="9" s="1"/>
  <c r="S109" i="9"/>
  <c r="T109" i="9" s="1"/>
  <c r="U109" i="9" s="1"/>
  <c r="M109" i="9"/>
  <c r="N109" i="9" s="1"/>
  <c r="O109" i="9" s="1"/>
  <c r="G109" i="9"/>
  <c r="H109" i="9" s="1"/>
  <c r="I109" i="9" s="1"/>
  <c r="AE89" i="9"/>
  <c r="AF89" i="9" s="1"/>
  <c r="AG89" i="9"/>
  <c r="Y89" i="9"/>
  <c r="Z89" i="9" s="1"/>
  <c r="AA89" i="9" s="1"/>
  <c r="S89" i="9"/>
  <c r="T89" i="9" s="1"/>
  <c r="U89" i="9" s="1"/>
  <c r="M89" i="9"/>
  <c r="N89" i="9" s="1"/>
  <c r="O89" i="9" s="1"/>
  <c r="G93" i="9"/>
  <c r="H93" i="9" s="1"/>
  <c r="I93" i="9" s="1"/>
  <c r="G94" i="9" s="1"/>
  <c r="H94" i="9" s="1"/>
  <c r="I94" i="9" s="1"/>
  <c r="AE69" i="9"/>
  <c r="AF69" i="9" s="1"/>
  <c r="AG69" i="9" s="1"/>
  <c r="Y69" i="9"/>
  <c r="Z69" i="9" s="1"/>
  <c r="AA69" i="9" s="1"/>
  <c r="S69" i="9"/>
  <c r="T69" i="9" s="1"/>
  <c r="U69" i="9" s="1"/>
  <c r="M69" i="9"/>
  <c r="N69" i="9" s="1"/>
  <c r="O69" i="9" s="1"/>
  <c r="G70" i="9"/>
  <c r="H70" i="9" s="1"/>
  <c r="I70" i="9" s="1"/>
  <c r="AE49" i="9"/>
  <c r="AF49" i="9" s="1"/>
  <c r="AG49" i="9" s="1"/>
  <c r="Y50" i="9"/>
  <c r="Z50" i="9" s="1"/>
  <c r="AA50" i="9" s="1"/>
  <c r="S49" i="9"/>
  <c r="T49" i="9" s="1"/>
  <c r="U49" i="9" s="1"/>
  <c r="M49" i="9"/>
  <c r="N49" i="9" s="1"/>
  <c r="O49" i="9" s="1"/>
  <c r="G53" i="9"/>
  <c r="H53" i="9" s="1"/>
  <c r="I53" i="9" s="1"/>
  <c r="AE131" i="9" l="1"/>
  <c r="AF131" i="9" s="1"/>
  <c r="AG131" i="9" s="1"/>
  <c r="Y130" i="9"/>
  <c r="Z130" i="9" s="1"/>
  <c r="AA130" i="9" s="1"/>
  <c r="S130" i="9"/>
  <c r="T130" i="9" s="1"/>
  <c r="U130" i="9" s="1"/>
  <c r="M130" i="9"/>
  <c r="N130" i="9" s="1"/>
  <c r="O130" i="9" s="1"/>
  <c r="G131" i="9"/>
  <c r="H131" i="9" s="1"/>
  <c r="I131" i="9" s="1"/>
  <c r="AE110" i="9"/>
  <c r="AF110" i="9" s="1"/>
  <c r="AG110" i="9" s="1"/>
  <c r="Y110" i="9"/>
  <c r="Z110" i="9" s="1"/>
  <c r="AA110" i="9" s="1"/>
  <c r="S110" i="9"/>
  <c r="T110" i="9" s="1"/>
  <c r="U110" i="9" s="1"/>
  <c r="M110" i="9"/>
  <c r="N110" i="9" s="1"/>
  <c r="O110" i="9" s="1"/>
  <c r="G110" i="9"/>
  <c r="H110" i="9" s="1"/>
  <c r="I110" i="9" s="1"/>
  <c r="AE90" i="9"/>
  <c r="AF90" i="9" s="1"/>
  <c r="AG90" i="9" s="1"/>
  <c r="Y90" i="9"/>
  <c r="Z90" i="9" s="1"/>
  <c r="AA90" i="9" s="1"/>
  <c r="S90" i="9"/>
  <c r="T90" i="9" s="1"/>
  <c r="U90" i="9" s="1"/>
  <c r="M90" i="9"/>
  <c r="N90" i="9" s="1"/>
  <c r="O90" i="9" s="1"/>
  <c r="AE70" i="9"/>
  <c r="AF70" i="9" s="1"/>
  <c r="AG70" i="9" s="1"/>
  <c r="Y70" i="9"/>
  <c r="Z70" i="9" s="1"/>
  <c r="AA70" i="9" s="1"/>
  <c r="S70" i="9"/>
  <c r="T70" i="9" s="1"/>
  <c r="U70" i="9" s="1"/>
  <c r="M70" i="9"/>
  <c r="N70" i="9" s="1"/>
  <c r="O70" i="9" s="1"/>
  <c r="G71" i="9"/>
  <c r="H71" i="9" s="1"/>
  <c r="I71" i="9" s="1"/>
  <c r="AE50" i="9"/>
  <c r="AF50" i="9" s="1"/>
  <c r="AG50" i="9" s="1"/>
  <c r="Y51" i="9"/>
  <c r="Z51" i="9" s="1"/>
  <c r="AA51" i="9" s="1"/>
  <c r="S50" i="9"/>
  <c r="T50" i="9" s="1"/>
  <c r="U50" i="9" s="1"/>
  <c r="M50" i="9"/>
  <c r="N50" i="9" s="1"/>
  <c r="O50" i="9" s="1"/>
  <c r="G54" i="9"/>
  <c r="H54" i="9" s="1"/>
  <c r="I54" i="9" s="1"/>
  <c r="AE132" i="9" l="1"/>
  <c r="AF132" i="9" s="1"/>
  <c r="AG132" i="9" s="1"/>
  <c r="Y131" i="9"/>
  <c r="Z131" i="9" s="1"/>
  <c r="AA131" i="9" s="1"/>
  <c r="S131" i="9"/>
  <c r="T131" i="9" s="1"/>
  <c r="U131" i="9" s="1"/>
  <c r="M131" i="9"/>
  <c r="N131" i="9" s="1"/>
  <c r="O131" i="9" s="1"/>
  <c r="G132" i="9"/>
  <c r="H132" i="9" s="1"/>
  <c r="I132" i="9" s="1"/>
  <c r="AE111" i="9"/>
  <c r="AF111" i="9" s="1"/>
  <c r="AG111" i="9" s="1"/>
  <c r="Y111" i="9"/>
  <c r="Z111" i="9" s="1"/>
  <c r="AA111" i="9" s="1"/>
  <c r="S111" i="9"/>
  <c r="T111" i="9" s="1"/>
  <c r="U111" i="9" s="1"/>
  <c r="M111" i="9"/>
  <c r="N111" i="9" s="1"/>
  <c r="O111" i="9" s="1"/>
  <c r="G111" i="9"/>
  <c r="H111" i="9" s="1"/>
  <c r="I111" i="9" s="1"/>
  <c r="AE91" i="9"/>
  <c r="AF91" i="9" s="1"/>
  <c r="AG91" i="9" s="1"/>
  <c r="Y91" i="9"/>
  <c r="Z91" i="9" s="1"/>
  <c r="AA91" i="9" s="1"/>
  <c r="S91" i="9"/>
  <c r="T91" i="9" s="1"/>
  <c r="U91" i="9" s="1"/>
  <c r="M91" i="9"/>
  <c r="N91" i="9" s="1"/>
  <c r="O91" i="9" s="1"/>
  <c r="AE71" i="9"/>
  <c r="AF71" i="9" s="1"/>
  <c r="AG71" i="9" s="1"/>
  <c r="Y71" i="9"/>
  <c r="Z71" i="9" s="1"/>
  <c r="AA71" i="9" s="1"/>
  <c r="S71" i="9"/>
  <c r="T71" i="9" s="1"/>
  <c r="U71" i="9" s="1"/>
  <c r="M71" i="9"/>
  <c r="N71" i="9" s="1"/>
  <c r="O71" i="9" s="1"/>
  <c r="G72" i="9"/>
  <c r="H72" i="9" s="1"/>
  <c r="I72" i="9" s="1"/>
  <c r="AE51" i="9"/>
  <c r="AF51" i="9" s="1"/>
  <c r="AG51" i="9" s="1"/>
  <c r="Y52" i="9"/>
  <c r="Z52" i="9" s="1"/>
  <c r="AA52" i="9" s="1"/>
  <c r="S51" i="9"/>
  <c r="T51" i="9" s="1"/>
  <c r="U51" i="9" s="1"/>
  <c r="M51" i="9"/>
  <c r="N51" i="9" s="1"/>
  <c r="O51" i="9" s="1"/>
  <c r="AE133" i="9" l="1"/>
  <c r="AF133" i="9" s="1"/>
  <c r="AG133" i="9" s="1"/>
  <c r="Y132" i="9"/>
  <c r="Z132" i="9" s="1"/>
  <c r="AA132" i="9" s="1"/>
  <c r="S132" i="9"/>
  <c r="T132" i="9" s="1"/>
  <c r="U132" i="9" s="1"/>
  <c r="M132" i="9"/>
  <c r="N132" i="9" s="1"/>
  <c r="O132" i="9" s="1"/>
  <c r="G133" i="9"/>
  <c r="H133" i="9" s="1"/>
  <c r="I133" i="9" s="1"/>
  <c r="AE112" i="9"/>
  <c r="AF112" i="9" s="1"/>
  <c r="AG112" i="9" s="1"/>
  <c r="Y112" i="9"/>
  <c r="Z112" i="9" s="1"/>
  <c r="AA112" i="9" s="1"/>
  <c r="S112" i="9"/>
  <c r="T112" i="9" s="1"/>
  <c r="U112" i="9" s="1"/>
  <c r="M112" i="9"/>
  <c r="N112" i="9" s="1"/>
  <c r="O112" i="9" s="1"/>
  <c r="G112" i="9"/>
  <c r="H112" i="9" s="1"/>
  <c r="I112" i="9" s="1"/>
  <c r="AE92" i="9"/>
  <c r="AF92" i="9" s="1"/>
  <c r="AG92" i="9" s="1"/>
  <c r="Y92" i="9"/>
  <c r="Z92" i="9" s="1"/>
  <c r="AA92" i="9" s="1"/>
  <c r="S92" i="9"/>
  <c r="T92" i="9" s="1"/>
  <c r="U92" i="9" s="1"/>
  <c r="M92" i="9"/>
  <c r="N92" i="9" s="1"/>
  <c r="O92" i="9" s="1"/>
  <c r="AE72" i="9"/>
  <c r="AF72" i="9" s="1"/>
  <c r="AG72" i="9" s="1"/>
  <c r="Y72" i="9"/>
  <c r="Z72" i="9" s="1"/>
  <c r="AA72" i="9" s="1"/>
  <c r="S72" i="9"/>
  <c r="T72" i="9" s="1"/>
  <c r="U72" i="9" s="1"/>
  <c r="M72" i="9"/>
  <c r="N72" i="9" s="1"/>
  <c r="O72" i="9" s="1"/>
  <c r="G73" i="9"/>
  <c r="H73" i="9" s="1"/>
  <c r="I73" i="9" s="1"/>
  <c r="AE52" i="9"/>
  <c r="AF52" i="9" s="1"/>
  <c r="AG52" i="9" s="1"/>
  <c r="Y53" i="9"/>
  <c r="Z53" i="9" s="1"/>
  <c r="AA53" i="9" s="1"/>
  <c r="S52" i="9"/>
  <c r="T52" i="9" s="1"/>
  <c r="U52" i="9" s="1"/>
  <c r="M52" i="9"/>
  <c r="N52" i="9" s="1"/>
  <c r="O52" i="9" s="1"/>
  <c r="AE134" i="9" l="1"/>
  <c r="AF134" i="9" s="1"/>
  <c r="AG134" i="9" s="1"/>
  <c r="Y133" i="9"/>
  <c r="Z133" i="9" s="1"/>
  <c r="AA133" i="9" s="1"/>
  <c r="S133" i="9"/>
  <c r="T133" i="9" s="1"/>
  <c r="U133" i="9" s="1"/>
  <c r="M133" i="9"/>
  <c r="N133" i="9" s="1"/>
  <c r="O133" i="9" s="1"/>
  <c r="G134" i="9"/>
  <c r="H134" i="9" s="1"/>
  <c r="I134" i="9" s="1"/>
  <c r="AE113" i="9"/>
  <c r="AF113" i="9" s="1"/>
  <c r="AG113" i="9" s="1"/>
  <c r="Y113" i="9"/>
  <c r="Z113" i="9" s="1"/>
  <c r="AA113" i="9" s="1"/>
  <c r="S113" i="9"/>
  <c r="T113" i="9" s="1"/>
  <c r="U113" i="9" s="1"/>
  <c r="M113" i="9"/>
  <c r="N113" i="9" s="1"/>
  <c r="O113" i="9" s="1"/>
  <c r="G113" i="9"/>
  <c r="H113" i="9" s="1"/>
  <c r="I113" i="9" s="1"/>
  <c r="AE93" i="9"/>
  <c r="AF93" i="9" s="1"/>
  <c r="AG93" i="9" s="1"/>
  <c r="Y93" i="9"/>
  <c r="Z93" i="9" s="1"/>
  <c r="AA93" i="9" s="1"/>
  <c r="S93" i="9"/>
  <c r="T93" i="9" s="1"/>
  <c r="U93" i="9" s="1"/>
  <c r="M93" i="9"/>
  <c r="N93" i="9" s="1"/>
  <c r="O93" i="9" s="1"/>
  <c r="AE73" i="9"/>
  <c r="AF73" i="9" s="1"/>
  <c r="AG73" i="9" s="1"/>
  <c r="Y73" i="9"/>
  <c r="Z73" i="9" s="1"/>
  <c r="AA73" i="9" s="1"/>
  <c r="S73" i="9"/>
  <c r="T73" i="9" s="1"/>
  <c r="U73" i="9" s="1"/>
  <c r="M73" i="9"/>
  <c r="N73" i="9" s="1"/>
  <c r="O73" i="9" s="1"/>
  <c r="G74" i="9"/>
  <c r="H74" i="9" s="1"/>
  <c r="I74" i="9" s="1"/>
  <c r="AE53" i="9"/>
  <c r="AF53" i="9" s="1"/>
  <c r="AG53" i="9" s="1"/>
  <c r="Y54" i="9"/>
  <c r="Z54" i="9" s="1"/>
  <c r="AA54" i="9" s="1"/>
  <c r="S53" i="9"/>
  <c r="T53" i="9" s="1"/>
  <c r="U53" i="9" s="1"/>
  <c r="M53" i="9"/>
  <c r="N53" i="9" s="1"/>
  <c r="O53" i="9" s="1"/>
  <c r="Y134" i="9" l="1"/>
  <c r="Z134" i="9" s="1"/>
  <c r="AA134" i="9" s="1"/>
  <c r="S134" i="9"/>
  <c r="T134" i="9" s="1"/>
  <c r="U134" i="9" s="1"/>
  <c r="M134" i="9"/>
  <c r="N134" i="9" s="1"/>
  <c r="O134" i="9" s="1"/>
  <c r="AE114" i="9"/>
  <c r="AF114" i="9" s="1"/>
  <c r="AG114" i="9" s="1"/>
  <c r="Y114" i="9"/>
  <c r="Z114" i="9" s="1"/>
  <c r="AA114" i="9" s="1"/>
  <c r="S114" i="9"/>
  <c r="T114" i="9" s="1"/>
  <c r="U114" i="9" s="1"/>
  <c r="M114" i="9"/>
  <c r="N114" i="9" s="1"/>
  <c r="O114" i="9" s="1"/>
  <c r="G114" i="9"/>
  <c r="H114" i="9" s="1"/>
  <c r="I114" i="9" s="1"/>
  <c r="AE94" i="9"/>
  <c r="AF94" i="9" s="1"/>
  <c r="AG94" i="9" s="1"/>
  <c r="Y94" i="9"/>
  <c r="Z94" i="9" s="1"/>
  <c r="AA94" i="9" s="1"/>
  <c r="S94" i="9"/>
  <c r="T94" i="9" s="1"/>
  <c r="U94" i="9" s="1"/>
  <c r="M94" i="9"/>
  <c r="N94" i="9" s="1"/>
  <c r="O94" i="9" s="1"/>
  <c r="AE74" i="9"/>
  <c r="AF74" i="9" s="1"/>
  <c r="AG74" i="9" s="1"/>
  <c r="Y74" i="9"/>
  <c r="Z74" i="9" s="1"/>
  <c r="AA74" i="9" s="1"/>
  <c r="S74" i="9"/>
  <c r="T74" i="9" s="1"/>
  <c r="U74" i="9" s="1"/>
  <c r="M74" i="9"/>
  <c r="N74" i="9" s="1"/>
  <c r="O74" i="9" s="1"/>
  <c r="AE54" i="9"/>
  <c r="AF54" i="9" s="1"/>
  <c r="AG54" i="9" s="1"/>
  <c r="S54" i="9"/>
  <c r="T54" i="9" s="1"/>
  <c r="U54" i="9" s="1"/>
  <c r="M54" i="9"/>
  <c r="N54" i="9" s="1"/>
  <c r="O54" i="9" s="1"/>
  <c r="F38" i="9" l="1"/>
  <c r="F141" i="9" s="1"/>
  <c r="AF3" i="7" s="1"/>
  <c r="E38" i="9"/>
  <c r="E141" i="9" s="1"/>
  <c r="AE3" i="7" s="1"/>
  <c r="D38" i="9"/>
  <c r="C27" i="9"/>
  <c r="F19" i="9"/>
  <c r="E19" i="9"/>
  <c r="D19" i="9"/>
  <c r="AE5" i="9"/>
  <c r="AF5" i="9" s="1"/>
  <c r="AG5" i="9" s="1"/>
  <c r="Y5" i="9"/>
  <c r="Z5" i="9" s="1"/>
  <c r="AA5" i="9" s="1"/>
  <c r="S5" i="9"/>
  <c r="T5" i="9" s="1"/>
  <c r="U5" i="9" s="1"/>
  <c r="M5" i="9"/>
  <c r="N5" i="9" s="1"/>
  <c r="O5" i="9" s="1"/>
  <c r="G7" i="9"/>
  <c r="C8" i="9"/>
  <c r="K27" i="7"/>
  <c r="AD28" i="9" l="1"/>
  <c r="X31" i="9"/>
  <c r="R28" i="9"/>
  <c r="L32" i="9"/>
  <c r="F35" i="9"/>
  <c r="P38" i="9" s="1"/>
  <c r="F27" i="9"/>
  <c r="AD35" i="9"/>
  <c r="T38" i="9" s="1"/>
  <c r="AD27" i="9"/>
  <c r="X30" i="9"/>
  <c r="R35" i="9"/>
  <c r="R27" i="9"/>
  <c r="L31" i="9"/>
  <c r="F28" i="9"/>
  <c r="I38" i="9" s="1"/>
  <c r="F26" i="9"/>
  <c r="AD34" i="9"/>
  <c r="AD26" i="9"/>
  <c r="AF26" i="9" s="1"/>
  <c r="AG26" i="9" s="1"/>
  <c r="AE27" i="9" s="1"/>
  <c r="AF27" i="9" s="1"/>
  <c r="AG27" i="9" s="1"/>
  <c r="AE28" i="9" s="1"/>
  <c r="AF28" i="9" s="1"/>
  <c r="AG28" i="9" s="1"/>
  <c r="AE29" i="9" s="1"/>
  <c r="X29" i="9"/>
  <c r="R34" i="9"/>
  <c r="R26" i="9"/>
  <c r="T26" i="9" s="1"/>
  <c r="U26" i="9" s="1"/>
  <c r="S27" i="9" s="1"/>
  <c r="T27" i="9" s="1"/>
  <c r="U27" i="9" s="1"/>
  <c r="S28" i="9" s="1"/>
  <c r="T28" i="9" s="1"/>
  <c r="U28" i="9" s="1"/>
  <c r="S29" i="9" s="1"/>
  <c r="L30" i="9"/>
  <c r="F29" i="9"/>
  <c r="J38" i="9" s="1"/>
  <c r="AD33" i="9"/>
  <c r="X28" i="9"/>
  <c r="R33" i="9"/>
  <c r="L29" i="9"/>
  <c r="F30" i="9"/>
  <c r="K38" i="9" s="1"/>
  <c r="AD29" i="9"/>
  <c r="X32" i="9"/>
  <c r="R29" i="9"/>
  <c r="L33" i="9"/>
  <c r="AD32" i="9"/>
  <c r="X35" i="9"/>
  <c r="X27" i="9"/>
  <c r="R32" i="9"/>
  <c r="L28" i="9"/>
  <c r="F31" i="9"/>
  <c r="AD31" i="9"/>
  <c r="X34" i="9"/>
  <c r="X26" i="9"/>
  <c r="Z26" i="9" s="1"/>
  <c r="AA26" i="9" s="1"/>
  <c r="Y27" i="9" s="1"/>
  <c r="Z27" i="9" s="1"/>
  <c r="AA27" i="9" s="1"/>
  <c r="Y28" i="9" s="1"/>
  <c r="Z28" i="9" s="1"/>
  <c r="AA28" i="9" s="1"/>
  <c r="Y29" i="9" s="1"/>
  <c r="Z29" i="9" s="1"/>
  <c r="AA29" i="9" s="1"/>
  <c r="Y30" i="9" s="1"/>
  <c r="Z30" i="9" s="1"/>
  <c r="AA30" i="9" s="1"/>
  <c r="Y31" i="9" s="1"/>
  <c r="Z31" i="9" s="1"/>
  <c r="AA31" i="9" s="1"/>
  <c r="Y32" i="9" s="1"/>
  <c r="Z32" i="9" s="1"/>
  <c r="AA32" i="9" s="1"/>
  <c r="Y33" i="9" s="1"/>
  <c r="Z33" i="9" s="1"/>
  <c r="AA33" i="9" s="1"/>
  <c r="Y34" i="9" s="1"/>
  <c r="Z34" i="9" s="1"/>
  <c r="AA34" i="9" s="1"/>
  <c r="Y35" i="9" s="1"/>
  <c r="Z35" i="9" s="1"/>
  <c r="AA35" i="9" s="1"/>
  <c r="R31" i="9"/>
  <c r="L35" i="9"/>
  <c r="L27" i="9"/>
  <c r="F32" i="9"/>
  <c r="AD30" i="9"/>
  <c r="X33" i="9"/>
  <c r="R30" i="9"/>
  <c r="L34" i="9"/>
  <c r="L26" i="9"/>
  <c r="N26" i="9" s="1"/>
  <c r="O26" i="9" s="1"/>
  <c r="M27" i="9" s="1"/>
  <c r="N27" i="9" s="1"/>
  <c r="O27" i="9" s="1"/>
  <c r="M28" i="9" s="1"/>
  <c r="N28" i="9" s="1"/>
  <c r="O28" i="9" s="1"/>
  <c r="M29" i="9" s="1"/>
  <c r="N29" i="9" s="1"/>
  <c r="O29" i="9" s="1"/>
  <c r="M30" i="9" s="1"/>
  <c r="N30" i="9" s="1"/>
  <c r="O30" i="9" s="1"/>
  <c r="M31" i="9" s="1"/>
  <c r="N31" i="9" s="1"/>
  <c r="O31" i="9" s="1"/>
  <c r="M32" i="9" s="1"/>
  <c r="N32" i="9" s="1"/>
  <c r="O32" i="9" s="1"/>
  <c r="M33" i="9" s="1"/>
  <c r="N33" i="9" s="1"/>
  <c r="O33" i="9" s="1"/>
  <c r="M34" i="9" s="1"/>
  <c r="F33" i="9"/>
  <c r="F34" i="9"/>
  <c r="AD7" i="9"/>
  <c r="F7" i="9"/>
  <c r="G19" i="9" s="1"/>
  <c r="D141" i="9"/>
  <c r="AD3" i="7" s="1"/>
  <c r="I25" i="9"/>
  <c r="G26" i="9" s="1"/>
  <c r="H38" i="9"/>
  <c r="R8" i="9"/>
  <c r="X13" i="9"/>
  <c r="AD11" i="9"/>
  <c r="X12" i="9"/>
  <c r="L13" i="9"/>
  <c r="H7" i="9"/>
  <c r="I7" i="9" s="1"/>
  <c r="G8" i="9" s="1"/>
  <c r="H8" i="9" s="1"/>
  <c r="I8" i="9" s="1"/>
  <c r="G9" i="9" s="1"/>
  <c r="H9" i="9" s="1"/>
  <c r="I9" i="9" s="1"/>
  <c r="R10" i="9"/>
  <c r="X14" i="9"/>
  <c r="AD12" i="9"/>
  <c r="L15" i="9"/>
  <c r="X7" i="9"/>
  <c r="X15" i="9"/>
  <c r="AD13" i="9"/>
  <c r="L12" i="9"/>
  <c r="R16" i="9"/>
  <c r="R9" i="9"/>
  <c r="L14" i="9"/>
  <c r="R11" i="9"/>
  <c r="L8" i="9"/>
  <c r="L16" i="9"/>
  <c r="R12" i="9"/>
  <c r="X8" i="9"/>
  <c r="X16" i="9"/>
  <c r="S19" i="9" s="1"/>
  <c r="AD14" i="9"/>
  <c r="L9" i="9"/>
  <c r="AD15" i="9"/>
  <c r="AD10" i="9"/>
  <c r="L7" i="9"/>
  <c r="R13" i="9"/>
  <c r="X9" i="9"/>
  <c r="R14" i="9"/>
  <c r="X10" i="9"/>
  <c r="AD8" i="9"/>
  <c r="AD16" i="9"/>
  <c r="T19" i="9" s="1"/>
  <c r="L10" i="9"/>
  <c r="L11" i="9"/>
  <c r="R7" i="9"/>
  <c r="R15" i="9"/>
  <c r="X11" i="9"/>
  <c r="AD9" i="9"/>
  <c r="AE6" i="9"/>
  <c r="AF6" i="9" s="1"/>
  <c r="AG6" i="9" s="1"/>
  <c r="Y6" i="9"/>
  <c r="Z6" i="9" s="1"/>
  <c r="AA6" i="9" s="1"/>
  <c r="S6" i="9"/>
  <c r="T6" i="9" s="1"/>
  <c r="U6" i="9" s="1"/>
  <c r="M6" i="9"/>
  <c r="N6" i="9" s="1"/>
  <c r="O6" i="9" s="1"/>
  <c r="F8" i="9"/>
  <c r="F15" i="9"/>
  <c r="F16" i="9"/>
  <c r="F9" i="9"/>
  <c r="F10" i="9"/>
  <c r="J19" i="9" s="1"/>
  <c r="F12" i="9"/>
  <c r="F14" i="9"/>
  <c r="F11" i="9"/>
  <c r="F13" i="9"/>
  <c r="U30" i="7"/>
  <c r="AN12" i="7" s="1"/>
  <c r="T30" i="7"/>
  <c r="V30" i="7"/>
  <c r="AO12" i="7" s="1"/>
  <c r="W30" i="7"/>
  <c r="AP12" i="7" s="1"/>
  <c r="X30" i="7"/>
  <c r="Y30" i="7"/>
  <c r="AR12" i="7" s="1"/>
  <c r="Z30" i="7"/>
  <c r="AS12" i="7" s="1"/>
  <c r="AA30" i="7"/>
  <c r="AT12" i="7" s="1"/>
  <c r="AD12" i="7"/>
  <c r="AM12" i="7"/>
  <c r="AQ12" i="7"/>
  <c r="AD9" i="7"/>
  <c r="AD10" i="7"/>
  <c r="AE6" i="7"/>
  <c r="AF6" i="7"/>
  <c r="AG6" i="7"/>
  <c r="AH6" i="7"/>
  <c r="AI6" i="7"/>
  <c r="AJ6" i="7"/>
  <c r="AK6" i="7"/>
  <c r="AL6" i="7"/>
  <c r="AM6" i="7"/>
  <c r="AN6" i="7"/>
  <c r="AO6" i="7"/>
  <c r="AP6" i="7"/>
  <c r="AQ6" i="7"/>
  <c r="AR6" i="7"/>
  <c r="AS6" i="7"/>
  <c r="AT6" i="7"/>
  <c r="AD4" i="7"/>
  <c r="AE4" i="7"/>
  <c r="AF4" i="7"/>
  <c r="AG4" i="7"/>
  <c r="AH4" i="7"/>
  <c r="AI4" i="7"/>
  <c r="AJ4" i="7"/>
  <c r="AK4" i="7"/>
  <c r="AL4" i="7"/>
  <c r="AM4" i="7"/>
  <c r="AD5" i="7"/>
  <c r="AE5" i="7"/>
  <c r="AF5" i="7"/>
  <c r="AG5" i="7"/>
  <c r="AH5" i="7"/>
  <c r="AI5" i="7"/>
  <c r="AJ5" i="7"/>
  <c r="AK5" i="7"/>
  <c r="AL5" i="7"/>
  <c r="AM5" i="7"/>
  <c r="AN4" i="7"/>
  <c r="AO4" i="7"/>
  <c r="AP4" i="7"/>
  <c r="AQ4" i="7"/>
  <c r="AR4" i="7"/>
  <c r="AS4" i="7"/>
  <c r="AT4" i="7"/>
  <c r="AO5" i="7"/>
  <c r="AP5" i="7"/>
  <c r="AQ5" i="7"/>
  <c r="AR5" i="7"/>
  <c r="AS5" i="7"/>
  <c r="T20" i="7"/>
  <c r="U20" i="7"/>
  <c r="S20" i="7"/>
  <c r="L20" i="7"/>
  <c r="M20" i="7"/>
  <c r="N20" i="7"/>
  <c r="O20" i="7"/>
  <c r="P20" i="7"/>
  <c r="Q20" i="7"/>
  <c r="R20" i="7"/>
  <c r="V20" i="7"/>
  <c r="AA20" i="7"/>
  <c r="AA11" i="7" s="1"/>
  <c r="V8" i="7"/>
  <c r="W8" i="7"/>
  <c r="X8" i="7"/>
  <c r="Y8" i="7"/>
  <c r="Z8" i="7"/>
  <c r="AA8" i="7"/>
  <c r="AA17" i="7" s="1"/>
  <c r="V9" i="7"/>
  <c r="W9" i="7"/>
  <c r="X9" i="7"/>
  <c r="Y9" i="7"/>
  <c r="Z9" i="7"/>
  <c r="AA9" i="7"/>
  <c r="AA18" i="7" s="1"/>
  <c r="V10" i="7"/>
  <c r="W10" i="7"/>
  <c r="X10" i="7"/>
  <c r="Y10" i="7"/>
  <c r="Z10" i="7"/>
  <c r="AA10" i="7"/>
  <c r="AA19" i="7" s="1"/>
  <c r="Q9" i="7"/>
  <c r="Q18" i="7" s="1"/>
  <c r="R9" i="7"/>
  <c r="R18" i="7" s="1"/>
  <c r="S9" i="7"/>
  <c r="S18" i="7" s="1"/>
  <c r="T9" i="7"/>
  <c r="T18" i="7" s="1"/>
  <c r="U9" i="7"/>
  <c r="Q10" i="7"/>
  <c r="Q19" i="7" s="1"/>
  <c r="R10" i="7"/>
  <c r="R19" i="7" s="1"/>
  <c r="S10" i="7"/>
  <c r="S19" i="7" s="1"/>
  <c r="T10" i="7"/>
  <c r="T19" i="7" s="1"/>
  <c r="U10" i="7"/>
  <c r="L8" i="7"/>
  <c r="L17" i="7" s="1"/>
  <c r="C28" i="7"/>
  <c r="C27" i="7"/>
  <c r="C26" i="7"/>
  <c r="C25" i="7"/>
  <c r="C24" i="7"/>
  <c r="C23" i="7"/>
  <c r="C22" i="7"/>
  <c r="P19" i="9" l="1"/>
  <c r="R19" i="9"/>
  <c r="P141" i="9"/>
  <c r="AP3" i="7" s="1"/>
  <c r="O19" i="9"/>
  <c r="J141" i="9"/>
  <c r="AJ3" i="7" s="1"/>
  <c r="T141" i="9"/>
  <c r="AT3" i="7" s="1"/>
  <c r="M19" i="9"/>
  <c r="H19" i="9"/>
  <c r="U19" i="9" s="1"/>
  <c r="G38" i="9"/>
  <c r="H26" i="9"/>
  <c r="K19" i="9"/>
  <c r="N19" i="9"/>
  <c r="L38" i="9"/>
  <c r="L19" i="9"/>
  <c r="M38" i="9"/>
  <c r="M141" i="9" s="1"/>
  <c r="AM3" i="7" s="1"/>
  <c r="T29" i="9"/>
  <c r="U29" i="9" s="1"/>
  <c r="S30" i="9" s="1"/>
  <c r="T30" i="9" s="1"/>
  <c r="U30" i="9" s="1"/>
  <c r="S31" i="9" s="1"/>
  <c r="T31" i="9" s="1"/>
  <c r="U31" i="9" s="1"/>
  <c r="S32" i="9" s="1"/>
  <c r="T32" i="9" s="1"/>
  <c r="U32" i="9" s="1"/>
  <c r="S33" i="9" s="1"/>
  <c r="T33" i="9" s="1"/>
  <c r="U33" i="9" s="1"/>
  <c r="S34" i="9" s="1"/>
  <c r="T34" i="9" s="1"/>
  <c r="U34" i="9" s="1"/>
  <c r="S35" i="9" s="1"/>
  <c r="T35" i="9" s="1"/>
  <c r="U35" i="9" s="1"/>
  <c r="Q19" i="9"/>
  <c r="O38" i="9"/>
  <c r="K141" i="9"/>
  <c r="AK3" i="7" s="1"/>
  <c r="R38" i="9"/>
  <c r="R141" i="9" s="1"/>
  <c r="AR3" i="7" s="1"/>
  <c r="I19" i="9"/>
  <c r="I141" i="9" s="1"/>
  <c r="AI3" i="7" s="1"/>
  <c r="N38" i="9"/>
  <c r="N141" i="9" s="1"/>
  <c r="AN3" i="7" s="1"/>
  <c r="Q38" i="9"/>
  <c r="Q141" i="9" s="1"/>
  <c r="AQ3" i="7" s="1"/>
  <c r="N34" i="9"/>
  <c r="O34" i="9" s="1"/>
  <c r="M35" i="9" s="1"/>
  <c r="N35" i="9" s="1"/>
  <c r="O35" i="9" s="1"/>
  <c r="S38" i="9"/>
  <c r="S141" i="9" s="1"/>
  <c r="AS3" i="7" s="1"/>
  <c r="AF29" i="9"/>
  <c r="AG29" i="9" s="1"/>
  <c r="AE30" i="9" s="1"/>
  <c r="AF30" i="9" s="1"/>
  <c r="AG30" i="9" s="1"/>
  <c r="AE31" i="9" s="1"/>
  <c r="AF31" i="9" s="1"/>
  <c r="AG31" i="9" s="1"/>
  <c r="AE32" i="9" s="1"/>
  <c r="AF32" i="9" s="1"/>
  <c r="AG32" i="9" s="1"/>
  <c r="AE33" i="9" s="1"/>
  <c r="AF33" i="9" s="1"/>
  <c r="AG33" i="9" s="1"/>
  <c r="AE34" i="9" s="1"/>
  <c r="AF34" i="9" s="1"/>
  <c r="AG34" i="9" s="1"/>
  <c r="AE35" i="9" s="1"/>
  <c r="AF35" i="9" s="1"/>
  <c r="AG35" i="9" s="1"/>
  <c r="C29" i="7"/>
  <c r="I26" i="9"/>
  <c r="G27" i="9" s="1"/>
  <c r="H27" i="9" s="1"/>
  <c r="I27" i="9" s="1"/>
  <c r="AE7" i="9"/>
  <c r="AF7" i="9" s="1"/>
  <c r="AG7" i="9" s="1"/>
  <c r="Y7" i="9"/>
  <c r="Z7" i="9" s="1"/>
  <c r="AA7" i="9" s="1"/>
  <c r="S7" i="9"/>
  <c r="T7" i="9" s="1"/>
  <c r="U7" i="9" s="1"/>
  <c r="M7" i="9"/>
  <c r="N7" i="9" s="1"/>
  <c r="O7" i="9" s="1"/>
  <c r="G10" i="9"/>
  <c r="H10" i="9" s="1"/>
  <c r="I10" i="9" s="1"/>
  <c r="H141" i="9" l="1"/>
  <c r="AH3" i="7" s="1"/>
  <c r="L141" i="9"/>
  <c r="AL3" i="7" s="1"/>
  <c r="O141" i="9"/>
  <c r="AO3" i="7" s="1"/>
  <c r="G141" i="9"/>
  <c r="AG3" i="7" s="1"/>
  <c r="U38" i="9"/>
  <c r="U141" i="9" s="1"/>
  <c r="G28" i="9"/>
  <c r="H28" i="9" s="1"/>
  <c r="I28" i="9"/>
  <c r="G29" i="9" s="1"/>
  <c r="H29" i="9" s="1"/>
  <c r="I29" i="9" s="1"/>
  <c r="G30" i="9" s="1"/>
  <c r="H30" i="9" s="1"/>
  <c r="I30" i="9" s="1"/>
  <c r="AE8" i="9"/>
  <c r="AF8" i="9" s="1"/>
  <c r="AG8" i="9" s="1"/>
  <c r="Y8" i="9"/>
  <c r="Z8" i="9" s="1"/>
  <c r="AA8" i="9" s="1"/>
  <c r="S8" i="9"/>
  <c r="T8" i="9" s="1"/>
  <c r="U8" i="9" s="1"/>
  <c r="M8" i="9"/>
  <c r="N8" i="9" s="1"/>
  <c r="O8" i="9" s="1"/>
  <c r="G11" i="9"/>
  <c r="H11" i="9" s="1"/>
  <c r="I11" i="9" s="1"/>
  <c r="C3" i="7"/>
  <c r="L6" i="7" s="1"/>
  <c r="G31" i="9" l="1"/>
  <c r="H31" i="9" s="1"/>
  <c r="I31" i="9"/>
  <c r="AE9" i="9"/>
  <c r="AF9" i="9" s="1"/>
  <c r="AG9" i="9" s="1"/>
  <c r="Y9" i="9"/>
  <c r="Z9" i="9" s="1"/>
  <c r="AA9" i="9" s="1"/>
  <c r="S9" i="9"/>
  <c r="T9" i="9" s="1"/>
  <c r="U9" i="9" s="1"/>
  <c r="M9" i="9"/>
  <c r="N9" i="9" s="1"/>
  <c r="O9" i="9" s="1"/>
  <c r="G12" i="9"/>
  <c r="H12" i="9" s="1"/>
  <c r="I12" i="9" s="1"/>
  <c r="AA6" i="7"/>
  <c r="AT8" i="7"/>
  <c r="AQ8" i="7"/>
  <c r="AP8" i="7"/>
  <c r="AO8" i="7"/>
  <c r="AR8" i="7"/>
  <c r="AS8" i="7"/>
  <c r="G32" i="9" l="1"/>
  <c r="H32" i="9" s="1"/>
  <c r="I32" i="9" s="1"/>
  <c r="G33" i="9" s="1"/>
  <c r="H33" i="9" s="1"/>
  <c r="I33" i="9" s="1"/>
  <c r="AE10" i="9"/>
  <c r="AF10" i="9" s="1"/>
  <c r="AG10" i="9" s="1"/>
  <c r="Y10" i="9"/>
  <c r="Z10" i="9" s="1"/>
  <c r="AA10" i="9" s="1"/>
  <c r="S10" i="9"/>
  <c r="T10" i="9" s="1"/>
  <c r="U10" i="9" s="1"/>
  <c r="M10" i="9"/>
  <c r="N10" i="9" s="1"/>
  <c r="O10" i="9" s="1"/>
  <c r="G13" i="9"/>
  <c r="H13" i="9" s="1"/>
  <c r="I13" i="9" s="1"/>
  <c r="G34" i="9" l="1"/>
  <c r="H34" i="9" s="1"/>
  <c r="I34" i="9"/>
  <c r="G35" i="9" s="1"/>
  <c r="H35" i="9" s="1"/>
  <c r="I35" i="9" s="1"/>
  <c r="AE11" i="9"/>
  <c r="AF11" i="9" s="1"/>
  <c r="AG11" i="9" s="1"/>
  <c r="Y11" i="9"/>
  <c r="Z11" i="9" s="1"/>
  <c r="AA11" i="9" s="1"/>
  <c r="S11" i="9"/>
  <c r="T11" i="9" s="1"/>
  <c r="U11" i="9" s="1"/>
  <c r="M11" i="9"/>
  <c r="N11" i="9" s="1"/>
  <c r="O11" i="9" s="1"/>
  <c r="G14" i="9"/>
  <c r="H14" i="9" s="1"/>
  <c r="I14" i="9" s="1"/>
  <c r="AE12" i="9" l="1"/>
  <c r="AF12" i="9" s="1"/>
  <c r="AG12" i="9" s="1"/>
  <c r="Y12" i="9"/>
  <c r="Z12" i="9" s="1"/>
  <c r="AA12" i="9" s="1"/>
  <c r="S12" i="9"/>
  <c r="T12" i="9" s="1"/>
  <c r="U12" i="9" s="1"/>
  <c r="M12" i="9"/>
  <c r="N12" i="9" s="1"/>
  <c r="O12" i="9" s="1"/>
  <c r="G15" i="9"/>
  <c r="H15" i="9" s="1"/>
  <c r="I15" i="9" s="1"/>
  <c r="AO7" i="7"/>
  <c r="AR7" i="7"/>
  <c r="AQ7" i="7"/>
  <c r="AP7" i="7"/>
  <c r="AS7" i="7"/>
  <c r="AE13" i="9" l="1"/>
  <c r="AF13" i="9" s="1"/>
  <c r="AG13" i="9" s="1"/>
  <c r="Y13" i="9"/>
  <c r="Z13" i="9" s="1"/>
  <c r="AA13" i="9" s="1"/>
  <c r="S13" i="9"/>
  <c r="T13" i="9" s="1"/>
  <c r="U13" i="9" s="1"/>
  <c r="M13" i="9"/>
  <c r="N13" i="9" s="1"/>
  <c r="O13" i="9" s="1"/>
  <c r="G16" i="9"/>
  <c r="H16" i="9" s="1"/>
  <c r="I16" i="9" s="1"/>
  <c r="AE14" i="9" l="1"/>
  <c r="AF14" i="9" s="1"/>
  <c r="AG14" i="9" s="1"/>
  <c r="Y14" i="9"/>
  <c r="Z14" i="9" s="1"/>
  <c r="AA14" i="9" s="1"/>
  <c r="S14" i="9"/>
  <c r="T14" i="9" s="1"/>
  <c r="U14" i="9" s="1"/>
  <c r="M14" i="9"/>
  <c r="N14" i="9" s="1"/>
  <c r="O14" i="9" s="1"/>
  <c r="AE15" i="9" l="1"/>
  <c r="AF15" i="9" s="1"/>
  <c r="AG15" i="9" s="1"/>
  <c r="Y15" i="9"/>
  <c r="Z15" i="9" s="1"/>
  <c r="AA15" i="9" s="1"/>
  <c r="S15" i="9"/>
  <c r="T15" i="9" s="1"/>
  <c r="U15" i="9" s="1"/>
  <c r="M15" i="9"/>
  <c r="N15" i="9" s="1"/>
  <c r="O15" i="9" s="1"/>
  <c r="AE16" i="9" l="1"/>
  <c r="AF16" i="9" s="1"/>
  <c r="AG16" i="9" s="1"/>
  <c r="Y16" i="9"/>
  <c r="Z16" i="9" s="1"/>
  <c r="AA16" i="9" s="1"/>
  <c r="S16" i="9"/>
  <c r="T16" i="9" s="1"/>
  <c r="U16" i="9" s="1"/>
  <c r="M16" i="9"/>
  <c r="N16" i="9" s="1"/>
  <c r="O16" i="9" s="1"/>
  <c r="V5" i="7" l="1"/>
  <c r="W5" i="7" l="1"/>
  <c r="AA5" i="7" l="1"/>
  <c r="X5" i="7" l="1"/>
  <c r="V6" i="7"/>
  <c r="W6" i="7"/>
  <c r="W7" i="7" s="1"/>
  <c r="X6" i="7"/>
  <c r="Y6" i="7"/>
  <c r="Z6" i="7"/>
  <c r="V17" i="7"/>
  <c r="W17" i="7"/>
  <c r="X17" i="7"/>
  <c r="Y17" i="7"/>
  <c r="Z17" i="7"/>
  <c r="V18" i="7"/>
  <c r="W18" i="7"/>
  <c r="X18" i="7"/>
  <c r="Y18" i="7"/>
  <c r="Z18" i="7"/>
  <c r="V19" i="7"/>
  <c r="W19" i="7"/>
  <c r="X19" i="7"/>
  <c r="Y19" i="7"/>
  <c r="Z19" i="7"/>
  <c r="X7" i="7" l="1"/>
  <c r="V7" i="7"/>
  <c r="AC12" i="7"/>
  <c r="AC11" i="7"/>
  <c r="AC10" i="7"/>
  <c r="AC9" i="7"/>
  <c r="AC8" i="7"/>
  <c r="AC6" i="7"/>
  <c r="AC5" i="7"/>
  <c r="AC4" i="7"/>
  <c r="AC3" i="7"/>
  <c r="AF7" i="7" l="1"/>
  <c r="AG7" i="7"/>
  <c r="AH7" i="7"/>
  <c r="AI7" i="7"/>
  <c r="AJ7" i="7"/>
  <c r="AK7" i="7"/>
  <c r="AL7" i="7"/>
  <c r="AM7" i="7"/>
  <c r="AE7" i="7"/>
  <c r="K85" i="7"/>
  <c r="K73" i="7"/>
  <c r="K61" i="7"/>
  <c r="K48" i="7"/>
  <c r="AA28" i="7"/>
  <c r="AT5" i="7" s="1"/>
  <c r="AT7" i="7" s="1"/>
  <c r="K26" i="7"/>
  <c r="K25" i="7"/>
  <c r="K24" i="7"/>
  <c r="M10" i="7"/>
  <c r="M19" i="7" s="1"/>
  <c r="N10" i="7"/>
  <c r="N19" i="7" s="1"/>
  <c r="O10" i="7"/>
  <c r="O19" i="7" s="1"/>
  <c r="P10" i="7"/>
  <c r="P19" i="7" s="1"/>
  <c r="L10" i="7"/>
  <c r="L19" i="7" s="1"/>
  <c r="M9" i="7"/>
  <c r="M18" i="7" s="1"/>
  <c r="N9" i="7"/>
  <c r="N18" i="7" s="1"/>
  <c r="O9" i="7"/>
  <c r="O18" i="7" s="1"/>
  <c r="P9" i="7"/>
  <c r="P18" i="7" s="1"/>
  <c r="L9" i="7"/>
  <c r="L18" i="7" s="1"/>
  <c r="M8" i="7"/>
  <c r="M17" i="7" s="1"/>
  <c r="N8" i="7"/>
  <c r="N17" i="7" s="1"/>
  <c r="O8" i="7"/>
  <c r="O17" i="7" s="1"/>
  <c r="P8" i="7"/>
  <c r="P17" i="7" s="1"/>
  <c r="Q8" i="7"/>
  <c r="Q17" i="7" s="1"/>
  <c r="R8" i="7"/>
  <c r="R17" i="7" s="1"/>
  <c r="S8" i="7"/>
  <c r="S17" i="7" s="1"/>
  <c r="T8" i="7"/>
  <c r="T17" i="7" s="1"/>
  <c r="U8" i="7"/>
  <c r="M6" i="7"/>
  <c r="N6" i="7"/>
  <c r="O6" i="7"/>
  <c r="P6" i="7"/>
  <c r="Q6" i="7"/>
  <c r="R6" i="7"/>
  <c r="S6" i="7"/>
  <c r="T6" i="7"/>
  <c r="U6" i="7"/>
  <c r="L5" i="7"/>
  <c r="M5" i="7"/>
  <c r="N5" i="7"/>
  <c r="O5" i="7"/>
  <c r="P5" i="7"/>
  <c r="Q5" i="7"/>
  <c r="R5" i="7"/>
  <c r="S5" i="7"/>
  <c r="T5" i="7"/>
  <c r="H7" i="7"/>
  <c r="P7" i="7" l="1"/>
  <c r="P12" i="7" s="1"/>
  <c r="AN5" i="7"/>
  <c r="O7" i="7"/>
  <c r="O12" i="7" s="1"/>
  <c r="Z20" i="7"/>
  <c r="Z11" i="7" s="1"/>
  <c r="S7" i="7"/>
  <c r="S12" i="7" s="1"/>
  <c r="Y20" i="7"/>
  <c r="Y11" i="7" s="1"/>
  <c r="R7" i="7"/>
  <c r="R12" i="7" s="1"/>
  <c r="Q7" i="7"/>
  <c r="Q12" i="7" s="1"/>
  <c r="W20" i="7"/>
  <c r="N7" i="7"/>
  <c r="M7" i="7"/>
  <c r="U5" i="7"/>
  <c r="U7" i="7" s="1"/>
  <c r="L7" i="7"/>
  <c r="T7" i="7"/>
  <c r="T12" i="7" s="1"/>
  <c r="T14" i="7" s="1"/>
  <c r="T15" i="7" s="1"/>
  <c r="AM10" i="7" s="1"/>
  <c r="AL8" i="7"/>
  <c r="AM8" i="7"/>
  <c r="AF8" i="7"/>
  <c r="AN8" i="7"/>
  <c r="AG8" i="7"/>
  <c r="AE8" i="7"/>
  <c r="AH8" i="7"/>
  <c r="AI8" i="7"/>
  <c r="AJ8" i="7"/>
  <c r="AK8" i="7"/>
  <c r="K45" i="7"/>
  <c r="AD6" i="7"/>
  <c r="AD7" i="7" s="1"/>
  <c r="U19" i="7"/>
  <c r="U18" i="7"/>
  <c r="U17" i="7"/>
  <c r="AN7" i="7" l="1"/>
  <c r="AE16" i="7" s="1"/>
  <c r="V11" i="7"/>
  <c r="V12" i="7" s="1"/>
  <c r="V14" i="7" s="1"/>
  <c r="V15" i="7" s="1"/>
  <c r="W11" i="7"/>
  <c r="W12" i="7" s="1"/>
  <c r="W14" i="7" s="1"/>
  <c r="W15" i="7" s="1"/>
  <c r="X20" i="7"/>
  <c r="N12" i="7"/>
  <c r="AA7" i="7"/>
  <c r="AA12" i="7" s="1"/>
  <c r="AA14" i="7" s="1"/>
  <c r="M12" i="7"/>
  <c r="Z5" i="7"/>
  <c r="Z7" i="7" s="1"/>
  <c r="Z12" i="7" s="1"/>
  <c r="Z14" i="7" s="1"/>
  <c r="Z15" i="7" s="1"/>
  <c r="L12" i="7"/>
  <c r="Y5" i="7"/>
  <c r="Y7" i="7" s="1"/>
  <c r="Y12" i="7" s="1"/>
  <c r="Y14" i="7" s="1"/>
  <c r="AM13" i="7"/>
  <c r="K72" i="7"/>
  <c r="K84" i="7"/>
  <c r="K60" i="7"/>
  <c r="K47" i="7"/>
  <c r="K23" i="7"/>
  <c r="W16" i="7" l="1"/>
  <c r="W31" i="7" s="1"/>
  <c r="AP10" i="7"/>
  <c r="AP13" i="7" s="1"/>
  <c r="V16" i="7"/>
  <c r="V31" i="7" s="1"/>
  <c r="AO10" i="7"/>
  <c r="AO13" i="7" s="1"/>
  <c r="Z16" i="7"/>
  <c r="Z31" i="7" s="1"/>
  <c r="AS10" i="7"/>
  <c r="AS13" i="7" s="1"/>
  <c r="X11" i="7"/>
  <c r="X12" i="7" s="1"/>
  <c r="X14" i="7" s="1"/>
  <c r="X15" i="7" s="1"/>
  <c r="AA15" i="7"/>
  <c r="Y15" i="7"/>
  <c r="K63" i="7"/>
  <c r="K69" i="7"/>
  <c r="K93" i="7"/>
  <c r="L93" i="7" s="1"/>
  <c r="M93" i="7" s="1"/>
  <c r="N93" i="7" s="1"/>
  <c r="O93" i="7" s="1"/>
  <c r="P93" i="7" s="1"/>
  <c r="Q93" i="7" s="1"/>
  <c r="R93" i="7" s="1"/>
  <c r="S91" i="7" s="1"/>
  <c r="K87" i="7"/>
  <c r="K81" i="7"/>
  <c r="L81" i="7" s="1"/>
  <c r="M81" i="7" s="1"/>
  <c r="N81" i="7" s="1"/>
  <c r="O81" i="7" s="1"/>
  <c r="P81" i="7" s="1"/>
  <c r="Q81" i="7" s="1"/>
  <c r="R81" i="7" s="1"/>
  <c r="S80" i="7"/>
  <c r="K75" i="7"/>
  <c r="K57" i="7"/>
  <c r="L55" i="7" s="1"/>
  <c r="K50" i="7"/>
  <c r="AD11" i="7"/>
  <c r="AD13" i="7" s="1"/>
  <c r="K31" i="7"/>
  <c r="U11" i="7"/>
  <c r="U12" i="7" s="1"/>
  <c r="U14" i="7" s="1"/>
  <c r="U15" i="7" s="1"/>
  <c r="AN10" i="7" s="1"/>
  <c r="AN13" i="7" s="1"/>
  <c r="T16" i="7"/>
  <c r="T31" i="7" s="1"/>
  <c r="X16" i="7" l="1"/>
  <c r="X31" i="7" s="1"/>
  <c r="AQ10" i="7"/>
  <c r="AQ13" i="7" s="1"/>
  <c r="AA16" i="7"/>
  <c r="AA31" i="7" s="1"/>
  <c r="AT10" i="7"/>
  <c r="AT13" i="7" s="1"/>
  <c r="Y16" i="7"/>
  <c r="Y31" i="7" s="1"/>
  <c r="AR10" i="7"/>
  <c r="AR13" i="7" s="1"/>
  <c r="P79" i="7"/>
  <c r="P78" i="7" s="1"/>
  <c r="M79" i="7"/>
  <c r="M78" i="7" s="1"/>
  <c r="O79" i="7"/>
  <c r="O78" i="7" s="1"/>
  <c r="N79" i="7"/>
  <c r="N78" i="7" s="1"/>
  <c r="Q79" i="7"/>
  <c r="Q78" i="7" s="1"/>
  <c r="R79" i="7"/>
  <c r="R78" i="7" s="1"/>
  <c r="L79" i="7"/>
  <c r="L78" i="7" s="1"/>
  <c r="S79" i="7"/>
  <c r="S78" i="7" s="1"/>
  <c r="S81" i="7"/>
  <c r="S90" i="7"/>
  <c r="S92" i="7"/>
  <c r="S93" i="7" s="1"/>
  <c r="L67" i="7"/>
  <c r="M54" i="7"/>
  <c r="L54" i="7"/>
  <c r="L56" i="7" s="1"/>
  <c r="R54" i="7"/>
  <c r="Q54" i="7"/>
  <c r="S54" i="7"/>
  <c r="P54" i="7"/>
  <c r="N54" i="7"/>
  <c r="O54" i="7"/>
  <c r="S68" i="7"/>
  <c r="P68" i="7"/>
  <c r="M68" i="7"/>
  <c r="N68" i="7"/>
  <c r="L68" i="7"/>
  <c r="L69" i="7" s="1"/>
  <c r="R68" i="7"/>
  <c r="O68" i="7"/>
  <c r="Q68" i="7"/>
  <c r="K32" i="7"/>
  <c r="U16" i="7"/>
  <c r="U31" i="7" s="1"/>
  <c r="L57" i="7" l="1"/>
  <c r="M55" i="7" s="1"/>
  <c r="M13" i="7" s="1"/>
  <c r="AF9" i="7" s="1"/>
  <c r="L30" i="7"/>
  <c r="L66" i="7"/>
  <c r="M56" i="7"/>
  <c r="M69" i="7"/>
  <c r="M67" i="7"/>
  <c r="M66" i="7" s="1"/>
  <c r="L13" i="7"/>
  <c r="AE12" i="7"/>
  <c r="N67" i="7" l="1"/>
  <c r="N66" i="7" s="1"/>
  <c r="N69" i="7"/>
  <c r="M57" i="7"/>
  <c r="M30" i="7"/>
  <c r="AF12" i="7" s="1"/>
  <c r="L14" i="7"/>
  <c r="AE9" i="7"/>
  <c r="L15" i="7" l="1"/>
  <c r="AE10" i="7" s="1"/>
  <c r="AE13" i="7" s="1"/>
  <c r="N55" i="7"/>
  <c r="O67" i="7"/>
  <c r="O66" i="7" s="1"/>
  <c r="O69" i="7"/>
  <c r="M14" i="7"/>
  <c r="M15" i="7" s="1"/>
  <c r="AF10" i="7" s="1"/>
  <c r="AF13" i="7" s="1"/>
  <c r="L16" i="7" l="1"/>
  <c r="L31" i="7" s="1"/>
  <c r="P69" i="7"/>
  <c r="P67" i="7"/>
  <c r="P66" i="7" s="1"/>
  <c r="N13" i="7"/>
  <c r="AG9" i="7" s="1"/>
  <c r="N56" i="7"/>
  <c r="L32" i="7" l="1"/>
  <c r="Q67" i="7"/>
  <c r="Q66" i="7" s="1"/>
  <c r="Q69" i="7"/>
  <c r="N30" i="7"/>
  <c r="AG12" i="7" s="1"/>
  <c r="N57" i="7"/>
  <c r="O55" i="7" l="1"/>
  <c r="R69" i="7"/>
  <c r="R67" i="7"/>
  <c r="R66" i="7" s="1"/>
  <c r="M16" i="7"/>
  <c r="N14" i="7"/>
  <c r="N15" i="7" s="1"/>
  <c r="AG10" i="7" s="1"/>
  <c r="AG13" i="7" s="1"/>
  <c r="S69" i="7" l="1"/>
  <c r="S67" i="7"/>
  <c r="S66" i="7" s="1"/>
  <c r="O56" i="7"/>
  <c r="O13" i="7"/>
  <c r="AH9" i="7" s="1"/>
  <c r="M31" i="7"/>
  <c r="M32" i="7" l="1"/>
  <c r="O30" i="7"/>
  <c r="AH12" i="7" s="1"/>
  <c r="O57" i="7"/>
  <c r="P55" i="7" l="1"/>
  <c r="N16" i="7"/>
  <c r="O14" i="7"/>
  <c r="O15" i="7" s="1"/>
  <c r="AH10" i="7" s="1"/>
  <c r="AH13" i="7" s="1"/>
  <c r="P56" i="7" l="1"/>
  <c r="P13" i="7"/>
  <c r="AI9" i="7" s="1"/>
  <c r="N31" i="7"/>
  <c r="N32" i="7" l="1"/>
  <c r="P30" i="7"/>
  <c r="AI12" i="7" s="1"/>
  <c r="P57" i="7"/>
  <c r="P14" i="7"/>
  <c r="P15" i="7" s="1"/>
  <c r="AI10" i="7" s="1"/>
  <c r="AI13" i="7" s="1"/>
  <c r="O16" i="7"/>
  <c r="Q55" i="7" l="1"/>
  <c r="O31" i="7"/>
  <c r="O32" i="7" l="1"/>
  <c r="Q56" i="7"/>
  <c r="Q13" i="7"/>
  <c r="AJ9" i="7" s="1"/>
  <c r="P16" i="7"/>
  <c r="Q14" i="7" l="1"/>
  <c r="Q15" i="7" s="1"/>
  <c r="AJ10" i="7" s="1"/>
  <c r="Q30" i="7"/>
  <c r="AJ12" i="7" s="1"/>
  <c r="Q57" i="7"/>
  <c r="P31" i="7"/>
  <c r="AJ13" i="7" l="1"/>
  <c r="P32" i="7"/>
  <c r="R55" i="7"/>
  <c r="Q16" i="7"/>
  <c r="R56" i="7" l="1"/>
  <c r="R13" i="7"/>
  <c r="Q31" i="7"/>
  <c r="Q32" i="7" s="1"/>
  <c r="AK9" i="7" l="1"/>
  <c r="R14" i="7"/>
  <c r="R15" i="7" s="1"/>
  <c r="AK10" i="7" s="1"/>
  <c r="R30" i="7"/>
  <c r="AK12" i="7" s="1"/>
  <c r="R57" i="7"/>
  <c r="R16" i="7" l="1"/>
  <c r="R31" i="7" s="1"/>
  <c r="R32" i="7" s="1"/>
  <c r="S55" i="7"/>
  <c r="AK13" i="7"/>
  <c r="S56" i="7" l="1"/>
  <c r="S13" i="7"/>
  <c r="AL9" i="7" l="1"/>
  <c r="S14" i="7"/>
  <c r="S30" i="7"/>
  <c r="AL12" i="7" s="1"/>
  <c r="S57" i="7"/>
  <c r="S15" i="7" l="1"/>
  <c r="AL10" i="7" s="1"/>
  <c r="AL13" i="7" s="1"/>
  <c r="AF16" i="7" s="1"/>
  <c r="AD16" i="7" l="1"/>
  <c r="K39" i="7" s="1"/>
  <c r="S16" i="7"/>
  <c r="S31" i="7" s="1"/>
  <c r="K35" i="7" s="1"/>
  <c r="K36" i="7" l="1"/>
  <c r="K38" i="7"/>
  <c r="S32" i="7"/>
  <c r="T32" i="7" s="1"/>
  <c r="U32" i="7" s="1"/>
  <c r="V32" i="7" l="1"/>
  <c r="W32" i="7" l="1"/>
  <c r="X32" i="7" s="1"/>
  <c r="Y32" i="7" s="1"/>
  <c r="Z32" i="7" s="1"/>
  <c r="AA32" i="7" s="1"/>
  <c r="K40" i="7"/>
</calcChain>
</file>

<file path=xl/sharedStrings.xml><?xml version="1.0" encoding="utf-8"?>
<sst xmlns="http://schemas.openxmlformats.org/spreadsheetml/2006/main" count="463" uniqueCount="138">
  <si>
    <t>periodo</t>
  </si>
  <si>
    <t>P</t>
  </si>
  <si>
    <t>Ingresos</t>
  </si>
  <si>
    <t>Egresos</t>
  </si>
  <si>
    <t>n</t>
  </si>
  <si>
    <t>A</t>
  </si>
  <si>
    <t>VPN</t>
  </si>
  <si>
    <t>PERIODO</t>
  </si>
  <si>
    <t>Ingresos operacionales</t>
  </si>
  <si>
    <t>Inversiones</t>
  </si>
  <si>
    <t>Equipos</t>
  </si>
  <si>
    <t>total</t>
  </si>
  <si>
    <t>Egresos operacionales</t>
  </si>
  <si>
    <t>UTILIDAD BRUTA</t>
  </si>
  <si>
    <t>Edificios</t>
  </si>
  <si>
    <t>Depreciación Edificios</t>
  </si>
  <si>
    <t>Depreciación Equipos</t>
  </si>
  <si>
    <t>Amortización diferidos</t>
  </si>
  <si>
    <t>UAII</t>
  </si>
  <si>
    <t>Intereses préstamo</t>
  </si>
  <si>
    <t>credito tipo 1</t>
  </si>
  <si>
    <t>cuotas fijas</t>
  </si>
  <si>
    <t>i%</t>
  </si>
  <si>
    <t>cuota</t>
  </si>
  <si>
    <t>interes</t>
  </si>
  <si>
    <t>capital</t>
  </si>
  <si>
    <t>saldo</t>
  </si>
  <si>
    <t>credito tipo 2</t>
  </si>
  <si>
    <t>abono cte de K</t>
  </si>
  <si>
    <t>K</t>
  </si>
  <si>
    <t>credito tipo 3</t>
  </si>
  <si>
    <t>intereses ctes.</t>
  </si>
  <si>
    <t>I</t>
  </si>
  <si>
    <t>tipo de préstamo</t>
  </si>
  <si>
    <t>UAI</t>
  </si>
  <si>
    <t>Impuestos</t>
  </si>
  <si>
    <t>U NETA</t>
  </si>
  <si>
    <t>Valor en libros</t>
  </si>
  <si>
    <t>VL Edificios</t>
  </si>
  <si>
    <t>VL Equipos</t>
  </si>
  <si>
    <t>Recuperación K de Wjo</t>
  </si>
  <si>
    <t>Préstamo</t>
  </si>
  <si>
    <t>Abono de capital</t>
  </si>
  <si>
    <t>FLUJO DE CAJA NETO</t>
  </si>
  <si>
    <t>TIO</t>
  </si>
  <si>
    <t>TIR</t>
  </si>
  <si>
    <t>intereses K</t>
  </si>
  <si>
    <t>abono K</t>
  </si>
  <si>
    <t>fc proyecto</t>
  </si>
  <si>
    <t>PRI</t>
  </si>
  <si>
    <t>BP</t>
  </si>
  <si>
    <t>Ingresos no operacionales</t>
  </si>
  <si>
    <t>TOTAL INGRESOS</t>
  </si>
  <si>
    <t>Valor en libros activos</t>
  </si>
  <si>
    <t>VAUE</t>
  </si>
  <si>
    <t>RBC</t>
  </si>
  <si>
    <t>VPIng</t>
  </si>
  <si>
    <t>VPEgr</t>
  </si>
  <si>
    <t>credito tipo 4</t>
  </si>
  <si>
    <t>pago final</t>
  </si>
  <si>
    <t>F</t>
  </si>
  <si>
    <t>Apalancamiento</t>
  </si>
  <si>
    <t>Inv año 0</t>
  </si>
  <si>
    <t>i% crédito</t>
  </si>
  <si>
    <t>E.A.</t>
  </si>
  <si>
    <t>años</t>
  </si>
  <si>
    <t>anual</t>
  </si>
  <si>
    <t>Gtos preoperativos</t>
  </si>
  <si>
    <t>Vida útil</t>
  </si>
  <si>
    <t>Vr. Comercial</t>
  </si>
  <si>
    <t>Capital de trabajo</t>
  </si>
  <si>
    <t>Gastos preoperativos</t>
  </si>
  <si>
    <t>Capital de wjo</t>
  </si>
  <si>
    <t>Total ingresos</t>
  </si>
  <si>
    <t>Total egresos</t>
  </si>
  <si>
    <t>% Auxiliar Administrativa</t>
  </si>
  <si>
    <t xml:space="preserve">% Director Projerico </t>
  </si>
  <si>
    <t xml:space="preserve">Contador y Revisor Fiscal </t>
  </si>
  <si>
    <t xml:space="preserve">Director de Créditos </t>
  </si>
  <si>
    <t xml:space="preserve">Profesional de Créditos </t>
  </si>
  <si>
    <t xml:space="preserve">Profesional Agro </t>
  </si>
  <si>
    <t>EGRESOS</t>
  </si>
  <si>
    <t xml:space="preserve">Papeleria, servicios P y otros </t>
  </si>
  <si>
    <t xml:space="preserve">TOTAL EGRESOS </t>
  </si>
  <si>
    <t>VALOR</t>
  </si>
  <si>
    <t>F2</t>
  </si>
  <si>
    <t xml:space="preserve">TOTAL </t>
  </si>
  <si>
    <t>AÑO</t>
  </si>
  <si>
    <t>CREDITO CAFÉ</t>
  </si>
  <si>
    <t>CREDITO CARDAMOMO</t>
  </si>
  <si>
    <t>TOTAL COUTA CARDAMOMO</t>
  </si>
  <si>
    <t>CREDITO CITRICOS</t>
  </si>
  <si>
    <t>TOTAL COUTA CITRICOS</t>
  </si>
  <si>
    <t>CREDITO AGUACATE</t>
  </si>
  <si>
    <t>TOTAL COUTA AGUACATE</t>
  </si>
  <si>
    <t>CREDITO PLATANO</t>
  </si>
  <si>
    <t>TOTAL COUTA PLATANO</t>
  </si>
  <si>
    <t>CREDITO GULUPA</t>
  </si>
  <si>
    <t xml:space="preserve">TOTAL COUTA GULUPA </t>
  </si>
  <si>
    <t>CREDITO HORTALIZAS</t>
  </si>
  <si>
    <t xml:space="preserve">TOTAL COUTA HORTALIZAS </t>
  </si>
  <si>
    <t>TOTAL PRODUCTOS AGRO</t>
  </si>
  <si>
    <t>TOTAL COUTAS CAFÉ</t>
  </si>
  <si>
    <t xml:space="preserve">Enfermedades </t>
  </si>
  <si>
    <t xml:space="preserve">Verano </t>
  </si>
  <si>
    <t xml:space="preserve">Invierno </t>
  </si>
  <si>
    <t>Cardamomo</t>
  </si>
  <si>
    <t xml:space="preserve">Citricos </t>
  </si>
  <si>
    <t xml:space="preserve">Aguacate </t>
  </si>
  <si>
    <t>Platano</t>
  </si>
  <si>
    <t xml:space="preserve">Gulupa </t>
  </si>
  <si>
    <t>Hortalizas</t>
  </si>
  <si>
    <t>Café</t>
  </si>
  <si>
    <t xml:space="preserve">IDEAL </t>
  </si>
  <si>
    <t xml:space="preserve">INVIERNO </t>
  </si>
  <si>
    <t xml:space="preserve">VERANO </t>
  </si>
  <si>
    <t>ENFERMEDADES</t>
  </si>
  <si>
    <t xml:space="preserve">ESCENARIOS </t>
  </si>
  <si>
    <t>INVIERNO</t>
  </si>
  <si>
    <t>VERANO</t>
  </si>
  <si>
    <t xml:space="preserve">NORMAL </t>
  </si>
  <si>
    <t xml:space="preserve">PROBABILIAD DE OCURRENCIA </t>
  </si>
  <si>
    <t>Normal</t>
  </si>
  <si>
    <t>Escenario a elegir</t>
  </si>
  <si>
    <t xml:space="preserve">IMPACTO </t>
  </si>
  <si>
    <t xml:space="preserve">FRECUENCIA </t>
  </si>
  <si>
    <t xml:space="preserve">INSIGNIFICANTE </t>
  </si>
  <si>
    <t xml:space="preserve">MODERADO </t>
  </si>
  <si>
    <t xml:space="preserve"> MENOR </t>
  </si>
  <si>
    <t xml:space="preserve">MAYOR </t>
  </si>
  <si>
    <t xml:space="preserve">CATASTROFICO </t>
  </si>
  <si>
    <t xml:space="preserve">IMPROBABLE </t>
  </si>
  <si>
    <t xml:space="preserve">POSIBLE </t>
  </si>
  <si>
    <t>OCASIONAL</t>
  </si>
  <si>
    <t xml:space="preserve">PROBABLE </t>
  </si>
  <si>
    <t xml:space="preserve">FRECUENTE </t>
  </si>
  <si>
    <t xml:space="preserve">OCURRENCIA </t>
  </si>
  <si>
    <t xml:space="preserve">ESCENARIO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</si>
</sst>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#,##0.0"/>
    <numFmt numFmtId="167" formatCode="_-&quot;$&quot;\ * #,##0_-;\-&quot;$&quot;\ * #,##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8">
    <xf numFmtId="0" fontId="0" fillId="0" borderId="0" xfId="0"/>
    <xf numFmtId="3" fontId="0" fillId="0" borderId="0" xfId="0" applyNumberFormat="1"/>
    <xf numFmtId="9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2" fillId="0" borderId="0" xfId="0" applyFont="1" applyAlignment="1">
      <alignment horizontal="right"/>
    </xf>
    <xf numFmtId="2" fontId="0" fillId="0" borderId="0" xfId="0" applyNumberFormat="1"/>
    <xf numFmtId="2" fontId="2" fillId="0" borderId="0" xfId="0" applyNumberFormat="1" applyFont="1"/>
    <xf numFmtId="0" fontId="2" fillId="2" borderId="0" xfId="0" applyFont="1" applyFill="1"/>
    <xf numFmtId="9" fontId="0" fillId="2" borderId="0" xfId="0" applyNumberFormat="1" applyFill="1"/>
    <xf numFmtId="0" fontId="0" fillId="2" borderId="0" xfId="0" applyFill="1"/>
    <xf numFmtId="3" fontId="2" fillId="2" borderId="0" xfId="0" applyNumberFormat="1" applyFont="1" applyFill="1"/>
    <xf numFmtId="3" fontId="0" fillId="2" borderId="0" xfId="0" applyNumberFormat="1" applyFill="1"/>
    <xf numFmtId="9" fontId="0" fillId="2" borderId="0" xfId="1" applyFont="1" applyFill="1"/>
    <xf numFmtId="0" fontId="2" fillId="2" borderId="0" xfId="0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2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left"/>
    </xf>
    <xf numFmtId="3" fontId="3" fillId="2" borderId="0" xfId="0" applyNumberFormat="1" applyFont="1" applyFill="1"/>
    <xf numFmtId="9" fontId="0" fillId="0" borderId="0" xfId="1" applyFont="1"/>
    <xf numFmtId="0" fontId="0" fillId="3" borderId="0" xfId="0" applyFill="1"/>
    <xf numFmtId="0" fontId="2" fillId="3" borderId="0" xfId="0" applyFont="1" applyFill="1"/>
    <xf numFmtId="41" fontId="0" fillId="0" borderId="0" xfId="0" applyNumberFormat="1"/>
    <xf numFmtId="0" fontId="0" fillId="3" borderId="5" xfId="0" applyFill="1" applyBorder="1"/>
    <xf numFmtId="164" fontId="0" fillId="3" borderId="6" xfId="2" applyNumberFormat="1" applyFont="1" applyFill="1" applyBorder="1"/>
    <xf numFmtId="0" fontId="0" fillId="3" borderId="7" xfId="0" applyFill="1" applyBorder="1"/>
    <xf numFmtId="164" fontId="0" fillId="3" borderId="8" xfId="2" applyNumberFormat="1" applyFont="1" applyFill="1" applyBorder="1"/>
    <xf numFmtId="0" fontId="2" fillId="2" borderId="9" xfId="0" applyFont="1" applyFill="1" applyBorder="1"/>
    <xf numFmtId="164" fontId="2" fillId="2" borderId="10" xfId="0" applyNumberFormat="1" applyFont="1" applyFill="1" applyBorder="1"/>
    <xf numFmtId="165" fontId="0" fillId="2" borderId="0" xfId="0" applyNumberFormat="1" applyFill="1"/>
    <xf numFmtId="165" fontId="0" fillId="0" borderId="0" xfId="0" applyNumberFormat="1"/>
    <xf numFmtId="0" fontId="4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6" fontId="0" fillId="0" borderId="0" xfId="0" applyNumberFormat="1"/>
    <xf numFmtId="0" fontId="0" fillId="3" borderId="1" xfId="0" applyFill="1" applyBorder="1"/>
    <xf numFmtId="3" fontId="0" fillId="3" borderId="0" xfId="0" applyNumberFormat="1" applyFill="1" applyAlignment="1">
      <alignment horizontal="right"/>
    </xf>
    <xf numFmtId="0" fontId="2" fillId="3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center"/>
    </xf>
    <xf numFmtId="10" fontId="0" fillId="3" borderId="0" xfId="0" applyNumberFormat="1" applyFill="1"/>
    <xf numFmtId="0" fontId="0" fillId="3" borderId="0" xfId="0" applyFill="1" applyAlignment="1">
      <alignment horizontal="center"/>
    </xf>
    <xf numFmtId="3" fontId="0" fillId="3" borderId="0" xfId="0" applyNumberFormat="1" applyFill="1" applyAlignment="1">
      <alignment horizontal="center"/>
    </xf>
    <xf numFmtId="3" fontId="0" fillId="3" borderId="12" xfId="0" applyNumberFormat="1" applyFill="1" applyBorder="1" applyAlignment="1">
      <alignment horizontal="center"/>
    </xf>
    <xf numFmtId="0" fontId="2" fillId="3" borderId="5" xfId="0" applyFont="1" applyFill="1" applyBorder="1"/>
    <xf numFmtId="3" fontId="2" fillId="3" borderId="0" xfId="0" applyNumberFormat="1" applyFont="1" applyFill="1" applyAlignment="1">
      <alignment horizontal="right"/>
    </xf>
    <xf numFmtId="0" fontId="0" fillId="3" borderId="12" xfId="0" applyFill="1" applyBorder="1"/>
    <xf numFmtId="0" fontId="0" fillId="3" borderId="2" xfId="0" applyFill="1" applyBorder="1"/>
    <xf numFmtId="3" fontId="0" fillId="3" borderId="2" xfId="0" applyNumberFormat="1" applyFill="1" applyBorder="1"/>
    <xf numFmtId="0" fontId="0" fillId="3" borderId="13" xfId="0" applyFill="1" applyBorder="1"/>
    <xf numFmtId="0" fontId="0" fillId="3" borderId="2" xfId="0" applyFill="1" applyBorder="1" applyAlignment="1">
      <alignment horizontal="center"/>
    </xf>
    <xf numFmtId="0" fontId="2" fillId="3" borderId="2" xfId="0" applyFont="1" applyFill="1" applyBorder="1"/>
    <xf numFmtId="3" fontId="0" fillId="3" borderId="2" xfId="0" applyNumberFormat="1" applyFill="1" applyBorder="1" applyAlignment="1">
      <alignment horizontal="center"/>
    </xf>
    <xf numFmtId="3" fontId="0" fillId="3" borderId="13" xfId="0" applyNumberForma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center" vertical="center"/>
    </xf>
    <xf numFmtId="165" fontId="2" fillId="0" borderId="0" xfId="0" applyNumberFormat="1" applyFont="1"/>
    <xf numFmtId="0" fontId="0" fillId="3" borderId="3" xfId="0" applyFill="1" applyBorder="1"/>
    <xf numFmtId="0" fontId="2" fillId="3" borderId="4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/>
    </xf>
    <xf numFmtId="167" fontId="0" fillId="3" borderId="0" xfId="5" applyNumberFormat="1" applyFont="1" applyFill="1"/>
    <xf numFmtId="9" fontId="0" fillId="3" borderId="2" xfId="1" applyFont="1" applyFill="1" applyBorder="1"/>
    <xf numFmtId="9" fontId="0" fillId="3" borderId="0" xfId="1" applyFont="1" applyFill="1"/>
    <xf numFmtId="2" fontId="0" fillId="3" borderId="0" xfId="0" applyNumberFormat="1" applyFill="1"/>
    <xf numFmtId="167" fontId="0" fillId="3" borderId="0" xfId="5" applyNumberFormat="1" applyFont="1" applyFill="1" applyBorder="1"/>
    <xf numFmtId="167" fontId="0" fillId="0" borderId="0" xfId="0" applyNumberFormat="1"/>
    <xf numFmtId="0" fontId="0" fillId="0" borderId="3" xfId="0" applyBorder="1"/>
    <xf numFmtId="0" fontId="0" fillId="0" borderId="1" xfId="0" applyBorder="1"/>
    <xf numFmtId="0" fontId="0" fillId="0" borderId="5" xfId="0" applyBorder="1"/>
    <xf numFmtId="167" fontId="2" fillId="3" borderId="12" xfId="5" applyNumberFormat="1" applyFont="1" applyFill="1" applyBorder="1" applyAlignment="1">
      <alignment horizontal="center" vertical="center"/>
    </xf>
    <xf numFmtId="167" fontId="0" fillId="0" borderId="0" xfId="5" applyNumberFormat="1" applyFont="1" applyBorder="1"/>
    <xf numFmtId="167" fontId="2" fillId="0" borderId="12" xfId="5" applyNumberFormat="1" applyFont="1" applyBorder="1"/>
    <xf numFmtId="167" fontId="0" fillId="0" borderId="12" xfId="5" applyNumberFormat="1" applyFont="1" applyBorder="1"/>
    <xf numFmtId="0" fontId="0" fillId="0" borderId="12" xfId="0" applyBorder="1"/>
    <xf numFmtId="167" fontId="2" fillId="0" borderId="12" xfId="0" applyNumberFormat="1" applyFont="1" applyBorder="1"/>
    <xf numFmtId="0" fontId="0" fillId="0" borderId="7" xfId="0" applyBorder="1"/>
    <xf numFmtId="0" fontId="0" fillId="0" borderId="2" xfId="0" applyBorder="1"/>
    <xf numFmtId="0" fontId="2" fillId="0" borderId="2" xfId="0" applyFont="1" applyBorder="1"/>
    <xf numFmtId="167" fontId="2" fillId="0" borderId="13" xfId="0" applyNumberFormat="1" applyFont="1" applyBorder="1"/>
    <xf numFmtId="0" fontId="2" fillId="0" borderId="5" xfId="0" applyFont="1" applyBorder="1"/>
    <xf numFmtId="9" fontId="2" fillId="0" borderId="0" xfId="1" applyFont="1" applyBorder="1"/>
    <xf numFmtId="9" fontId="2" fillId="0" borderId="0" xfId="0" applyNumberFormat="1" applyFont="1"/>
    <xf numFmtId="0" fontId="2" fillId="0" borderId="7" xfId="0" applyFont="1" applyBorder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9" fontId="0" fillId="0" borderId="14" xfId="1" applyFont="1" applyBorder="1"/>
    <xf numFmtId="0" fontId="0" fillId="0" borderId="14" xfId="0" applyBorder="1"/>
    <xf numFmtId="9" fontId="0" fillId="0" borderId="15" xfId="1" applyFont="1" applyBorder="1"/>
    <xf numFmtId="9" fontId="0" fillId="0" borderId="16" xfId="1" applyFont="1" applyBorder="1"/>
    <xf numFmtId="9" fontId="0" fillId="0" borderId="17" xfId="1" applyFont="1" applyBorder="1"/>
    <xf numFmtId="0" fontId="2" fillId="3" borderId="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0" fillId="0" borderId="4" xfId="0" applyBorder="1"/>
    <xf numFmtId="0" fontId="2" fillId="0" borderId="1" xfId="0" applyFont="1" applyBorder="1"/>
    <xf numFmtId="0" fontId="2" fillId="0" borderId="4" xfId="0" applyFont="1" applyBorder="1"/>
    <xf numFmtId="9" fontId="0" fillId="0" borderId="14" xfId="0" applyNumberFormat="1" applyBorder="1"/>
    <xf numFmtId="9" fontId="0" fillId="0" borderId="15" xfId="0" applyNumberFormat="1" applyBorder="1"/>
    <xf numFmtId="9" fontId="0" fillId="0" borderId="16" xfId="0" applyNumberFormat="1" applyBorder="1"/>
    <xf numFmtId="9" fontId="0" fillId="0" borderId="17" xfId="0" applyNumberFormat="1" applyBorder="1"/>
    <xf numFmtId="9" fontId="0" fillId="0" borderId="18" xfId="0" applyNumberFormat="1" applyBorder="1"/>
    <xf numFmtId="9" fontId="0" fillId="0" borderId="19" xfId="0" applyNumberFormat="1" applyBorder="1"/>
    <xf numFmtId="9" fontId="0" fillId="0" borderId="20" xfId="0" applyNumberFormat="1" applyBorder="1"/>
    <xf numFmtId="9" fontId="0" fillId="0" borderId="21" xfId="0" applyNumberFormat="1" applyBorder="1"/>
    <xf numFmtId="9" fontId="0" fillId="0" borderId="22" xfId="0" applyNumberFormat="1" applyBorder="1"/>
    <xf numFmtId="9" fontId="0" fillId="0" borderId="5" xfId="1" applyFont="1" applyBorder="1"/>
    <xf numFmtId="0" fontId="0" fillId="0" borderId="0" xfId="0" applyBorder="1"/>
    <xf numFmtId="0" fontId="0" fillId="0" borderId="13" xfId="0" applyBorder="1"/>
  </cellXfs>
  <cellStyles count="6">
    <cellStyle name="Millares" xfId="2" builtinId="3"/>
    <cellStyle name="Millares [0] 2" xfId="3" xr:uid="{28222475-F968-4BF1-8513-2738873BFF01}"/>
    <cellStyle name="Moneda" xfId="5" builtinId="4"/>
    <cellStyle name="Moneda 2" xfId="4" xr:uid="{3B17E7A1-B61B-4F45-94FA-B60A11E6BF0A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53026511220981"/>
          <c:y val="4.7434238896075898E-2"/>
          <c:w val="0.85607438605058084"/>
          <c:h val="0.6624474980730901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E77F198-335E-419A-88DC-EB982DBCD77E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C5B-4DC1-A1D1-BB6DE11A23A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29AAF06-7BE9-4677-96B2-32AE709363F1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AC5B-4DC1-A1D1-BB6DE11A23A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1E38D50-BDA1-4B3A-ADE2-8CFCCDF852E5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C5B-4DC1-A1D1-BB6DE11A23A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92725B7-57E3-4EE5-B911-066860CAD478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C5B-4DC1-A1D1-BB6DE11A23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'MAPA CALOR'!$E$4:$E$7</c:f>
              <c:numCache>
                <c:formatCode>General</c:formatCode>
                <c:ptCount val="4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</c:numCache>
            </c:numRef>
          </c:xVal>
          <c:yVal>
            <c:numRef>
              <c:f>'MAPA CALOR'!$F$4:$F$7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'MAPA CALOR'!$D$4:$D$7</c15:f>
                <c15:dlblRangeCache>
                  <c:ptCount val="4"/>
                  <c:pt idx="0">
                    <c:v>NORMAL </c:v>
                  </c:pt>
                  <c:pt idx="1">
                    <c:v>INVIERNO</c:v>
                  </c:pt>
                  <c:pt idx="2">
                    <c:v>VERANO</c:v>
                  </c:pt>
                  <c:pt idx="3">
                    <c:v>ENFERMEDADES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AC5B-4DC1-A1D1-BB6DE11A2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086416"/>
        <c:axId val="746547520"/>
      </c:scatterChart>
      <c:valAx>
        <c:axId val="779086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IMPACTO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6547520"/>
        <c:crosses val="autoZero"/>
        <c:crossBetween val="midCat"/>
      </c:valAx>
      <c:valAx>
        <c:axId val="746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 FRECUENCIA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79086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pin" dx="22" fmlaLink="$K$42" max="4" page="10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22860</xdr:colOff>
          <xdr:row>40</xdr:row>
          <xdr:rowOff>160020</xdr:rowOff>
        </xdr:from>
        <xdr:to>
          <xdr:col>12</xdr:col>
          <xdr:colOff>381000</xdr:colOff>
          <xdr:row>42</xdr:row>
          <xdr:rowOff>182880</xdr:rowOff>
        </xdr:to>
        <xdr:sp macro="" textlink="">
          <xdr:nvSpPr>
            <xdr:cNvPr id="5121" name="Spinner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167640</xdr:colOff>
      <xdr:row>0</xdr:row>
      <xdr:rowOff>175260</xdr:rowOff>
    </xdr:from>
    <xdr:to>
      <xdr:col>12</xdr:col>
      <xdr:colOff>205740</xdr:colOff>
      <xdr:row>14</xdr:row>
      <xdr:rowOff>99060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601980</xdr:colOff>
      <xdr:row>1</xdr:row>
      <xdr:rowOff>104548</xdr:rowOff>
    </xdr:from>
    <xdr:to>
      <xdr:col>19</xdr:col>
      <xdr:colOff>94308</xdr:colOff>
      <xdr:row>13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57A23F4-04A7-3A81-1A10-86ED6430A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73740" y="287428"/>
          <a:ext cx="5039688" cy="22195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esktop\TRAB%20GRADOS\Entregable%205\Modelo%20Financiero%20Fondo%20VF.xlsm" TargetMode="External"/><Relationship Id="rId1" Type="http://schemas.openxmlformats.org/officeDocument/2006/relationships/externalLinkPath" Target="/Users/Usuario/Desktop/TRAB%20GRADOS/Entregable%205/Modelo%20Financiero%20Fondo%20V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icio"/>
      <sheetName val="Generalidades"/>
      <sheetName val="Macroeconómicos"/>
      <sheetName val="WACC"/>
      <sheetName val="ConfigCreditos"/>
      <sheetName val="Ingresos"/>
      <sheetName val="Costos y Gastos"/>
      <sheetName val="Inversión"/>
      <sheetName val="Financiación"/>
      <sheetName val="EEFF"/>
    </sheetNames>
    <sheetDataSet>
      <sheetData sheetId="0"/>
      <sheetData sheetId="1">
        <row r="10">
          <cell r="D10">
            <v>2024</v>
          </cell>
        </row>
      </sheetData>
      <sheetData sheetId="2">
        <row r="13">
          <cell r="F13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90">
          <cell r="F90">
            <v>18397360000</v>
          </cell>
          <cell r="G90">
            <v>19000793408</v>
          </cell>
          <cell r="H90">
            <v>18690694100.353577</v>
          </cell>
          <cell r="I90">
            <v>14754173574.198513</v>
          </cell>
          <cell r="J90">
            <v>10836054395.499336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FD71C-0F88-4733-A0AA-99ED24FEBB51}">
  <sheetPr codeName="Hoja3">
    <tabColor theme="9" tint="0.79998168889431442"/>
  </sheetPr>
  <dimension ref="B1:AG142"/>
  <sheetViews>
    <sheetView zoomScaleNormal="100" workbookViewId="0">
      <selection activeCell="U141" sqref="U141"/>
    </sheetView>
  </sheetViews>
  <sheetFormatPr baseColWidth="10" defaultColWidth="11.44140625" defaultRowHeight="14.4" x14ac:dyDescent="0.3"/>
  <cols>
    <col min="1" max="1" width="8.21875" style="22" customWidth="1"/>
    <col min="2" max="2" width="3.88671875" style="22" customWidth="1"/>
    <col min="3" max="3" width="20.88671875" style="22" customWidth="1"/>
    <col min="4" max="4" width="7.88671875" style="22" customWidth="1"/>
    <col min="5" max="5" width="7.5546875" style="22" customWidth="1"/>
    <col min="6" max="6" width="13.33203125" style="22" customWidth="1"/>
    <col min="7" max="7" width="17.109375" style="22" customWidth="1"/>
    <col min="8" max="8" width="15" style="22" customWidth="1"/>
    <col min="9" max="9" width="15.6640625" style="22" customWidth="1"/>
    <col min="10" max="10" width="14.88671875" style="22" customWidth="1"/>
    <col min="11" max="11" width="14" style="22" customWidth="1"/>
    <col min="12" max="12" width="13.44140625" style="22" customWidth="1"/>
    <col min="13" max="13" width="13.5546875" style="22" customWidth="1"/>
    <col min="14" max="14" width="13.6640625" style="22" customWidth="1"/>
    <col min="15" max="15" width="16.5546875" style="22" customWidth="1"/>
    <col min="16" max="17" width="14.21875" style="22" customWidth="1"/>
    <col min="18" max="18" width="14.6640625" style="22" customWidth="1"/>
    <col min="19" max="20" width="13.21875" style="22" customWidth="1"/>
    <col min="21" max="21" width="19.109375" style="22" customWidth="1"/>
    <col min="22" max="22" width="5.77734375" style="22" customWidth="1"/>
    <col min="23" max="23" width="9.21875" style="22" customWidth="1"/>
    <col min="24" max="24" width="13" style="22" customWidth="1"/>
    <col min="25" max="25" width="14.6640625" style="22" customWidth="1"/>
    <col min="26" max="26" width="14.21875" style="22" customWidth="1"/>
    <col min="27" max="27" width="15.5546875" style="22" customWidth="1"/>
    <col min="28" max="28" width="11.44140625" style="22"/>
    <col min="29" max="29" width="12.21875" style="22" customWidth="1"/>
    <col min="30" max="30" width="12.6640625" style="22" customWidth="1"/>
    <col min="31" max="31" width="12.77734375" style="22" customWidth="1"/>
    <col min="32" max="32" width="13.5546875" style="22" customWidth="1"/>
    <col min="33" max="33" width="16" style="22" customWidth="1"/>
    <col min="34" max="35" width="11.44140625" style="22"/>
    <col min="36" max="36" width="14.5546875" style="22" customWidth="1"/>
    <col min="37" max="37" width="14.33203125" style="22" customWidth="1"/>
    <col min="38" max="38" width="13.6640625" style="22" customWidth="1"/>
    <col min="39" max="39" width="13.6640625" style="22" bestFit="1" customWidth="1"/>
    <col min="40" max="42" width="11.44140625" style="22"/>
    <col min="43" max="43" width="13.6640625" style="22" bestFit="1" customWidth="1"/>
    <col min="44" max="46" width="13.44140625" style="22" bestFit="1" customWidth="1"/>
    <col min="47" max="47" width="13.6640625" style="22" bestFit="1" customWidth="1"/>
    <col min="48" max="16384" width="11.44140625" style="22"/>
  </cols>
  <sheetData>
    <row r="1" spans="2:33" ht="15" thickBot="1" x14ac:dyDescent="0.35"/>
    <row r="2" spans="2:33" s="23" customFormat="1" ht="15" thickBot="1" x14ac:dyDescent="0.35">
      <c r="B2" s="95" t="s">
        <v>88</v>
      </c>
      <c r="C2" s="97"/>
      <c r="D2" s="54"/>
      <c r="E2" s="95">
        <v>2024</v>
      </c>
      <c r="F2" s="96"/>
      <c r="G2" s="96"/>
      <c r="H2" s="96"/>
      <c r="I2" s="97"/>
      <c r="J2" s="54"/>
      <c r="K2" s="95">
        <v>2025</v>
      </c>
      <c r="L2" s="96"/>
      <c r="M2" s="96"/>
      <c r="N2" s="96"/>
      <c r="O2" s="97"/>
      <c r="P2" s="54"/>
      <c r="Q2" s="95">
        <v>2026</v>
      </c>
      <c r="R2" s="96"/>
      <c r="S2" s="96"/>
      <c r="T2" s="96"/>
      <c r="U2" s="97"/>
      <c r="V2" s="54"/>
      <c r="W2" s="95">
        <v>2027</v>
      </c>
      <c r="X2" s="96"/>
      <c r="Y2" s="96"/>
      <c r="Z2" s="96"/>
      <c r="AA2" s="97"/>
      <c r="AB2" s="54"/>
      <c r="AC2" s="95">
        <v>2028</v>
      </c>
      <c r="AD2" s="96"/>
      <c r="AE2" s="96"/>
      <c r="AF2" s="96"/>
      <c r="AG2" s="97"/>
    </row>
    <row r="3" spans="2:33" x14ac:dyDescent="0.3">
      <c r="B3" s="25" t="s">
        <v>1</v>
      </c>
      <c r="C3" s="37">
        <v>8000000000</v>
      </c>
      <c r="D3" s="37"/>
      <c r="E3" s="38" t="s">
        <v>0</v>
      </c>
      <c r="F3" s="38" t="s">
        <v>23</v>
      </c>
      <c r="G3" s="38" t="s">
        <v>24</v>
      </c>
      <c r="H3" s="38" t="s">
        <v>25</v>
      </c>
      <c r="I3" s="39" t="s">
        <v>26</v>
      </c>
      <c r="K3" s="38" t="s">
        <v>0</v>
      </c>
      <c r="L3" s="38" t="s">
        <v>23</v>
      </c>
      <c r="M3" s="38" t="s">
        <v>24</v>
      </c>
      <c r="N3" s="38" t="s">
        <v>25</v>
      </c>
      <c r="O3" s="38" t="s">
        <v>26</v>
      </c>
      <c r="Q3" s="38" t="s">
        <v>0</v>
      </c>
      <c r="R3" s="38" t="s">
        <v>23</v>
      </c>
      <c r="S3" s="38" t="s">
        <v>24</v>
      </c>
      <c r="T3" s="38" t="s">
        <v>25</v>
      </c>
      <c r="U3" s="38" t="s">
        <v>26</v>
      </c>
      <c r="W3" s="38" t="s">
        <v>0</v>
      </c>
      <c r="X3" s="38" t="s">
        <v>23</v>
      </c>
      <c r="Y3" s="38" t="s">
        <v>24</v>
      </c>
      <c r="Z3" s="38" t="s">
        <v>25</v>
      </c>
      <c r="AA3" s="38" t="s">
        <v>26</v>
      </c>
      <c r="AC3" s="38" t="s">
        <v>0</v>
      </c>
      <c r="AD3" s="38" t="s">
        <v>23</v>
      </c>
      <c r="AE3" s="38" t="s">
        <v>24</v>
      </c>
      <c r="AF3" s="38" t="s">
        <v>25</v>
      </c>
      <c r="AG3" s="39" t="s">
        <v>26</v>
      </c>
    </row>
    <row r="4" spans="2:33" x14ac:dyDescent="0.3">
      <c r="B4" s="25" t="s">
        <v>22</v>
      </c>
      <c r="C4" s="40">
        <v>0.1608</v>
      </c>
      <c r="D4" s="22">
        <v>2024</v>
      </c>
      <c r="E4" s="41">
        <v>0</v>
      </c>
      <c r="F4" s="41"/>
      <c r="G4" s="41"/>
      <c r="H4" s="41"/>
      <c r="I4" s="43">
        <v>8000000000</v>
      </c>
      <c r="J4" s="22">
        <v>2025</v>
      </c>
      <c r="K4" s="41">
        <v>0</v>
      </c>
      <c r="L4" s="41"/>
      <c r="M4" s="41"/>
      <c r="N4" s="41"/>
      <c r="O4" s="42">
        <v>8000000000</v>
      </c>
      <c r="P4" s="22">
        <v>2026</v>
      </c>
      <c r="Q4" s="41">
        <v>0</v>
      </c>
      <c r="R4" s="41"/>
      <c r="S4" s="41"/>
      <c r="T4" s="41"/>
      <c r="U4" s="42">
        <v>8000000000</v>
      </c>
      <c r="V4" s="22">
        <v>2027</v>
      </c>
      <c r="W4" s="41">
        <v>0</v>
      </c>
      <c r="X4" s="41"/>
      <c r="Y4" s="41"/>
      <c r="Z4" s="41"/>
      <c r="AA4" s="42">
        <v>8000000000</v>
      </c>
      <c r="AB4" s="22">
        <v>2028</v>
      </c>
      <c r="AC4" s="41">
        <v>0</v>
      </c>
      <c r="AD4" s="41"/>
      <c r="AE4" s="41"/>
      <c r="AF4" s="41"/>
      <c r="AG4" s="43">
        <v>8000000000</v>
      </c>
    </row>
    <row r="5" spans="2:33" x14ac:dyDescent="0.3">
      <c r="B5" s="25" t="s">
        <v>4</v>
      </c>
      <c r="C5" s="22">
        <v>2</v>
      </c>
      <c r="D5" s="22">
        <v>2025</v>
      </c>
      <c r="E5" s="41">
        <v>1</v>
      </c>
      <c r="F5" s="42">
        <v>0</v>
      </c>
      <c r="G5" s="42">
        <f t="shared" ref="G5:G16" si="0">I4*$C$4</f>
        <v>1286400000</v>
      </c>
      <c r="H5" s="42">
        <f>F5-G5</f>
        <v>-1286400000</v>
      </c>
      <c r="I5" s="43">
        <f>I4-H5</f>
        <v>9286400000</v>
      </c>
      <c r="J5" s="22">
        <v>2026</v>
      </c>
      <c r="K5" s="41">
        <v>1</v>
      </c>
      <c r="L5" s="42">
        <v>0</v>
      </c>
      <c r="M5" s="42">
        <f t="shared" ref="M5:M16" si="1">O4*$C$4</f>
        <v>1286400000</v>
      </c>
      <c r="N5" s="42">
        <f>L5-M5</f>
        <v>-1286400000</v>
      </c>
      <c r="O5" s="42">
        <f>O4-N5</f>
        <v>9286400000</v>
      </c>
      <c r="P5" s="22">
        <v>2027</v>
      </c>
      <c r="Q5" s="41">
        <v>1</v>
      </c>
      <c r="R5" s="42">
        <v>0</v>
      </c>
      <c r="S5" s="42">
        <f t="shared" ref="S5:S16" si="2">U4*$C$4</f>
        <v>1286400000</v>
      </c>
      <c r="T5" s="42">
        <f>R5-S5</f>
        <v>-1286400000</v>
      </c>
      <c r="U5" s="42">
        <f>U4-T5</f>
        <v>9286400000</v>
      </c>
      <c r="V5" s="22">
        <v>2028</v>
      </c>
      <c r="W5" s="41">
        <v>1</v>
      </c>
      <c r="X5" s="42">
        <v>0</v>
      </c>
      <c r="Y5" s="42">
        <f t="shared" ref="Y5:Y16" si="3">AA4*$C$4</f>
        <v>1286400000</v>
      </c>
      <c r="Z5" s="42">
        <f>X5-Y5</f>
        <v>-1286400000</v>
      </c>
      <c r="AA5" s="42">
        <f>AA4-Z5</f>
        <v>9286400000</v>
      </c>
      <c r="AB5" s="22">
        <v>2029</v>
      </c>
      <c r="AC5" s="41">
        <v>1</v>
      </c>
      <c r="AD5" s="42">
        <v>0</v>
      </c>
      <c r="AE5" s="42">
        <f t="shared" ref="AE5:AE16" si="4">AG4*$C$4</f>
        <v>1286400000</v>
      </c>
      <c r="AF5" s="42">
        <f>AD5-AE5</f>
        <v>-1286400000</v>
      </c>
      <c r="AG5" s="43">
        <f>AG4-AF5</f>
        <v>9286400000</v>
      </c>
    </row>
    <row r="6" spans="2:33" x14ac:dyDescent="0.3">
      <c r="B6" s="44" t="s">
        <v>85</v>
      </c>
      <c r="C6" s="45">
        <f>FV(C4,C5,,-C3)</f>
        <v>10779653120</v>
      </c>
      <c r="D6" s="22">
        <v>2026</v>
      </c>
      <c r="E6" s="41">
        <v>2</v>
      </c>
      <c r="F6" s="42">
        <v>0</v>
      </c>
      <c r="G6" s="42">
        <f t="shared" si="0"/>
        <v>1493253120</v>
      </c>
      <c r="H6" s="42">
        <f>F6-G6</f>
        <v>-1493253120</v>
      </c>
      <c r="I6" s="43">
        <f>I5-H6</f>
        <v>10779653120</v>
      </c>
      <c r="J6" s="22">
        <v>2027</v>
      </c>
      <c r="K6" s="41">
        <v>2</v>
      </c>
      <c r="L6" s="42">
        <v>0</v>
      </c>
      <c r="M6" s="42">
        <f t="shared" si="1"/>
        <v>1493253120</v>
      </c>
      <c r="N6" s="42">
        <f>L6-M6</f>
        <v>-1493253120</v>
      </c>
      <c r="O6" s="42">
        <f>O5-N6</f>
        <v>10779653120</v>
      </c>
      <c r="P6" s="22">
        <v>2028</v>
      </c>
      <c r="Q6" s="41">
        <v>2</v>
      </c>
      <c r="R6" s="42">
        <v>0</v>
      </c>
      <c r="S6" s="42">
        <f t="shared" si="2"/>
        <v>1493253120</v>
      </c>
      <c r="T6" s="42">
        <f>R6-S6</f>
        <v>-1493253120</v>
      </c>
      <c r="U6" s="42">
        <f>U5-T6</f>
        <v>10779653120</v>
      </c>
      <c r="V6" s="22">
        <v>2029</v>
      </c>
      <c r="W6" s="41">
        <v>2</v>
      </c>
      <c r="X6" s="42">
        <v>0</v>
      </c>
      <c r="Y6" s="42">
        <f t="shared" si="3"/>
        <v>1493253120</v>
      </c>
      <c r="Z6" s="42">
        <f>X6-Y6</f>
        <v>-1493253120</v>
      </c>
      <c r="AA6" s="42">
        <f>AA5-Z6</f>
        <v>10779653120</v>
      </c>
      <c r="AB6" s="22">
        <v>2030</v>
      </c>
      <c r="AC6" s="41">
        <v>2</v>
      </c>
      <c r="AD6" s="42">
        <v>0</v>
      </c>
      <c r="AE6" s="42">
        <f t="shared" si="4"/>
        <v>1493253120</v>
      </c>
      <c r="AF6" s="42">
        <f>AD6-AE6</f>
        <v>-1493253120</v>
      </c>
      <c r="AG6" s="43">
        <f>AG5-AF6</f>
        <v>10779653120</v>
      </c>
    </row>
    <row r="7" spans="2:33" x14ac:dyDescent="0.3">
      <c r="B7" s="25" t="s">
        <v>4</v>
      </c>
      <c r="C7" s="22">
        <v>10</v>
      </c>
      <c r="D7" s="22">
        <v>2027</v>
      </c>
      <c r="E7" s="41">
        <v>3</v>
      </c>
      <c r="F7" s="42">
        <f t="shared" ref="F7:F16" si="5">$C$8</f>
        <v>2236968369.597971</v>
      </c>
      <c r="G7" s="42">
        <f t="shared" si="0"/>
        <v>1733368221.6960001</v>
      </c>
      <c r="H7" s="42">
        <f>F7-G7</f>
        <v>503600147.90197086</v>
      </c>
      <c r="I7" s="43">
        <f>I6-H7</f>
        <v>10276052972.09803</v>
      </c>
      <c r="J7" s="22">
        <v>2028</v>
      </c>
      <c r="K7" s="41">
        <v>3</v>
      </c>
      <c r="L7" s="42">
        <f t="shared" ref="L7:L16" si="6">$C$8</f>
        <v>2236968369.597971</v>
      </c>
      <c r="M7" s="42">
        <f t="shared" si="1"/>
        <v>1733368221.6960001</v>
      </c>
      <c r="N7" s="42">
        <f>L7-M7</f>
        <v>503600147.90197086</v>
      </c>
      <c r="O7" s="42">
        <f>O6-N7</f>
        <v>10276052972.09803</v>
      </c>
      <c r="P7" s="22">
        <v>2029</v>
      </c>
      <c r="Q7" s="41">
        <v>3</v>
      </c>
      <c r="R7" s="42">
        <f t="shared" ref="R7:R16" si="7">$C$8</f>
        <v>2236968369.597971</v>
      </c>
      <c r="S7" s="42">
        <f t="shared" si="2"/>
        <v>1733368221.6960001</v>
      </c>
      <c r="T7" s="42">
        <f>R7-S7</f>
        <v>503600147.90197086</v>
      </c>
      <c r="U7" s="42">
        <f>U6-T7</f>
        <v>10276052972.09803</v>
      </c>
      <c r="V7" s="22">
        <v>2030</v>
      </c>
      <c r="W7" s="41">
        <v>3</v>
      </c>
      <c r="X7" s="42">
        <f t="shared" ref="X7:X16" si="8">$C$8</f>
        <v>2236968369.597971</v>
      </c>
      <c r="Y7" s="42">
        <f t="shared" si="3"/>
        <v>1733368221.6960001</v>
      </c>
      <c r="Z7" s="42">
        <f>X7-Y7</f>
        <v>503600147.90197086</v>
      </c>
      <c r="AA7" s="42">
        <f>AA6-Z7</f>
        <v>10276052972.09803</v>
      </c>
      <c r="AB7" s="22">
        <v>2031</v>
      </c>
      <c r="AC7" s="41">
        <v>3</v>
      </c>
      <c r="AD7" s="42">
        <f t="shared" ref="AD7:AD16" si="9">$C$8</f>
        <v>2236968369.597971</v>
      </c>
      <c r="AE7" s="42">
        <f t="shared" si="4"/>
        <v>1733368221.6960001</v>
      </c>
      <c r="AF7" s="42">
        <f>AD7-AE7</f>
        <v>503600147.90197086</v>
      </c>
      <c r="AG7" s="43">
        <f>AG6-AF7</f>
        <v>10276052972.09803</v>
      </c>
    </row>
    <row r="8" spans="2:33" x14ac:dyDescent="0.3">
      <c r="B8" s="44" t="s">
        <v>5</v>
      </c>
      <c r="C8" s="45">
        <f>PMT(C4,C7,-C6)</f>
        <v>2236968369.597971</v>
      </c>
      <c r="D8" s="22">
        <v>2028</v>
      </c>
      <c r="E8" s="41">
        <v>4</v>
      </c>
      <c r="F8" s="42">
        <f t="shared" si="5"/>
        <v>2236968369.597971</v>
      </c>
      <c r="G8" s="42">
        <f t="shared" si="0"/>
        <v>1652389317.9133632</v>
      </c>
      <c r="H8" s="42">
        <f t="shared" ref="H8:H16" si="10">F8-G8</f>
        <v>584579051.68460774</v>
      </c>
      <c r="I8" s="43">
        <f t="shared" ref="I8:I16" si="11">I7-H8</f>
        <v>9691473920.4134216</v>
      </c>
      <c r="J8" s="22">
        <v>2029</v>
      </c>
      <c r="K8" s="41">
        <v>4</v>
      </c>
      <c r="L8" s="42">
        <f t="shared" si="6"/>
        <v>2236968369.597971</v>
      </c>
      <c r="M8" s="42">
        <f t="shared" si="1"/>
        <v>1652389317.9133632</v>
      </c>
      <c r="N8" s="42">
        <f t="shared" ref="N8:N16" si="12">L8-M8</f>
        <v>584579051.68460774</v>
      </c>
      <c r="O8" s="42">
        <f t="shared" ref="O8:O16" si="13">O7-N8</f>
        <v>9691473920.4134216</v>
      </c>
      <c r="P8" s="22">
        <v>2030</v>
      </c>
      <c r="Q8" s="41">
        <v>4</v>
      </c>
      <c r="R8" s="42">
        <f t="shared" si="7"/>
        <v>2236968369.597971</v>
      </c>
      <c r="S8" s="42">
        <f t="shared" si="2"/>
        <v>1652389317.9133632</v>
      </c>
      <c r="T8" s="42">
        <f t="shared" ref="T8:T16" si="14">R8-S8</f>
        <v>584579051.68460774</v>
      </c>
      <c r="U8" s="42">
        <f t="shared" ref="U8:U16" si="15">U7-T8</f>
        <v>9691473920.4134216</v>
      </c>
      <c r="V8" s="22">
        <v>2031</v>
      </c>
      <c r="W8" s="41">
        <v>4</v>
      </c>
      <c r="X8" s="42">
        <f t="shared" si="8"/>
        <v>2236968369.597971</v>
      </c>
      <c r="Y8" s="42">
        <f t="shared" si="3"/>
        <v>1652389317.9133632</v>
      </c>
      <c r="Z8" s="42">
        <f t="shared" ref="Z8:Z16" si="16">X8-Y8</f>
        <v>584579051.68460774</v>
      </c>
      <c r="AA8" s="42">
        <f t="shared" ref="AA8:AA16" si="17">AA7-Z8</f>
        <v>9691473920.4134216</v>
      </c>
      <c r="AB8" s="22">
        <v>2032</v>
      </c>
      <c r="AC8" s="41">
        <v>4</v>
      </c>
      <c r="AD8" s="42">
        <f t="shared" si="9"/>
        <v>2236968369.597971</v>
      </c>
      <c r="AE8" s="42">
        <f t="shared" si="4"/>
        <v>1652389317.9133632</v>
      </c>
      <c r="AF8" s="42">
        <f t="shared" ref="AF8:AF16" si="18">AD8-AE8</f>
        <v>584579051.68460774</v>
      </c>
      <c r="AG8" s="43">
        <f t="shared" ref="AG8:AG16" si="19">AG7-AF8</f>
        <v>9691473920.4134216</v>
      </c>
    </row>
    <row r="9" spans="2:33" x14ac:dyDescent="0.3">
      <c r="B9" s="25"/>
      <c r="D9" s="22">
        <v>2029</v>
      </c>
      <c r="E9" s="41">
        <v>5</v>
      </c>
      <c r="F9" s="42">
        <f t="shared" si="5"/>
        <v>2236968369.597971</v>
      </c>
      <c r="G9" s="42">
        <f t="shared" si="0"/>
        <v>1558389006.4024782</v>
      </c>
      <c r="H9" s="42">
        <f t="shared" si="10"/>
        <v>678579363.19549274</v>
      </c>
      <c r="I9" s="43">
        <f t="shared" si="11"/>
        <v>9012894557.2179298</v>
      </c>
      <c r="J9" s="22">
        <v>2030</v>
      </c>
      <c r="K9" s="41">
        <v>5</v>
      </c>
      <c r="L9" s="42">
        <f t="shared" si="6"/>
        <v>2236968369.597971</v>
      </c>
      <c r="M9" s="42">
        <f t="shared" si="1"/>
        <v>1558389006.4024782</v>
      </c>
      <c r="N9" s="42">
        <f t="shared" si="12"/>
        <v>678579363.19549274</v>
      </c>
      <c r="O9" s="42">
        <f t="shared" si="13"/>
        <v>9012894557.2179298</v>
      </c>
      <c r="P9" s="22">
        <v>2031</v>
      </c>
      <c r="Q9" s="41">
        <v>5</v>
      </c>
      <c r="R9" s="42">
        <f t="shared" si="7"/>
        <v>2236968369.597971</v>
      </c>
      <c r="S9" s="42">
        <f t="shared" si="2"/>
        <v>1558389006.4024782</v>
      </c>
      <c r="T9" s="42">
        <f t="shared" si="14"/>
        <v>678579363.19549274</v>
      </c>
      <c r="U9" s="42">
        <f t="shared" si="15"/>
        <v>9012894557.2179298</v>
      </c>
      <c r="V9" s="22">
        <v>2032</v>
      </c>
      <c r="W9" s="41">
        <v>5</v>
      </c>
      <c r="X9" s="42">
        <f t="shared" si="8"/>
        <v>2236968369.597971</v>
      </c>
      <c r="Y9" s="42">
        <f t="shared" si="3"/>
        <v>1558389006.4024782</v>
      </c>
      <c r="Z9" s="42">
        <f t="shared" si="16"/>
        <v>678579363.19549274</v>
      </c>
      <c r="AA9" s="42">
        <f t="shared" si="17"/>
        <v>9012894557.2179298</v>
      </c>
      <c r="AB9" s="22">
        <v>2033</v>
      </c>
      <c r="AC9" s="41">
        <v>5</v>
      </c>
      <c r="AD9" s="42">
        <f t="shared" si="9"/>
        <v>2236968369.597971</v>
      </c>
      <c r="AE9" s="42">
        <f t="shared" si="4"/>
        <v>1558389006.4024782</v>
      </c>
      <c r="AF9" s="42">
        <f t="shared" si="18"/>
        <v>678579363.19549274</v>
      </c>
      <c r="AG9" s="43">
        <f t="shared" si="19"/>
        <v>9012894557.2179298</v>
      </c>
    </row>
    <row r="10" spans="2:33" x14ac:dyDescent="0.3">
      <c r="B10" s="25"/>
      <c r="D10" s="22">
        <v>2030</v>
      </c>
      <c r="E10" s="41">
        <v>6</v>
      </c>
      <c r="F10" s="42">
        <f t="shared" si="5"/>
        <v>2236968369.597971</v>
      </c>
      <c r="G10" s="42">
        <f t="shared" si="0"/>
        <v>1449273444.8006432</v>
      </c>
      <c r="H10" s="42">
        <f t="shared" si="10"/>
        <v>787694924.79732776</v>
      </c>
      <c r="I10" s="43">
        <f t="shared" si="11"/>
        <v>8225199632.4206018</v>
      </c>
      <c r="J10" s="22">
        <v>2031</v>
      </c>
      <c r="K10" s="41">
        <v>6</v>
      </c>
      <c r="L10" s="42">
        <f t="shared" si="6"/>
        <v>2236968369.597971</v>
      </c>
      <c r="M10" s="42">
        <f t="shared" si="1"/>
        <v>1449273444.8006432</v>
      </c>
      <c r="N10" s="42">
        <f t="shared" si="12"/>
        <v>787694924.79732776</v>
      </c>
      <c r="O10" s="42">
        <f t="shared" si="13"/>
        <v>8225199632.4206018</v>
      </c>
      <c r="P10" s="22">
        <v>2032</v>
      </c>
      <c r="Q10" s="41">
        <v>6</v>
      </c>
      <c r="R10" s="42">
        <f t="shared" si="7"/>
        <v>2236968369.597971</v>
      </c>
      <c r="S10" s="42">
        <f t="shared" si="2"/>
        <v>1449273444.8006432</v>
      </c>
      <c r="T10" s="42">
        <f t="shared" si="14"/>
        <v>787694924.79732776</v>
      </c>
      <c r="U10" s="42">
        <f t="shared" si="15"/>
        <v>8225199632.4206018</v>
      </c>
      <c r="V10" s="22">
        <v>2033</v>
      </c>
      <c r="W10" s="41">
        <v>6</v>
      </c>
      <c r="X10" s="42">
        <f t="shared" si="8"/>
        <v>2236968369.597971</v>
      </c>
      <c r="Y10" s="42">
        <f t="shared" si="3"/>
        <v>1449273444.8006432</v>
      </c>
      <c r="Z10" s="42">
        <f t="shared" si="16"/>
        <v>787694924.79732776</v>
      </c>
      <c r="AA10" s="42">
        <f t="shared" si="17"/>
        <v>8225199632.4206018</v>
      </c>
      <c r="AB10" s="22">
        <v>2034</v>
      </c>
      <c r="AC10" s="41">
        <v>6</v>
      </c>
      <c r="AD10" s="42">
        <f t="shared" si="9"/>
        <v>2236968369.597971</v>
      </c>
      <c r="AE10" s="42">
        <f t="shared" si="4"/>
        <v>1449273444.8006432</v>
      </c>
      <c r="AF10" s="42">
        <f t="shared" si="18"/>
        <v>787694924.79732776</v>
      </c>
      <c r="AG10" s="43">
        <f t="shared" si="19"/>
        <v>8225199632.4206018</v>
      </c>
    </row>
    <row r="11" spans="2:33" x14ac:dyDescent="0.3">
      <c r="B11" s="25"/>
      <c r="D11" s="22">
        <v>2031</v>
      </c>
      <c r="E11" s="41">
        <v>7</v>
      </c>
      <c r="F11" s="42">
        <f t="shared" si="5"/>
        <v>2236968369.597971</v>
      </c>
      <c r="G11" s="42">
        <f t="shared" si="0"/>
        <v>1322612100.8932328</v>
      </c>
      <c r="H11" s="42">
        <f t="shared" si="10"/>
        <v>914356268.70473814</v>
      </c>
      <c r="I11" s="43">
        <f t="shared" si="11"/>
        <v>7310843363.7158642</v>
      </c>
      <c r="J11" s="22">
        <v>2032</v>
      </c>
      <c r="K11" s="41">
        <v>7</v>
      </c>
      <c r="L11" s="42">
        <f t="shared" si="6"/>
        <v>2236968369.597971</v>
      </c>
      <c r="M11" s="42">
        <f t="shared" si="1"/>
        <v>1322612100.8932328</v>
      </c>
      <c r="N11" s="42">
        <f t="shared" si="12"/>
        <v>914356268.70473814</v>
      </c>
      <c r="O11" s="42">
        <f t="shared" si="13"/>
        <v>7310843363.7158642</v>
      </c>
      <c r="P11" s="22">
        <v>2033</v>
      </c>
      <c r="Q11" s="41">
        <v>7</v>
      </c>
      <c r="R11" s="42">
        <f t="shared" si="7"/>
        <v>2236968369.597971</v>
      </c>
      <c r="S11" s="42">
        <f t="shared" si="2"/>
        <v>1322612100.8932328</v>
      </c>
      <c r="T11" s="42">
        <f t="shared" si="14"/>
        <v>914356268.70473814</v>
      </c>
      <c r="U11" s="42">
        <f t="shared" si="15"/>
        <v>7310843363.7158642</v>
      </c>
      <c r="V11" s="22">
        <v>2034</v>
      </c>
      <c r="W11" s="41">
        <v>7</v>
      </c>
      <c r="X11" s="42">
        <f t="shared" si="8"/>
        <v>2236968369.597971</v>
      </c>
      <c r="Y11" s="42">
        <f t="shared" si="3"/>
        <v>1322612100.8932328</v>
      </c>
      <c r="Z11" s="42">
        <f t="shared" si="16"/>
        <v>914356268.70473814</v>
      </c>
      <c r="AA11" s="42">
        <f t="shared" si="17"/>
        <v>7310843363.7158642</v>
      </c>
      <c r="AB11" s="22">
        <v>2035</v>
      </c>
      <c r="AC11" s="41">
        <v>7</v>
      </c>
      <c r="AD11" s="42">
        <f t="shared" si="9"/>
        <v>2236968369.597971</v>
      </c>
      <c r="AE11" s="42">
        <f t="shared" si="4"/>
        <v>1322612100.8932328</v>
      </c>
      <c r="AF11" s="42">
        <f t="shared" si="18"/>
        <v>914356268.70473814</v>
      </c>
      <c r="AG11" s="43">
        <f t="shared" si="19"/>
        <v>7310843363.7158642</v>
      </c>
    </row>
    <row r="12" spans="2:33" x14ac:dyDescent="0.3">
      <c r="B12" s="25"/>
      <c r="D12" s="22">
        <v>2032</v>
      </c>
      <c r="E12" s="41">
        <v>8</v>
      </c>
      <c r="F12" s="42">
        <f t="shared" si="5"/>
        <v>2236968369.597971</v>
      </c>
      <c r="G12" s="42">
        <f t="shared" si="0"/>
        <v>1175583612.8855109</v>
      </c>
      <c r="H12" s="42">
        <f t="shared" si="10"/>
        <v>1061384756.71246</v>
      </c>
      <c r="I12" s="43">
        <f t="shared" si="11"/>
        <v>6249458607.0034046</v>
      </c>
      <c r="J12" s="22">
        <v>2033</v>
      </c>
      <c r="K12" s="41">
        <v>8</v>
      </c>
      <c r="L12" s="42">
        <f t="shared" si="6"/>
        <v>2236968369.597971</v>
      </c>
      <c r="M12" s="42">
        <f t="shared" si="1"/>
        <v>1175583612.8855109</v>
      </c>
      <c r="N12" s="42">
        <f t="shared" si="12"/>
        <v>1061384756.71246</v>
      </c>
      <c r="O12" s="42">
        <f t="shared" si="13"/>
        <v>6249458607.0034046</v>
      </c>
      <c r="P12" s="22">
        <v>2034</v>
      </c>
      <c r="Q12" s="41">
        <v>8</v>
      </c>
      <c r="R12" s="42">
        <f t="shared" si="7"/>
        <v>2236968369.597971</v>
      </c>
      <c r="S12" s="42">
        <f t="shared" si="2"/>
        <v>1175583612.8855109</v>
      </c>
      <c r="T12" s="42">
        <f t="shared" si="14"/>
        <v>1061384756.71246</v>
      </c>
      <c r="U12" s="42">
        <f t="shared" si="15"/>
        <v>6249458607.0034046</v>
      </c>
      <c r="V12" s="22">
        <v>2035</v>
      </c>
      <c r="W12" s="41">
        <v>8</v>
      </c>
      <c r="X12" s="42">
        <f t="shared" si="8"/>
        <v>2236968369.597971</v>
      </c>
      <c r="Y12" s="42">
        <f t="shared" si="3"/>
        <v>1175583612.8855109</v>
      </c>
      <c r="Z12" s="42">
        <f t="shared" si="16"/>
        <v>1061384756.71246</v>
      </c>
      <c r="AA12" s="42">
        <f t="shared" si="17"/>
        <v>6249458607.0034046</v>
      </c>
      <c r="AB12" s="22">
        <v>2036</v>
      </c>
      <c r="AC12" s="41">
        <v>8</v>
      </c>
      <c r="AD12" s="42">
        <f t="shared" si="9"/>
        <v>2236968369.597971</v>
      </c>
      <c r="AE12" s="42">
        <f t="shared" si="4"/>
        <v>1175583612.8855109</v>
      </c>
      <c r="AF12" s="42">
        <f t="shared" si="18"/>
        <v>1061384756.71246</v>
      </c>
      <c r="AG12" s="43">
        <f t="shared" si="19"/>
        <v>6249458607.0034046</v>
      </c>
    </row>
    <row r="13" spans="2:33" x14ac:dyDescent="0.3">
      <c r="B13" s="25"/>
      <c r="D13" s="22">
        <v>2033</v>
      </c>
      <c r="E13" s="41">
        <v>9</v>
      </c>
      <c r="F13" s="42">
        <f t="shared" si="5"/>
        <v>2236968369.597971</v>
      </c>
      <c r="G13" s="42">
        <f t="shared" si="0"/>
        <v>1004912944.0061475</v>
      </c>
      <c r="H13" s="42">
        <f t="shared" si="10"/>
        <v>1232055425.5918236</v>
      </c>
      <c r="I13" s="43">
        <f t="shared" si="11"/>
        <v>5017403181.411581</v>
      </c>
      <c r="J13" s="22">
        <v>2034</v>
      </c>
      <c r="K13" s="41">
        <v>9</v>
      </c>
      <c r="L13" s="42">
        <f t="shared" si="6"/>
        <v>2236968369.597971</v>
      </c>
      <c r="M13" s="42">
        <f t="shared" si="1"/>
        <v>1004912944.0061475</v>
      </c>
      <c r="N13" s="42">
        <f t="shared" si="12"/>
        <v>1232055425.5918236</v>
      </c>
      <c r="O13" s="42">
        <f t="shared" si="13"/>
        <v>5017403181.411581</v>
      </c>
      <c r="P13" s="22">
        <v>2035</v>
      </c>
      <c r="Q13" s="41">
        <v>9</v>
      </c>
      <c r="R13" s="42">
        <f t="shared" si="7"/>
        <v>2236968369.597971</v>
      </c>
      <c r="S13" s="42">
        <f t="shared" si="2"/>
        <v>1004912944.0061475</v>
      </c>
      <c r="T13" s="42">
        <f t="shared" si="14"/>
        <v>1232055425.5918236</v>
      </c>
      <c r="U13" s="42">
        <f t="shared" si="15"/>
        <v>5017403181.411581</v>
      </c>
      <c r="V13" s="22">
        <v>2036</v>
      </c>
      <c r="W13" s="41">
        <v>9</v>
      </c>
      <c r="X13" s="42">
        <f t="shared" si="8"/>
        <v>2236968369.597971</v>
      </c>
      <c r="Y13" s="42">
        <f t="shared" si="3"/>
        <v>1004912944.0061475</v>
      </c>
      <c r="Z13" s="42">
        <f t="shared" si="16"/>
        <v>1232055425.5918236</v>
      </c>
      <c r="AA13" s="42">
        <f t="shared" si="17"/>
        <v>5017403181.411581</v>
      </c>
      <c r="AB13" s="22">
        <v>2037</v>
      </c>
      <c r="AC13" s="41">
        <v>9</v>
      </c>
      <c r="AD13" s="42">
        <f t="shared" si="9"/>
        <v>2236968369.597971</v>
      </c>
      <c r="AE13" s="42">
        <f t="shared" si="4"/>
        <v>1004912944.0061475</v>
      </c>
      <c r="AF13" s="42">
        <f t="shared" si="18"/>
        <v>1232055425.5918236</v>
      </c>
      <c r="AG13" s="43">
        <f t="shared" si="19"/>
        <v>5017403181.411581</v>
      </c>
    </row>
    <row r="14" spans="2:33" x14ac:dyDescent="0.3">
      <c r="B14" s="25"/>
      <c r="D14" s="22">
        <v>2034</v>
      </c>
      <c r="E14" s="41">
        <v>10</v>
      </c>
      <c r="F14" s="42">
        <f t="shared" si="5"/>
        <v>2236968369.597971</v>
      </c>
      <c r="G14" s="42">
        <f t="shared" si="0"/>
        <v>806798431.57098222</v>
      </c>
      <c r="H14" s="42">
        <f t="shared" si="10"/>
        <v>1430169938.0269887</v>
      </c>
      <c r="I14" s="43">
        <f t="shared" si="11"/>
        <v>3587233243.3845921</v>
      </c>
      <c r="J14" s="22">
        <v>2035</v>
      </c>
      <c r="K14" s="41">
        <v>10</v>
      </c>
      <c r="L14" s="42">
        <f t="shared" si="6"/>
        <v>2236968369.597971</v>
      </c>
      <c r="M14" s="42">
        <f t="shared" si="1"/>
        <v>806798431.57098222</v>
      </c>
      <c r="N14" s="42">
        <f t="shared" si="12"/>
        <v>1430169938.0269887</v>
      </c>
      <c r="O14" s="42">
        <f t="shared" si="13"/>
        <v>3587233243.3845921</v>
      </c>
      <c r="P14" s="22">
        <v>2036</v>
      </c>
      <c r="Q14" s="41">
        <v>10</v>
      </c>
      <c r="R14" s="42">
        <f t="shared" si="7"/>
        <v>2236968369.597971</v>
      </c>
      <c r="S14" s="42">
        <f t="shared" si="2"/>
        <v>806798431.57098222</v>
      </c>
      <c r="T14" s="42">
        <f t="shared" si="14"/>
        <v>1430169938.0269887</v>
      </c>
      <c r="U14" s="42">
        <f t="shared" si="15"/>
        <v>3587233243.3845921</v>
      </c>
      <c r="V14" s="22">
        <v>2037</v>
      </c>
      <c r="W14" s="41">
        <v>10</v>
      </c>
      <c r="X14" s="42">
        <f t="shared" si="8"/>
        <v>2236968369.597971</v>
      </c>
      <c r="Y14" s="42">
        <f t="shared" si="3"/>
        <v>806798431.57098222</v>
      </c>
      <c r="Z14" s="42">
        <f t="shared" si="16"/>
        <v>1430169938.0269887</v>
      </c>
      <c r="AA14" s="42">
        <f t="shared" si="17"/>
        <v>3587233243.3845921</v>
      </c>
      <c r="AB14" s="22">
        <v>2038</v>
      </c>
      <c r="AC14" s="41">
        <v>10</v>
      </c>
      <c r="AD14" s="42">
        <f t="shared" si="9"/>
        <v>2236968369.597971</v>
      </c>
      <c r="AE14" s="42">
        <f t="shared" si="4"/>
        <v>806798431.57098222</v>
      </c>
      <c r="AF14" s="42">
        <f t="shared" si="18"/>
        <v>1430169938.0269887</v>
      </c>
      <c r="AG14" s="43">
        <f t="shared" si="19"/>
        <v>3587233243.3845921</v>
      </c>
    </row>
    <row r="15" spans="2:33" x14ac:dyDescent="0.3">
      <c r="B15" s="25"/>
      <c r="D15" s="22">
        <v>2035</v>
      </c>
      <c r="E15" s="41">
        <v>11</v>
      </c>
      <c r="F15" s="42">
        <f t="shared" si="5"/>
        <v>2236968369.597971</v>
      </c>
      <c r="G15" s="42">
        <f t="shared" si="0"/>
        <v>576827105.53624237</v>
      </c>
      <c r="H15" s="42">
        <f t="shared" si="10"/>
        <v>1660141264.0617285</v>
      </c>
      <c r="I15" s="43">
        <f t="shared" si="11"/>
        <v>1927091979.3228636</v>
      </c>
      <c r="J15" s="22">
        <v>2036</v>
      </c>
      <c r="K15" s="41">
        <v>11</v>
      </c>
      <c r="L15" s="42">
        <f t="shared" si="6"/>
        <v>2236968369.597971</v>
      </c>
      <c r="M15" s="42">
        <f t="shared" si="1"/>
        <v>576827105.53624237</v>
      </c>
      <c r="N15" s="42">
        <f t="shared" si="12"/>
        <v>1660141264.0617285</v>
      </c>
      <c r="O15" s="42">
        <f t="shared" si="13"/>
        <v>1927091979.3228636</v>
      </c>
      <c r="P15" s="22">
        <v>2037</v>
      </c>
      <c r="Q15" s="41">
        <v>11</v>
      </c>
      <c r="R15" s="42">
        <f t="shared" si="7"/>
        <v>2236968369.597971</v>
      </c>
      <c r="S15" s="42">
        <f t="shared" si="2"/>
        <v>576827105.53624237</v>
      </c>
      <c r="T15" s="42">
        <f t="shared" si="14"/>
        <v>1660141264.0617285</v>
      </c>
      <c r="U15" s="42">
        <f t="shared" si="15"/>
        <v>1927091979.3228636</v>
      </c>
      <c r="V15" s="22">
        <v>2038</v>
      </c>
      <c r="W15" s="41">
        <v>11</v>
      </c>
      <c r="X15" s="42">
        <f t="shared" si="8"/>
        <v>2236968369.597971</v>
      </c>
      <c r="Y15" s="42">
        <f t="shared" si="3"/>
        <v>576827105.53624237</v>
      </c>
      <c r="Z15" s="42">
        <f t="shared" si="16"/>
        <v>1660141264.0617285</v>
      </c>
      <c r="AA15" s="42">
        <f t="shared" si="17"/>
        <v>1927091979.3228636</v>
      </c>
      <c r="AB15" s="22">
        <v>2039</v>
      </c>
      <c r="AC15" s="41">
        <v>11</v>
      </c>
      <c r="AD15" s="42">
        <f t="shared" si="9"/>
        <v>2236968369.597971</v>
      </c>
      <c r="AE15" s="42">
        <f t="shared" si="4"/>
        <v>576827105.53624237</v>
      </c>
      <c r="AF15" s="42">
        <f t="shared" si="18"/>
        <v>1660141264.0617285</v>
      </c>
      <c r="AG15" s="43">
        <f t="shared" si="19"/>
        <v>1927091979.3228636</v>
      </c>
    </row>
    <row r="16" spans="2:33" x14ac:dyDescent="0.3">
      <c r="B16" s="25"/>
      <c r="D16" s="22">
        <v>2036</v>
      </c>
      <c r="E16" s="41">
        <v>12</v>
      </c>
      <c r="F16" s="42">
        <f t="shared" si="5"/>
        <v>2236968369.597971</v>
      </c>
      <c r="G16" s="42">
        <f t="shared" si="0"/>
        <v>309876390.27511644</v>
      </c>
      <c r="H16" s="42">
        <f t="shared" si="10"/>
        <v>1927091979.3228545</v>
      </c>
      <c r="I16" s="43">
        <f t="shared" si="11"/>
        <v>9.059906005859375E-6</v>
      </c>
      <c r="J16" s="22">
        <v>2037</v>
      </c>
      <c r="K16" s="41">
        <v>12</v>
      </c>
      <c r="L16" s="42">
        <f t="shared" si="6"/>
        <v>2236968369.597971</v>
      </c>
      <c r="M16" s="42">
        <f t="shared" si="1"/>
        <v>309876390.27511644</v>
      </c>
      <c r="N16" s="42">
        <f t="shared" si="12"/>
        <v>1927091979.3228545</v>
      </c>
      <c r="O16" s="42">
        <f t="shared" si="13"/>
        <v>9.059906005859375E-6</v>
      </c>
      <c r="P16" s="22">
        <v>2038</v>
      </c>
      <c r="Q16" s="41">
        <v>12</v>
      </c>
      <c r="R16" s="42">
        <f t="shared" si="7"/>
        <v>2236968369.597971</v>
      </c>
      <c r="S16" s="42">
        <f t="shared" si="2"/>
        <v>309876390.27511644</v>
      </c>
      <c r="T16" s="42">
        <f t="shared" si="14"/>
        <v>1927091979.3228545</v>
      </c>
      <c r="U16" s="42">
        <f t="shared" si="15"/>
        <v>9.059906005859375E-6</v>
      </c>
      <c r="V16" s="22">
        <v>2039</v>
      </c>
      <c r="W16" s="41">
        <v>12</v>
      </c>
      <c r="X16" s="42">
        <f t="shared" si="8"/>
        <v>2236968369.597971</v>
      </c>
      <c r="Y16" s="42">
        <f t="shared" si="3"/>
        <v>309876390.27511644</v>
      </c>
      <c r="Z16" s="42">
        <f t="shared" si="16"/>
        <v>1927091979.3228545</v>
      </c>
      <c r="AA16" s="42">
        <f t="shared" si="17"/>
        <v>9.059906005859375E-6</v>
      </c>
      <c r="AB16" s="22">
        <v>2040</v>
      </c>
      <c r="AC16" s="41">
        <v>12</v>
      </c>
      <c r="AD16" s="42">
        <f t="shared" si="9"/>
        <v>2236968369.597971</v>
      </c>
      <c r="AE16" s="42">
        <f t="shared" si="4"/>
        <v>309876390.27511644</v>
      </c>
      <c r="AF16" s="42">
        <f t="shared" si="18"/>
        <v>1927091979.3228545</v>
      </c>
      <c r="AG16" s="43">
        <f t="shared" si="19"/>
        <v>9.059906005859375E-6</v>
      </c>
    </row>
    <row r="17" spans="2:33" ht="15" thickBot="1" x14ac:dyDescent="0.35">
      <c r="B17" s="27"/>
      <c r="C17" s="47"/>
      <c r="D17" s="47"/>
      <c r="E17" s="47"/>
      <c r="F17" s="47"/>
      <c r="G17" s="47"/>
      <c r="H17" s="47"/>
      <c r="I17" s="64"/>
      <c r="U17" s="65">
        <f>+C3*5</f>
        <v>40000000000</v>
      </c>
      <c r="AG17" s="46"/>
    </row>
    <row r="18" spans="2:33" x14ac:dyDescent="0.3">
      <c r="B18" s="62"/>
      <c r="C18" s="54" t="s">
        <v>87</v>
      </c>
      <c r="D18" s="36">
        <v>2024</v>
      </c>
      <c r="E18" s="36">
        <v>2025</v>
      </c>
      <c r="F18" s="36">
        <v>2026</v>
      </c>
      <c r="G18" s="36">
        <v>2027</v>
      </c>
      <c r="H18" s="36">
        <v>2028</v>
      </c>
      <c r="I18" s="36">
        <v>2029</v>
      </c>
      <c r="J18" s="36">
        <v>2030</v>
      </c>
      <c r="K18" s="36">
        <v>2031</v>
      </c>
      <c r="L18" s="36">
        <v>2032</v>
      </c>
      <c r="M18" s="36">
        <v>2033</v>
      </c>
      <c r="N18" s="36">
        <v>2034</v>
      </c>
      <c r="O18" s="36">
        <v>2035</v>
      </c>
      <c r="P18" s="36">
        <v>2036</v>
      </c>
      <c r="Q18" s="36">
        <v>2037</v>
      </c>
      <c r="R18" s="36">
        <v>2038</v>
      </c>
      <c r="S18" s="36">
        <v>2039</v>
      </c>
      <c r="T18" s="36">
        <v>2040</v>
      </c>
      <c r="U18" s="63" t="s">
        <v>86</v>
      </c>
      <c r="V18" s="68">
        <f>+U19/U17</f>
        <v>2.7962104619974641</v>
      </c>
      <c r="AG18" s="46"/>
    </row>
    <row r="19" spans="2:33" ht="15" thickBot="1" x14ac:dyDescent="0.35">
      <c r="B19" s="27"/>
      <c r="C19" s="51" t="s">
        <v>102</v>
      </c>
      <c r="D19" s="47">
        <f>+F4</f>
        <v>0</v>
      </c>
      <c r="E19" s="48">
        <f>+F5+L4</f>
        <v>0</v>
      </c>
      <c r="F19" s="48">
        <f>+F6+L5+R4</f>
        <v>0</v>
      </c>
      <c r="G19" s="48">
        <f>+F7+L6+R5+X4</f>
        <v>2236968369.597971</v>
      </c>
      <c r="H19" s="48">
        <f>+F8+L7+R6+X5+AD4</f>
        <v>4473936739.1959419</v>
      </c>
      <c r="I19" s="48">
        <f>+F9+L8+R7+X6+AD5</f>
        <v>6710905108.7939129</v>
      </c>
      <c r="J19" s="48">
        <f>+F10+L9+R8+X7+AD6</f>
        <v>8947873478.3918839</v>
      </c>
      <c r="K19" s="48">
        <f>+F11+L10+R9+X8+AD7</f>
        <v>11184841847.989855</v>
      </c>
      <c r="L19" s="48">
        <f>+F12+L11+R10+X9+AD8</f>
        <v>11184841847.989855</v>
      </c>
      <c r="M19" s="48">
        <f>+F13+L12+R11+X10+AD9</f>
        <v>11184841847.989855</v>
      </c>
      <c r="N19" s="48">
        <f>+F14+L13+R12+X11+AD10</f>
        <v>11184841847.989855</v>
      </c>
      <c r="O19" s="48">
        <f>+F15+L14+R13+X12+AD11</f>
        <v>11184841847.989855</v>
      </c>
      <c r="P19" s="48">
        <f>+F16+L15+R14+X13+AD12</f>
        <v>11184841847.989855</v>
      </c>
      <c r="Q19" s="48">
        <f>+L16+R15+X14+AD13</f>
        <v>8947873478.3918839</v>
      </c>
      <c r="R19" s="48">
        <f>+R16+X15+AD14</f>
        <v>6710905108.7939129</v>
      </c>
      <c r="S19" s="48">
        <f>+X16+AD15</f>
        <v>4473936739.1959419</v>
      </c>
      <c r="T19" s="48">
        <f>+AD16</f>
        <v>2236968369.597971</v>
      </c>
      <c r="U19" s="60">
        <f>SUM(D19:T19)</f>
        <v>111848418479.89856</v>
      </c>
      <c r="V19" s="66">
        <f>+U17/U19</f>
        <v>0.35762687165030244</v>
      </c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9"/>
    </row>
    <row r="20" spans="2:33" ht="15" thickBot="1" x14ac:dyDescent="0.35"/>
    <row r="21" spans="2:33" s="23" customFormat="1" ht="15" thickBot="1" x14ac:dyDescent="0.35">
      <c r="B21" s="95" t="s">
        <v>89</v>
      </c>
      <c r="C21" s="97"/>
      <c r="D21" s="54"/>
      <c r="E21" s="95">
        <v>2024</v>
      </c>
      <c r="F21" s="96"/>
      <c r="G21" s="96"/>
      <c r="H21" s="96"/>
      <c r="I21" s="97"/>
      <c r="J21" s="54"/>
      <c r="K21" s="95">
        <v>2025</v>
      </c>
      <c r="L21" s="96"/>
      <c r="M21" s="96"/>
      <c r="N21" s="96"/>
      <c r="O21" s="97"/>
      <c r="P21" s="54"/>
      <c r="Q21" s="95">
        <v>2026</v>
      </c>
      <c r="R21" s="96"/>
      <c r="S21" s="96"/>
      <c r="T21" s="96"/>
      <c r="U21" s="97"/>
      <c r="V21" s="54"/>
      <c r="W21" s="95">
        <v>2027</v>
      </c>
      <c r="X21" s="96"/>
      <c r="Y21" s="96"/>
      <c r="Z21" s="96"/>
      <c r="AA21" s="97"/>
      <c r="AB21" s="54"/>
      <c r="AC21" s="95">
        <v>2028</v>
      </c>
      <c r="AD21" s="96"/>
      <c r="AE21" s="96"/>
      <c r="AF21" s="96"/>
      <c r="AG21" s="97"/>
    </row>
    <row r="22" spans="2:33" x14ac:dyDescent="0.3">
      <c r="B22" s="25" t="s">
        <v>1</v>
      </c>
      <c r="C22" s="37">
        <v>1500000000</v>
      </c>
      <c r="D22" s="37"/>
      <c r="E22" s="38" t="s">
        <v>0</v>
      </c>
      <c r="F22" s="38" t="s">
        <v>23</v>
      </c>
      <c r="G22" s="38" t="s">
        <v>24</v>
      </c>
      <c r="H22" s="38" t="s">
        <v>25</v>
      </c>
      <c r="I22" s="39" t="s">
        <v>26</v>
      </c>
      <c r="K22" s="38" t="s">
        <v>0</v>
      </c>
      <c r="L22" s="38" t="s">
        <v>23</v>
      </c>
      <c r="M22" s="38" t="s">
        <v>24</v>
      </c>
      <c r="N22" s="38" t="s">
        <v>25</v>
      </c>
      <c r="O22" s="38" t="s">
        <v>26</v>
      </c>
      <c r="Q22" s="38" t="s">
        <v>0</v>
      </c>
      <c r="R22" s="38" t="s">
        <v>23</v>
      </c>
      <c r="S22" s="38" t="s">
        <v>24</v>
      </c>
      <c r="T22" s="38" t="s">
        <v>25</v>
      </c>
      <c r="U22" s="38" t="s">
        <v>26</v>
      </c>
      <c r="W22" s="38" t="s">
        <v>0</v>
      </c>
      <c r="X22" s="38" t="s">
        <v>23</v>
      </c>
      <c r="Y22" s="38" t="s">
        <v>24</v>
      </c>
      <c r="Z22" s="38" t="s">
        <v>25</v>
      </c>
      <c r="AA22" s="38" t="s">
        <v>26</v>
      </c>
      <c r="AC22" s="38" t="s">
        <v>0</v>
      </c>
      <c r="AD22" s="38" t="s">
        <v>23</v>
      </c>
      <c r="AE22" s="38" t="s">
        <v>24</v>
      </c>
      <c r="AF22" s="38" t="s">
        <v>25</v>
      </c>
      <c r="AG22" s="39" t="s">
        <v>26</v>
      </c>
    </row>
    <row r="23" spans="2:33" x14ac:dyDescent="0.3">
      <c r="B23" s="25" t="s">
        <v>22</v>
      </c>
      <c r="C23" s="40">
        <v>0.1608</v>
      </c>
      <c r="D23" s="22">
        <v>2024</v>
      </c>
      <c r="E23" s="41">
        <v>0</v>
      </c>
      <c r="F23" s="41"/>
      <c r="G23" s="41"/>
      <c r="H23" s="41"/>
      <c r="I23" s="43">
        <f>+C22</f>
        <v>1500000000</v>
      </c>
      <c r="J23" s="22">
        <v>2025</v>
      </c>
      <c r="K23" s="41">
        <v>0</v>
      </c>
      <c r="L23" s="41"/>
      <c r="M23" s="41"/>
      <c r="N23" s="41"/>
      <c r="O23" s="42">
        <f>+C22</f>
        <v>1500000000</v>
      </c>
      <c r="P23" s="22">
        <v>2026</v>
      </c>
      <c r="Q23" s="41">
        <v>0</v>
      </c>
      <c r="R23" s="41"/>
      <c r="S23" s="41"/>
      <c r="T23" s="41"/>
      <c r="U23" s="42">
        <f>+O23</f>
        <v>1500000000</v>
      </c>
      <c r="V23" s="22">
        <v>2027</v>
      </c>
      <c r="W23" s="41">
        <v>0</v>
      </c>
      <c r="X23" s="41"/>
      <c r="Y23" s="41"/>
      <c r="Z23" s="41"/>
      <c r="AA23" s="42">
        <f>+U23</f>
        <v>1500000000</v>
      </c>
      <c r="AB23" s="22">
        <v>2028</v>
      </c>
      <c r="AC23" s="41">
        <v>0</v>
      </c>
      <c r="AD23" s="41"/>
      <c r="AE23" s="41"/>
      <c r="AF23" s="41"/>
      <c r="AG23" s="43">
        <f>+AA23</f>
        <v>1500000000</v>
      </c>
    </row>
    <row r="24" spans="2:33" x14ac:dyDescent="0.3">
      <c r="B24" s="25" t="s">
        <v>4</v>
      </c>
      <c r="C24" s="22">
        <v>2</v>
      </c>
      <c r="D24" s="22">
        <v>2025</v>
      </c>
      <c r="E24" s="41">
        <v>1</v>
      </c>
      <c r="F24" s="42">
        <v>0</v>
      </c>
      <c r="G24" s="42">
        <f>I23*$C$23</f>
        <v>241200000</v>
      </c>
      <c r="H24" s="42">
        <f>F24-G24</f>
        <v>-241200000</v>
      </c>
      <c r="I24" s="43">
        <f>I23-H24</f>
        <v>1741200000</v>
      </c>
      <c r="J24" s="22">
        <v>2026</v>
      </c>
      <c r="K24" s="41">
        <v>1</v>
      </c>
      <c r="L24" s="42">
        <v>0</v>
      </c>
      <c r="M24" s="42">
        <f>O23*$C$23</f>
        <v>241200000</v>
      </c>
      <c r="N24" s="42">
        <f>L24-M24</f>
        <v>-241200000</v>
      </c>
      <c r="O24" s="42">
        <f>O23-N24</f>
        <v>1741200000</v>
      </c>
      <c r="P24" s="22">
        <v>2027</v>
      </c>
      <c r="Q24" s="41">
        <v>1</v>
      </c>
      <c r="R24" s="42">
        <v>0</v>
      </c>
      <c r="S24" s="42">
        <f>U23*$C$23</f>
        <v>241200000</v>
      </c>
      <c r="T24" s="42">
        <f>R24-S24</f>
        <v>-241200000</v>
      </c>
      <c r="U24" s="42">
        <f>U23-T24</f>
        <v>1741200000</v>
      </c>
      <c r="V24" s="22">
        <v>2028</v>
      </c>
      <c r="W24" s="41">
        <v>1</v>
      </c>
      <c r="X24" s="42">
        <v>0</v>
      </c>
      <c r="Y24" s="42">
        <f>AA23*$C$23</f>
        <v>241200000</v>
      </c>
      <c r="Z24" s="42">
        <f>X24-Y24</f>
        <v>-241200000</v>
      </c>
      <c r="AA24" s="42">
        <f>AA23-Z24</f>
        <v>1741200000</v>
      </c>
      <c r="AB24" s="22">
        <v>2029</v>
      </c>
      <c r="AC24" s="41">
        <v>1</v>
      </c>
      <c r="AD24" s="42">
        <v>0</v>
      </c>
      <c r="AE24" s="42">
        <f>AG23*$C$23</f>
        <v>241200000</v>
      </c>
      <c r="AF24" s="42">
        <f>AD24-AE24</f>
        <v>-241200000</v>
      </c>
      <c r="AG24" s="43">
        <f>AG23-AF24</f>
        <v>1741200000</v>
      </c>
    </row>
    <row r="25" spans="2:33" x14ac:dyDescent="0.3">
      <c r="B25" s="44" t="s">
        <v>85</v>
      </c>
      <c r="C25" s="45">
        <f>FV(C23,C24,,-C22)</f>
        <v>2021184960.0000002</v>
      </c>
      <c r="D25" s="22">
        <v>2026</v>
      </c>
      <c r="E25" s="41">
        <v>2</v>
      </c>
      <c r="F25" s="42">
        <v>0</v>
      </c>
      <c r="G25" s="42">
        <f t="shared" ref="G25:G26" si="20">I24*$C$23</f>
        <v>279984960</v>
      </c>
      <c r="H25" s="42">
        <f>F25-G25</f>
        <v>-279984960</v>
      </c>
      <c r="I25" s="43">
        <f>I24-H25</f>
        <v>2021184960</v>
      </c>
      <c r="J25" s="22">
        <v>2027</v>
      </c>
      <c r="K25" s="41">
        <v>2</v>
      </c>
      <c r="L25" s="42">
        <v>0</v>
      </c>
      <c r="M25" s="42">
        <f t="shared" ref="M25:M35" si="21">O24*$C$23</f>
        <v>279984960</v>
      </c>
      <c r="N25" s="42">
        <f>L25-M25</f>
        <v>-279984960</v>
      </c>
      <c r="O25" s="42">
        <f>O24-N25</f>
        <v>2021184960</v>
      </c>
      <c r="P25" s="22">
        <v>2028</v>
      </c>
      <c r="Q25" s="41">
        <v>2</v>
      </c>
      <c r="R25" s="42">
        <v>0</v>
      </c>
      <c r="S25" s="42">
        <f t="shared" ref="S25:S35" si="22">U24*$C$23</f>
        <v>279984960</v>
      </c>
      <c r="T25" s="42">
        <f>R25-S25</f>
        <v>-279984960</v>
      </c>
      <c r="U25" s="42">
        <f>U24-T25</f>
        <v>2021184960</v>
      </c>
      <c r="V25" s="22">
        <v>2029</v>
      </c>
      <c r="W25" s="41">
        <v>2</v>
      </c>
      <c r="X25" s="42">
        <v>0</v>
      </c>
      <c r="Y25" s="42">
        <f t="shared" ref="Y25:Y35" si="23">AA24*$C$23</f>
        <v>279984960</v>
      </c>
      <c r="Z25" s="42">
        <f>X25-Y25</f>
        <v>-279984960</v>
      </c>
      <c r="AA25" s="42">
        <f>AA24-Z25</f>
        <v>2021184960</v>
      </c>
      <c r="AB25" s="22">
        <v>2030</v>
      </c>
      <c r="AC25" s="41">
        <v>2</v>
      </c>
      <c r="AD25" s="42">
        <v>0</v>
      </c>
      <c r="AE25" s="42">
        <f t="shared" ref="AE25:AE35" si="24">AG24*$C$23</f>
        <v>279984960</v>
      </c>
      <c r="AF25" s="42">
        <f>AD25-AE25</f>
        <v>-279984960</v>
      </c>
      <c r="AG25" s="43">
        <f>AG24-AF25</f>
        <v>2021184960</v>
      </c>
    </row>
    <row r="26" spans="2:33" x14ac:dyDescent="0.3">
      <c r="B26" s="25" t="s">
        <v>4</v>
      </c>
      <c r="C26" s="22">
        <v>10</v>
      </c>
      <c r="D26" s="22">
        <v>2027</v>
      </c>
      <c r="E26" s="41">
        <v>3</v>
      </c>
      <c r="F26" s="42">
        <f>$C$27</f>
        <v>419431569.29961962</v>
      </c>
      <c r="G26" s="42">
        <f t="shared" si="20"/>
        <v>325006541.56800002</v>
      </c>
      <c r="H26" s="42">
        <f>F26-G26</f>
        <v>94425027.731619596</v>
      </c>
      <c r="I26" s="43">
        <f>I25-H26</f>
        <v>1926759932.2683804</v>
      </c>
      <c r="J26" s="22">
        <v>2028</v>
      </c>
      <c r="K26" s="41">
        <v>3</v>
      </c>
      <c r="L26" s="42">
        <f>$C$27</f>
        <v>419431569.29961962</v>
      </c>
      <c r="M26" s="42">
        <f t="shared" si="21"/>
        <v>325006541.56800002</v>
      </c>
      <c r="N26" s="42">
        <f>L26-M26</f>
        <v>94425027.731619596</v>
      </c>
      <c r="O26" s="42">
        <f>O25-N26</f>
        <v>1926759932.2683804</v>
      </c>
      <c r="P26" s="22">
        <v>2029</v>
      </c>
      <c r="Q26" s="41">
        <v>3</v>
      </c>
      <c r="R26" s="42">
        <f>$C$27</f>
        <v>419431569.29961962</v>
      </c>
      <c r="S26" s="42">
        <f t="shared" si="22"/>
        <v>325006541.56800002</v>
      </c>
      <c r="T26" s="42">
        <f>R26-S26</f>
        <v>94425027.731619596</v>
      </c>
      <c r="U26" s="42">
        <f>U25-T26</f>
        <v>1926759932.2683804</v>
      </c>
      <c r="V26" s="22">
        <v>2030</v>
      </c>
      <c r="W26" s="41">
        <v>3</v>
      </c>
      <c r="X26" s="42">
        <f>$C$27</f>
        <v>419431569.29961962</v>
      </c>
      <c r="Y26" s="42">
        <f t="shared" si="23"/>
        <v>325006541.56800002</v>
      </c>
      <c r="Z26" s="42">
        <f>X26-Y26</f>
        <v>94425027.731619596</v>
      </c>
      <c r="AA26" s="42">
        <f>AA25-Z26</f>
        <v>1926759932.2683804</v>
      </c>
      <c r="AB26" s="22">
        <v>2031</v>
      </c>
      <c r="AC26" s="41">
        <v>3</v>
      </c>
      <c r="AD26" s="42">
        <f>$C$27</f>
        <v>419431569.29961962</v>
      </c>
      <c r="AE26" s="42">
        <f t="shared" si="24"/>
        <v>325006541.56800002</v>
      </c>
      <c r="AF26" s="42">
        <f>AD26-AE26</f>
        <v>94425027.731619596</v>
      </c>
      <c r="AG26" s="43">
        <f>AG25-AF26</f>
        <v>1926759932.2683804</v>
      </c>
    </row>
    <row r="27" spans="2:33" x14ac:dyDescent="0.3">
      <c r="B27" s="44" t="s">
        <v>5</v>
      </c>
      <c r="C27" s="45">
        <f>PMT(C23,C26,-C25)</f>
        <v>419431569.29961962</v>
      </c>
      <c r="D27" s="22">
        <v>2028</v>
      </c>
      <c r="E27" s="41">
        <v>4</v>
      </c>
      <c r="F27" s="42">
        <f t="shared" ref="F27:F35" si="25">$C$27</f>
        <v>419431569.29961962</v>
      </c>
      <c r="G27" s="42">
        <f t="shared" ref="G27:G35" si="26">I26*$C$23</f>
        <v>309822997.10875559</v>
      </c>
      <c r="H27" s="42">
        <f t="shared" ref="H27:H35" si="27">F27-G27</f>
        <v>109608572.19086403</v>
      </c>
      <c r="I27" s="43">
        <f t="shared" ref="I27:I35" si="28">I26-H27</f>
        <v>1817151360.0775163</v>
      </c>
      <c r="J27" s="22">
        <v>2029</v>
      </c>
      <c r="K27" s="41">
        <v>4</v>
      </c>
      <c r="L27" s="42">
        <f t="shared" ref="L27:L35" si="29">$C$27</f>
        <v>419431569.29961962</v>
      </c>
      <c r="M27" s="42">
        <f t="shared" si="21"/>
        <v>309822997.10875559</v>
      </c>
      <c r="N27" s="42">
        <f t="shared" ref="N27:N35" si="30">L27-M27</f>
        <v>109608572.19086403</v>
      </c>
      <c r="O27" s="42">
        <f t="shared" ref="O27:O35" si="31">O26-N27</f>
        <v>1817151360.0775163</v>
      </c>
      <c r="P27" s="22">
        <v>2030</v>
      </c>
      <c r="Q27" s="41">
        <v>4</v>
      </c>
      <c r="R27" s="42">
        <f t="shared" ref="R27:R35" si="32">$C$27</f>
        <v>419431569.29961962</v>
      </c>
      <c r="S27" s="42">
        <f t="shared" si="22"/>
        <v>309822997.10875559</v>
      </c>
      <c r="T27" s="42">
        <f t="shared" ref="T27:T35" si="33">R27-S27</f>
        <v>109608572.19086403</v>
      </c>
      <c r="U27" s="42">
        <f t="shared" ref="U27:U35" si="34">U26-T27</f>
        <v>1817151360.0775163</v>
      </c>
      <c r="V27" s="22">
        <v>2031</v>
      </c>
      <c r="W27" s="41">
        <v>4</v>
      </c>
      <c r="X27" s="42">
        <f t="shared" ref="X27:X35" si="35">$C$27</f>
        <v>419431569.29961962</v>
      </c>
      <c r="Y27" s="42">
        <f t="shared" si="23"/>
        <v>309822997.10875559</v>
      </c>
      <c r="Z27" s="42">
        <f t="shared" ref="Z27:Z35" si="36">X27-Y27</f>
        <v>109608572.19086403</v>
      </c>
      <c r="AA27" s="42">
        <f t="shared" ref="AA27:AA35" si="37">AA26-Z27</f>
        <v>1817151360.0775163</v>
      </c>
      <c r="AB27" s="22">
        <v>2032</v>
      </c>
      <c r="AC27" s="41">
        <v>4</v>
      </c>
      <c r="AD27" s="42">
        <f t="shared" ref="AD27:AD35" si="38">$C$27</f>
        <v>419431569.29961962</v>
      </c>
      <c r="AE27" s="42">
        <f t="shared" si="24"/>
        <v>309822997.10875559</v>
      </c>
      <c r="AF27" s="42">
        <f t="shared" ref="AF27:AF35" si="39">AD27-AE27</f>
        <v>109608572.19086403</v>
      </c>
      <c r="AG27" s="43">
        <f t="shared" ref="AG27:AG35" si="40">AG26-AF27</f>
        <v>1817151360.0775163</v>
      </c>
    </row>
    <row r="28" spans="2:33" x14ac:dyDescent="0.3">
      <c r="B28" s="25"/>
      <c r="D28" s="22">
        <v>2029</v>
      </c>
      <c r="E28" s="41">
        <v>5</v>
      </c>
      <c r="F28" s="42">
        <f t="shared" si="25"/>
        <v>419431569.29961962</v>
      </c>
      <c r="G28" s="42">
        <f t="shared" si="26"/>
        <v>292197938.70046461</v>
      </c>
      <c r="H28" s="42">
        <f t="shared" si="27"/>
        <v>127233630.59915501</v>
      </c>
      <c r="I28" s="43">
        <f t="shared" si="28"/>
        <v>1689917729.4783614</v>
      </c>
      <c r="J28" s="22">
        <v>2030</v>
      </c>
      <c r="K28" s="41">
        <v>5</v>
      </c>
      <c r="L28" s="42">
        <f t="shared" si="29"/>
        <v>419431569.29961962</v>
      </c>
      <c r="M28" s="42">
        <f t="shared" si="21"/>
        <v>292197938.70046461</v>
      </c>
      <c r="N28" s="42">
        <f t="shared" si="30"/>
        <v>127233630.59915501</v>
      </c>
      <c r="O28" s="42">
        <f t="shared" si="31"/>
        <v>1689917729.4783614</v>
      </c>
      <c r="P28" s="22">
        <v>2031</v>
      </c>
      <c r="Q28" s="41">
        <v>5</v>
      </c>
      <c r="R28" s="42">
        <f t="shared" si="32"/>
        <v>419431569.29961962</v>
      </c>
      <c r="S28" s="42">
        <f t="shared" si="22"/>
        <v>292197938.70046461</v>
      </c>
      <c r="T28" s="42">
        <f t="shared" si="33"/>
        <v>127233630.59915501</v>
      </c>
      <c r="U28" s="42">
        <f t="shared" si="34"/>
        <v>1689917729.4783614</v>
      </c>
      <c r="V28" s="22">
        <v>2032</v>
      </c>
      <c r="W28" s="41">
        <v>5</v>
      </c>
      <c r="X28" s="42">
        <f t="shared" si="35"/>
        <v>419431569.29961962</v>
      </c>
      <c r="Y28" s="42">
        <f t="shared" si="23"/>
        <v>292197938.70046461</v>
      </c>
      <c r="Z28" s="42">
        <f t="shared" si="36"/>
        <v>127233630.59915501</v>
      </c>
      <c r="AA28" s="42">
        <f t="shared" si="37"/>
        <v>1689917729.4783614</v>
      </c>
      <c r="AB28" s="22">
        <v>2033</v>
      </c>
      <c r="AC28" s="41">
        <v>5</v>
      </c>
      <c r="AD28" s="42">
        <f t="shared" si="38"/>
        <v>419431569.29961962</v>
      </c>
      <c r="AE28" s="42">
        <f t="shared" si="24"/>
        <v>292197938.70046461</v>
      </c>
      <c r="AF28" s="42">
        <f t="shared" si="39"/>
        <v>127233630.59915501</v>
      </c>
      <c r="AG28" s="43">
        <f t="shared" si="40"/>
        <v>1689917729.4783614</v>
      </c>
    </row>
    <row r="29" spans="2:33" x14ac:dyDescent="0.3">
      <c r="B29" s="25"/>
      <c r="D29" s="22">
        <v>2030</v>
      </c>
      <c r="E29" s="41">
        <v>6</v>
      </c>
      <c r="F29" s="42">
        <f t="shared" si="25"/>
        <v>419431569.29961962</v>
      </c>
      <c r="G29" s="42">
        <f t="shared" si="26"/>
        <v>271738770.9001205</v>
      </c>
      <c r="H29" s="42">
        <f t="shared" si="27"/>
        <v>147692798.39949912</v>
      </c>
      <c r="I29" s="43">
        <f t="shared" si="28"/>
        <v>1542224931.0788622</v>
      </c>
      <c r="J29" s="22">
        <v>2031</v>
      </c>
      <c r="K29" s="41">
        <v>6</v>
      </c>
      <c r="L29" s="42">
        <f t="shared" si="29"/>
        <v>419431569.29961962</v>
      </c>
      <c r="M29" s="42">
        <f t="shared" si="21"/>
        <v>271738770.9001205</v>
      </c>
      <c r="N29" s="42">
        <f t="shared" si="30"/>
        <v>147692798.39949912</v>
      </c>
      <c r="O29" s="42">
        <f t="shared" si="31"/>
        <v>1542224931.0788622</v>
      </c>
      <c r="P29" s="22">
        <v>2032</v>
      </c>
      <c r="Q29" s="41">
        <v>6</v>
      </c>
      <c r="R29" s="42">
        <f t="shared" si="32"/>
        <v>419431569.29961962</v>
      </c>
      <c r="S29" s="42">
        <f t="shared" si="22"/>
        <v>271738770.9001205</v>
      </c>
      <c r="T29" s="42">
        <f t="shared" si="33"/>
        <v>147692798.39949912</v>
      </c>
      <c r="U29" s="42">
        <f t="shared" si="34"/>
        <v>1542224931.0788622</v>
      </c>
      <c r="V29" s="22">
        <v>2033</v>
      </c>
      <c r="W29" s="41">
        <v>6</v>
      </c>
      <c r="X29" s="42">
        <f t="shared" si="35"/>
        <v>419431569.29961962</v>
      </c>
      <c r="Y29" s="42">
        <f t="shared" si="23"/>
        <v>271738770.9001205</v>
      </c>
      <c r="Z29" s="42">
        <f t="shared" si="36"/>
        <v>147692798.39949912</v>
      </c>
      <c r="AA29" s="42">
        <f t="shared" si="37"/>
        <v>1542224931.0788622</v>
      </c>
      <c r="AB29" s="22">
        <v>2034</v>
      </c>
      <c r="AC29" s="41">
        <v>6</v>
      </c>
      <c r="AD29" s="42">
        <f t="shared" si="38"/>
        <v>419431569.29961962</v>
      </c>
      <c r="AE29" s="42">
        <f t="shared" si="24"/>
        <v>271738770.9001205</v>
      </c>
      <c r="AF29" s="42">
        <f t="shared" si="39"/>
        <v>147692798.39949912</v>
      </c>
      <c r="AG29" s="43">
        <f t="shared" si="40"/>
        <v>1542224931.0788622</v>
      </c>
    </row>
    <row r="30" spans="2:33" x14ac:dyDescent="0.3">
      <c r="B30" s="25"/>
      <c r="D30" s="22">
        <v>2031</v>
      </c>
      <c r="E30" s="41">
        <v>7</v>
      </c>
      <c r="F30" s="42">
        <f t="shared" si="25"/>
        <v>419431569.29961962</v>
      </c>
      <c r="G30" s="42">
        <f t="shared" si="26"/>
        <v>247989768.91748103</v>
      </c>
      <c r="H30" s="42">
        <f t="shared" si="27"/>
        <v>171441800.38213858</v>
      </c>
      <c r="I30" s="43">
        <f t="shared" si="28"/>
        <v>1370783130.6967237</v>
      </c>
      <c r="J30" s="22">
        <v>2032</v>
      </c>
      <c r="K30" s="41">
        <v>7</v>
      </c>
      <c r="L30" s="42">
        <f t="shared" si="29"/>
        <v>419431569.29961962</v>
      </c>
      <c r="M30" s="42">
        <f t="shared" si="21"/>
        <v>247989768.91748103</v>
      </c>
      <c r="N30" s="42">
        <f t="shared" si="30"/>
        <v>171441800.38213858</v>
      </c>
      <c r="O30" s="42">
        <f t="shared" si="31"/>
        <v>1370783130.6967237</v>
      </c>
      <c r="P30" s="22">
        <v>2033</v>
      </c>
      <c r="Q30" s="41">
        <v>7</v>
      </c>
      <c r="R30" s="42">
        <f t="shared" si="32"/>
        <v>419431569.29961962</v>
      </c>
      <c r="S30" s="42">
        <f t="shared" si="22"/>
        <v>247989768.91748103</v>
      </c>
      <c r="T30" s="42">
        <f t="shared" si="33"/>
        <v>171441800.38213858</v>
      </c>
      <c r="U30" s="42">
        <f t="shared" si="34"/>
        <v>1370783130.6967237</v>
      </c>
      <c r="V30" s="22">
        <v>2034</v>
      </c>
      <c r="W30" s="41">
        <v>7</v>
      </c>
      <c r="X30" s="42">
        <f t="shared" si="35"/>
        <v>419431569.29961962</v>
      </c>
      <c r="Y30" s="42">
        <f t="shared" si="23"/>
        <v>247989768.91748103</v>
      </c>
      <c r="Z30" s="42">
        <f t="shared" si="36"/>
        <v>171441800.38213858</v>
      </c>
      <c r="AA30" s="42">
        <f t="shared" si="37"/>
        <v>1370783130.6967237</v>
      </c>
      <c r="AB30" s="22">
        <v>2035</v>
      </c>
      <c r="AC30" s="41">
        <v>7</v>
      </c>
      <c r="AD30" s="42">
        <f t="shared" si="38"/>
        <v>419431569.29961962</v>
      </c>
      <c r="AE30" s="42">
        <f t="shared" si="24"/>
        <v>247989768.91748103</v>
      </c>
      <c r="AF30" s="42">
        <f t="shared" si="39"/>
        <v>171441800.38213858</v>
      </c>
      <c r="AG30" s="43">
        <f t="shared" si="40"/>
        <v>1370783130.6967237</v>
      </c>
    </row>
    <row r="31" spans="2:33" x14ac:dyDescent="0.3">
      <c r="B31" s="25"/>
      <c r="D31" s="22">
        <v>2032</v>
      </c>
      <c r="E31" s="41">
        <v>8</v>
      </c>
      <c r="F31" s="42">
        <f t="shared" si="25"/>
        <v>419431569.29961962</v>
      </c>
      <c r="G31" s="42">
        <f t="shared" si="26"/>
        <v>220421927.41603318</v>
      </c>
      <c r="H31" s="42">
        <f t="shared" si="27"/>
        <v>199009641.88358644</v>
      </c>
      <c r="I31" s="43">
        <f t="shared" si="28"/>
        <v>1171773488.8131373</v>
      </c>
      <c r="J31" s="22">
        <v>2033</v>
      </c>
      <c r="K31" s="41">
        <v>8</v>
      </c>
      <c r="L31" s="42">
        <f t="shared" si="29"/>
        <v>419431569.29961962</v>
      </c>
      <c r="M31" s="42">
        <f t="shared" si="21"/>
        <v>220421927.41603318</v>
      </c>
      <c r="N31" s="42">
        <f t="shared" si="30"/>
        <v>199009641.88358644</v>
      </c>
      <c r="O31" s="42">
        <f t="shared" si="31"/>
        <v>1171773488.8131373</v>
      </c>
      <c r="P31" s="22">
        <v>2034</v>
      </c>
      <c r="Q31" s="41">
        <v>8</v>
      </c>
      <c r="R31" s="42">
        <f t="shared" si="32"/>
        <v>419431569.29961962</v>
      </c>
      <c r="S31" s="42">
        <f t="shared" si="22"/>
        <v>220421927.41603318</v>
      </c>
      <c r="T31" s="42">
        <f t="shared" si="33"/>
        <v>199009641.88358644</v>
      </c>
      <c r="U31" s="42">
        <f t="shared" si="34"/>
        <v>1171773488.8131373</v>
      </c>
      <c r="V31" s="22">
        <v>2035</v>
      </c>
      <c r="W31" s="41">
        <v>8</v>
      </c>
      <c r="X31" s="42">
        <f t="shared" si="35"/>
        <v>419431569.29961962</v>
      </c>
      <c r="Y31" s="42">
        <f t="shared" si="23"/>
        <v>220421927.41603318</v>
      </c>
      <c r="Z31" s="42">
        <f t="shared" si="36"/>
        <v>199009641.88358644</v>
      </c>
      <c r="AA31" s="42">
        <f t="shared" si="37"/>
        <v>1171773488.8131373</v>
      </c>
      <c r="AB31" s="22">
        <v>2036</v>
      </c>
      <c r="AC31" s="41">
        <v>8</v>
      </c>
      <c r="AD31" s="42">
        <f t="shared" si="38"/>
        <v>419431569.29961962</v>
      </c>
      <c r="AE31" s="42">
        <f t="shared" si="24"/>
        <v>220421927.41603318</v>
      </c>
      <c r="AF31" s="42">
        <f t="shared" si="39"/>
        <v>199009641.88358644</v>
      </c>
      <c r="AG31" s="43">
        <f t="shared" si="40"/>
        <v>1171773488.8131373</v>
      </c>
    </row>
    <row r="32" spans="2:33" x14ac:dyDescent="0.3">
      <c r="B32" s="25"/>
      <c r="D32" s="22">
        <v>2033</v>
      </c>
      <c r="E32" s="41">
        <v>9</v>
      </c>
      <c r="F32" s="42">
        <f t="shared" si="25"/>
        <v>419431569.29961962</v>
      </c>
      <c r="G32" s="42">
        <f t="shared" si="26"/>
        <v>188421177.00115249</v>
      </c>
      <c r="H32" s="42">
        <f t="shared" si="27"/>
        <v>231010392.29846713</v>
      </c>
      <c r="I32" s="43">
        <f t="shared" si="28"/>
        <v>940763096.51467013</v>
      </c>
      <c r="J32" s="22">
        <v>2034</v>
      </c>
      <c r="K32" s="41">
        <v>9</v>
      </c>
      <c r="L32" s="42">
        <f t="shared" si="29"/>
        <v>419431569.29961962</v>
      </c>
      <c r="M32" s="42">
        <f t="shared" si="21"/>
        <v>188421177.00115249</v>
      </c>
      <c r="N32" s="42">
        <f t="shared" si="30"/>
        <v>231010392.29846713</v>
      </c>
      <c r="O32" s="42">
        <f t="shared" si="31"/>
        <v>940763096.51467013</v>
      </c>
      <c r="P32" s="22">
        <v>2035</v>
      </c>
      <c r="Q32" s="41">
        <v>9</v>
      </c>
      <c r="R32" s="42">
        <f t="shared" si="32"/>
        <v>419431569.29961962</v>
      </c>
      <c r="S32" s="42">
        <f t="shared" si="22"/>
        <v>188421177.00115249</v>
      </c>
      <c r="T32" s="42">
        <f t="shared" si="33"/>
        <v>231010392.29846713</v>
      </c>
      <c r="U32" s="42">
        <f t="shared" si="34"/>
        <v>940763096.51467013</v>
      </c>
      <c r="V32" s="22">
        <v>2036</v>
      </c>
      <c r="W32" s="41">
        <v>9</v>
      </c>
      <c r="X32" s="42">
        <f t="shared" si="35"/>
        <v>419431569.29961962</v>
      </c>
      <c r="Y32" s="42">
        <f t="shared" si="23"/>
        <v>188421177.00115249</v>
      </c>
      <c r="Z32" s="42">
        <f t="shared" si="36"/>
        <v>231010392.29846713</v>
      </c>
      <c r="AA32" s="42">
        <f t="shared" si="37"/>
        <v>940763096.51467013</v>
      </c>
      <c r="AB32" s="22">
        <v>2037</v>
      </c>
      <c r="AC32" s="41">
        <v>9</v>
      </c>
      <c r="AD32" s="42">
        <f t="shared" si="38"/>
        <v>419431569.29961962</v>
      </c>
      <c r="AE32" s="42">
        <f t="shared" si="24"/>
        <v>188421177.00115249</v>
      </c>
      <c r="AF32" s="42">
        <f t="shared" si="39"/>
        <v>231010392.29846713</v>
      </c>
      <c r="AG32" s="43">
        <f t="shared" si="40"/>
        <v>940763096.51467013</v>
      </c>
    </row>
    <row r="33" spans="2:33" x14ac:dyDescent="0.3">
      <c r="B33" s="25"/>
      <c r="D33" s="22">
        <v>2034</v>
      </c>
      <c r="E33" s="41">
        <v>10</v>
      </c>
      <c r="F33" s="42">
        <f t="shared" si="25"/>
        <v>419431569.29961962</v>
      </c>
      <c r="G33" s="42">
        <f t="shared" si="26"/>
        <v>151274705.91955894</v>
      </c>
      <c r="H33" s="42">
        <f t="shared" si="27"/>
        <v>268156863.38006067</v>
      </c>
      <c r="I33" s="43">
        <f t="shared" si="28"/>
        <v>672606233.13460946</v>
      </c>
      <c r="J33" s="22">
        <v>2035</v>
      </c>
      <c r="K33" s="41">
        <v>10</v>
      </c>
      <c r="L33" s="42">
        <f t="shared" si="29"/>
        <v>419431569.29961962</v>
      </c>
      <c r="M33" s="42">
        <f t="shared" si="21"/>
        <v>151274705.91955894</v>
      </c>
      <c r="N33" s="42">
        <f t="shared" si="30"/>
        <v>268156863.38006067</v>
      </c>
      <c r="O33" s="42">
        <f t="shared" si="31"/>
        <v>672606233.13460946</v>
      </c>
      <c r="P33" s="22">
        <v>2036</v>
      </c>
      <c r="Q33" s="41">
        <v>10</v>
      </c>
      <c r="R33" s="42">
        <f t="shared" si="32"/>
        <v>419431569.29961962</v>
      </c>
      <c r="S33" s="42">
        <f t="shared" si="22"/>
        <v>151274705.91955894</v>
      </c>
      <c r="T33" s="42">
        <f t="shared" si="33"/>
        <v>268156863.38006067</v>
      </c>
      <c r="U33" s="42">
        <f t="shared" si="34"/>
        <v>672606233.13460946</v>
      </c>
      <c r="V33" s="22">
        <v>2037</v>
      </c>
      <c r="W33" s="41">
        <v>10</v>
      </c>
      <c r="X33" s="42">
        <f t="shared" si="35"/>
        <v>419431569.29961962</v>
      </c>
      <c r="Y33" s="42">
        <f t="shared" si="23"/>
        <v>151274705.91955894</v>
      </c>
      <c r="Z33" s="42">
        <f t="shared" si="36"/>
        <v>268156863.38006067</v>
      </c>
      <c r="AA33" s="42">
        <f t="shared" si="37"/>
        <v>672606233.13460946</v>
      </c>
      <c r="AB33" s="22">
        <v>2038</v>
      </c>
      <c r="AC33" s="41">
        <v>10</v>
      </c>
      <c r="AD33" s="42">
        <f t="shared" si="38"/>
        <v>419431569.29961962</v>
      </c>
      <c r="AE33" s="42">
        <f t="shared" si="24"/>
        <v>151274705.91955894</v>
      </c>
      <c r="AF33" s="42">
        <f t="shared" si="39"/>
        <v>268156863.38006067</v>
      </c>
      <c r="AG33" s="43">
        <f t="shared" si="40"/>
        <v>672606233.13460946</v>
      </c>
    </row>
    <row r="34" spans="2:33" x14ac:dyDescent="0.3">
      <c r="B34" s="25"/>
      <c r="D34" s="22">
        <v>2035</v>
      </c>
      <c r="E34" s="41">
        <v>11</v>
      </c>
      <c r="F34" s="42">
        <f t="shared" si="25"/>
        <v>419431569.29961962</v>
      </c>
      <c r="G34" s="42">
        <f t="shared" si="26"/>
        <v>108155082.2880452</v>
      </c>
      <c r="H34" s="42">
        <f t="shared" si="27"/>
        <v>311276487.01157439</v>
      </c>
      <c r="I34" s="43">
        <f t="shared" si="28"/>
        <v>361329746.12303507</v>
      </c>
      <c r="J34" s="22">
        <v>2036</v>
      </c>
      <c r="K34" s="41">
        <v>11</v>
      </c>
      <c r="L34" s="42">
        <f t="shared" si="29"/>
        <v>419431569.29961962</v>
      </c>
      <c r="M34" s="42">
        <f t="shared" si="21"/>
        <v>108155082.2880452</v>
      </c>
      <c r="N34" s="42">
        <f t="shared" si="30"/>
        <v>311276487.01157439</v>
      </c>
      <c r="O34" s="42">
        <f t="shared" si="31"/>
        <v>361329746.12303507</v>
      </c>
      <c r="P34" s="22">
        <v>2037</v>
      </c>
      <c r="Q34" s="41">
        <v>11</v>
      </c>
      <c r="R34" s="42">
        <f t="shared" si="32"/>
        <v>419431569.29961962</v>
      </c>
      <c r="S34" s="42">
        <f t="shared" si="22"/>
        <v>108155082.2880452</v>
      </c>
      <c r="T34" s="42">
        <f t="shared" si="33"/>
        <v>311276487.01157439</v>
      </c>
      <c r="U34" s="42">
        <f t="shared" si="34"/>
        <v>361329746.12303507</v>
      </c>
      <c r="V34" s="22">
        <v>2038</v>
      </c>
      <c r="W34" s="41">
        <v>11</v>
      </c>
      <c r="X34" s="42">
        <f t="shared" si="35"/>
        <v>419431569.29961962</v>
      </c>
      <c r="Y34" s="42">
        <f t="shared" si="23"/>
        <v>108155082.2880452</v>
      </c>
      <c r="Z34" s="42">
        <f t="shared" si="36"/>
        <v>311276487.01157439</v>
      </c>
      <c r="AA34" s="42">
        <f t="shared" si="37"/>
        <v>361329746.12303507</v>
      </c>
      <c r="AB34" s="22">
        <v>2039</v>
      </c>
      <c r="AC34" s="41">
        <v>11</v>
      </c>
      <c r="AD34" s="42">
        <f t="shared" si="38"/>
        <v>419431569.29961962</v>
      </c>
      <c r="AE34" s="42">
        <f t="shared" si="24"/>
        <v>108155082.2880452</v>
      </c>
      <c r="AF34" s="42">
        <f t="shared" si="39"/>
        <v>311276487.01157439</v>
      </c>
      <c r="AG34" s="43">
        <f t="shared" si="40"/>
        <v>361329746.12303507</v>
      </c>
    </row>
    <row r="35" spans="2:33" ht="15" thickBot="1" x14ac:dyDescent="0.35">
      <c r="B35" s="27"/>
      <c r="C35" s="47"/>
      <c r="D35" s="47">
        <v>2036</v>
      </c>
      <c r="E35" s="50">
        <v>12</v>
      </c>
      <c r="F35" s="52">
        <f t="shared" si="25"/>
        <v>419431569.29961962</v>
      </c>
      <c r="G35" s="52">
        <f t="shared" si="26"/>
        <v>58101823.176584043</v>
      </c>
      <c r="H35" s="52">
        <f t="shared" si="27"/>
        <v>361329746.12303555</v>
      </c>
      <c r="I35" s="53">
        <f t="shared" si="28"/>
        <v>-4.76837158203125E-7</v>
      </c>
      <c r="J35" s="22">
        <v>2037</v>
      </c>
      <c r="K35" s="41">
        <v>12</v>
      </c>
      <c r="L35" s="42">
        <f t="shared" si="29"/>
        <v>419431569.29961962</v>
      </c>
      <c r="M35" s="42">
        <f t="shared" si="21"/>
        <v>58101823.176584043</v>
      </c>
      <c r="N35" s="42">
        <f t="shared" si="30"/>
        <v>361329746.12303555</v>
      </c>
      <c r="O35" s="42">
        <f t="shared" si="31"/>
        <v>-4.76837158203125E-7</v>
      </c>
      <c r="P35" s="22">
        <v>2038</v>
      </c>
      <c r="Q35" s="41">
        <v>12</v>
      </c>
      <c r="R35" s="42">
        <f t="shared" si="32"/>
        <v>419431569.29961962</v>
      </c>
      <c r="S35" s="42">
        <f t="shared" si="22"/>
        <v>58101823.176584043</v>
      </c>
      <c r="T35" s="42">
        <f t="shared" si="33"/>
        <v>361329746.12303555</v>
      </c>
      <c r="U35" s="42">
        <f t="shared" si="34"/>
        <v>-4.76837158203125E-7</v>
      </c>
      <c r="V35" s="22">
        <v>2039</v>
      </c>
      <c r="W35" s="41">
        <v>12</v>
      </c>
      <c r="X35" s="42">
        <f t="shared" si="35"/>
        <v>419431569.29961962</v>
      </c>
      <c r="Y35" s="42">
        <f t="shared" si="23"/>
        <v>58101823.176584043</v>
      </c>
      <c r="Z35" s="42">
        <f t="shared" si="36"/>
        <v>361329746.12303555</v>
      </c>
      <c r="AA35" s="42">
        <f t="shared" si="37"/>
        <v>-4.76837158203125E-7</v>
      </c>
      <c r="AB35" s="22">
        <v>2040</v>
      </c>
      <c r="AC35" s="41">
        <v>12</v>
      </c>
      <c r="AD35" s="42">
        <f t="shared" si="38"/>
        <v>419431569.29961962</v>
      </c>
      <c r="AE35" s="42">
        <f t="shared" si="24"/>
        <v>58101823.176584043</v>
      </c>
      <c r="AF35" s="42">
        <f t="shared" si="39"/>
        <v>361329746.12303555</v>
      </c>
      <c r="AG35" s="43">
        <f t="shared" si="40"/>
        <v>-4.76837158203125E-7</v>
      </c>
    </row>
    <row r="36" spans="2:33" ht="15" thickBot="1" x14ac:dyDescent="0.35">
      <c r="B36" s="25"/>
      <c r="I36" s="41"/>
      <c r="U36" s="65">
        <f>+C22*5</f>
        <v>7500000000</v>
      </c>
      <c r="AG36" s="46"/>
    </row>
    <row r="37" spans="2:33" x14ac:dyDescent="0.3">
      <c r="B37" s="62"/>
      <c r="C37" s="36" t="s">
        <v>87</v>
      </c>
      <c r="D37" s="36">
        <v>2024</v>
      </c>
      <c r="E37" s="36">
        <v>2025</v>
      </c>
      <c r="F37" s="36">
        <v>2026</v>
      </c>
      <c r="G37" s="36">
        <v>2027</v>
      </c>
      <c r="H37" s="36">
        <v>2028</v>
      </c>
      <c r="I37" s="36">
        <v>2029</v>
      </c>
      <c r="J37" s="36">
        <v>2030</v>
      </c>
      <c r="K37" s="36">
        <v>2031</v>
      </c>
      <c r="L37" s="36">
        <v>2032</v>
      </c>
      <c r="M37" s="36">
        <v>2033</v>
      </c>
      <c r="N37" s="36">
        <v>2034</v>
      </c>
      <c r="O37" s="36">
        <v>2035</v>
      </c>
      <c r="P37" s="36">
        <v>2036</v>
      </c>
      <c r="Q37" s="36">
        <v>2037</v>
      </c>
      <c r="R37" s="36">
        <v>2038</v>
      </c>
      <c r="S37" s="36">
        <v>2039</v>
      </c>
      <c r="T37" s="36">
        <v>2040</v>
      </c>
      <c r="U37" s="63" t="s">
        <v>86</v>
      </c>
      <c r="V37" s="68">
        <f>+U38/U36</f>
        <v>2.7962104619974633</v>
      </c>
      <c r="AG37" s="46"/>
    </row>
    <row r="38" spans="2:33" ht="15" thickBot="1" x14ac:dyDescent="0.35">
      <c r="B38" s="98" t="s">
        <v>90</v>
      </c>
      <c r="C38" s="99"/>
      <c r="D38" s="47">
        <f>+F23</f>
        <v>0</v>
      </c>
      <c r="E38" s="48">
        <f>+F24+L23</f>
        <v>0</v>
      </c>
      <c r="F38" s="48">
        <f>+F25+L24+R23</f>
        <v>0</v>
      </c>
      <c r="G38" s="48">
        <f>+F26+L25+R24+X23</f>
        <v>419431569.29961962</v>
      </c>
      <c r="H38" s="48">
        <f>+F27+L26+R25+X24+AD23</f>
        <v>838863138.59923923</v>
      </c>
      <c r="I38" s="48">
        <f>+F28+L27+R26+X25+AD24</f>
        <v>1258294707.8988588</v>
      </c>
      <c r="J38" s="48">
        <f>+F29+L28+R27+X26+AD25</f>
        <v>1677726277.1984785</v>
      </c>
      <c r="K38" s="48">
        <f>+F30+L29+R28+X27+AD26</f>
        <v>2097157846.4980981</v>
      </c>
      <c r="L38" s="48">
        <f>+F31+L30+R29+X28+AD27</f>
        <v>2097157846.4980981</v>
      </c>
      <c r="M38" s="48">
        <f>+F32+L31+R30+X29+AD28</f>
        <v>2097157846.4980981</v>
      </c>
      <c r="N38" s="48">
        <f>+F33+L32+R31+X30+AD29</f>
        <v>2097157846.4980981</v>
      </c>
      <c r="O38" s="48">
        <f>+F34+L33+R32+X31+AD30</f>
        <v>2097157846.4980981</v>
      </c>
      <c r="P38" s="48">
        <f>+F35+L34+R33+X32+AD31</f>
        <v>2097157846.4980981</v>
      </c>
      <c r="Q38" s="48">
        <f>+L35+R34+X33+AD32</f>
        <v>1677726277.1984785</v>
      </c>
      <c r="R38" s="48">
        <f>+R35+X34+AD33</f>
        <v>1258294707.8988588</v>
      </c>
      <c r="S38" s="48">
        <f>+X35+AD34</f>
        <v>838863138.59923923</v>
      </c>
      <c r="T38" s="48">
        <f>+AD35</f>
        <v>419431569.29961962</v>
      </c>
      <c r="U38" s="60">
        <f>SUM(D38:T38)</f>
        <v>20971578464.980976</v>
      </c>
      <c r="V38" s="66">
        <f>+U36/U38</f>
        <v>0.35762687165030255</v>
      </c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9"/>
    </row>
    <row r="39" spans="2:33" ht="15" thickBot="1" x14ac:dyDescent="0.35"/>
    <row r="40" spans="2:33" s="23" customFormat="1" ht="15" thickBot="1" x14ac:dyDescent="0.35">
      <c r="B40" s="95" t="s">
        <v>91</v>
      </c>
      <c r="C40" s="97"/>
      <c r="D40" s="54"/>
      <c r="E40" s="95">
        <v>2024</v>
      </c>
      <c r="F40" s="96"/>
      <c r="G40" s="96"/>
      <c r="H40" s="96"/>
      <c r="I40" s="97"/>
      <c r="J40" s="54"/>
      <c r="K40" s="95">
        <v>2025</v>
      </c>
      <c r="L40" s="96"/>
      <c r="M40" s="96"/>
      <c r="N40" s="96"/>
      <c r="O40" s="97"/>
      <c r="P40" s="54"/>
      <c r="Q40" s="95">
        <v>2026</v>
      </c>
      <c r="R40" s="96"/>
      <c r="S40" s="96"/>
      <c r="T40" s="96"/>
      <c r="U40" s="97"/>
      <c r="V40" s="54"/>
      <c r="W40" s="95">
        <v>2027</v>
      </c>
      <c r="X40" s="96"/>
      <c r="Y40" s="96"/>
      <c r="Z40" s="96"/>
      <c r="AA40" s="97"/>
      <c r="AB40" s="54"/>
      <c r="AC40" s="95">
        <v>2028</v>
      </c>
      <c r="AD40" s="96"/>
      <c r="AE40" s="96"/>
      <c r="AF40" s="96"/>
      <c r="AG40" s="97"/>
    </row>
    <row r="41" spans="2:33" x14ac:dyDescent="0.3">
      <c r="B41" s="25" t="s">
        <v>1</v>
      </c>
      <c r="C41" s="37">
        <v>1700000000</v>
      </c>
      <c r="D41" s="37"/>
      <c r="E41" s="38" t="s">
        <v>0</v>
      </c>
      <c r="F41" s="38" t="s">
        <v>23</v>
      </c>
      <c r="G41" s="38" t="s">
        <v>24</v>
      </c>
      <c r="H41" s="38" t="s">
        <v>25</v>
      </c>
      <c r="I41" s="39" t="s">
        <v>26</v>
      </c>
      <c r="K41" s="38" t="s">
        <v>0</v>
      </c>
      <c r="L41" s="38" t="s">
        <v>23</v>
      </c>
      <c r="M41" s="38" t="s">
        <v>24</v>
      </c>
      <c r="N41" s="38" t="s">
        <v>25</v>
      </c>
      <c r="O41" s="38" t="s">
        <v>26</v>
      </c>
      <c r="Q41" s="38" t="s">
        <v>0</v>
      </c>
      <c r="R41" s="38" t="s">
        <v>23</v>
      </c>
      <c r="S41" s="38" t="s">
        <v>24</v>
      </c>
      <c r="T41" s="38" t="s">
        <v>25</v>
      </c>
      <c r="U41" s="38" t="s">
        <v>26</v>
      </c>
      <c r="W41" s="38" t="s">
        <v>0</v>
      </c>
      <c r="X41" s="38" t="s">
        <v>23</v>
      </c>
      <c r="Y41" s="38" t="s">
        <v>24</v>
      </c>
      <c r="Z41" s="38" t="s">
        <v>25</v>
      </c>
      <c r="AA41" s="38" t="s">
        <v>26</v>
      </c>
      <c r="AC41" s="38" t="s">
        <v>0</v>
      </c>
      <c r="AD41" s="38" t="s">
        <v>23</v>
      </c>
      <c r="AE41" s="38" t="s">
        <v>24</v>
      </c>
      <c r="AF41" s="38" t="s">
        <v>25</v>
      </c>
      <c r="AG41" s="39" t="s">
        <v>26</v>
      </c>
    </row>
    <row r="42" spans="2:33" x14ac:dyDescent="0.3">
      <c r="B42" s="25" t="s">
        <v>22</v>
      </c>
      <c r="C42" s="40">
        <v>0.1608</v>
      </c>
      <c r="D42" s="22">
        <v>2024</v>
      </c>
      <c r="E42" s="41">
        <v>0</v>
      </c>
      <c r="F42" s="41"/>
      <c r="G42" s="41"/>
      <c r="H42" s="41"/>
      <c r="I42" s="43">
        <f>+C41</f>
        <v>1700000000</v>
      </c>
      <c r="J42" s="22">
        <v>2025</v>
      </c>
      <c r="K42" s="41">
        <v>0</v>
      </c>
      <c r="L42" s="41"/>
      <c r="M42" s="41"/>
      <c r="N42" s="41"/>
      <c r="O42" s="42">
        <f>+C41</f>
        <v>1700000000</v>
      </c>
      <c r="P42" s="22">
        <v>2026</v>
      </c>
      <c r="Q42" s="41">
        <v>0</v>
      </c>
      <c r="R42" s="41"/>
      <c r="S42" s="41"/>
      <c r="T42" s="41"/>
      <c r="U42" s="42">
        <f>+O42</f>
        <v>1700000000</v>
      </c>
      <c r="V42" s="22">
        <v>2027</v>
      </c>
      <c r="W42" s="41">
        <v>0</v>
      </c>
      <c r="X42" s="41"/>
      <c r="Y42" s="41"/>
      <c r="Z42" s="41"/>
      <c r="AA42" s="42">
        <f>+U42</f>
        <v>1700000000</v>
      </c>
      <c r="AB42" s="22">
        <v>2028</v>
      </c>
      <c r="AC42" s="41">
        <v>0</v>
      </c>
      <c r="AD42" s="41"/>
      <c r="AE42" s="41"/>
      <c r="AF42" s="41"/>
      <c r="AG42" s="43">
        <f>+AA42</f>
        <v>1700000000</v>
      </c>
    </row>
    <row r="43" spans="2:33" x14ac:dyDescent="0.3">
      <c r="B43" s="25" t="s">
        <v>4</v>
      </c>
      <c r="C43" s="22">
        <v>2</v>
      </c>
      <c r="D43" s="22">
        <v>2025</v>
      </c>
      <c r="E43" s="41">
        <v>1</v>
      </c>
      <c r="F43" s="42">
        <v>0</v>
      </c>
      <c r="G43" s="42">
        <f>I42*$C$42</f>
        <v>273360000</v>
      </c>
      <c r="H43" s="42">
        <f>F43-G43</f>
        <v>-273360000</v>
      </c>
      <c r="I43" s="43">
        <f>I42-H43</f>
        <v>1973360000</v>
      </c>
      <c r="J43" s="22">
        <v>2026</v>
      </c>
      <c r="K43" s="41">
        <v>1</v>
      </c>
      <c r="L43" s="42">
        <v>0</v>
      </c>
      <c r="M43" s="42">
        <f>O42*$C$42</f>
        <v>273360000</v>
      </c>
      <c r="N43" s="42">
        <f>L43-M43</f>
        <v>-273360000</v>
      </c>
      <c r="O43" s="42">
        <f>O42-N43</f>
        <v>1973360000</v>
      </c>
      <c r="P43" s="22">
        <v>2027</v>
      </c>
      <c r="Q43" s="41">
        <v>1</v>
      </c>
      <c r="R43" s="42">
        <v>0</v>
      </c>
      <c r="S43" s="42">
        <f>U42*$C$42</f>
        <v>273360000</v>
      </c>
      <c r="T43" s="42">
        <f>R43-S43</f>
        <v>-273360000</v>
      </c>
      <c r="U43" s="42">
        <f>U42-T43</f>
        <v>1973360000</v>
      </c>
      <c r="V43" s="22">
        <v>2028</v>
      </c>
      <c r="W43" s="41">
        <v>1</v>
      </c>
      <c r="X43" s="42">
        <v>0</v>
      </c>
      <c r="Y43" s="42">
        <f>AA42*$C$42</f>
        <v>273360000</v>
      </c>
      <c r="Z43" s="42">
        <f>X43-Y43</f>
        <v>-273360000</v>
      </c>
      <c r="AA43" s="42">
        <f>AA42-Z43</f>
        <v>1973360000</v>
      </c>
      <c r="AB43" s="22">
        <v>2029</v>
      </c>
      <c r="AC43" s="41">
        <v>1</v>
      </c>
      <c r="AD43" s="42">
        <v>0</v>
      </c>
      <c r="AE43" s="42">
        <f>AG42*$C$42</f>
        <v>273360000</v>
      </c>
      <c r="AF43" s="42">
        <f>AD43-AE43</f>
        <v>-273360000</v>
      </c>
      <c r="AG43" s="43">
        <f>AG42-AF43</f>
        <v>1973360000</v>
      </c>
    </row>
    <row r="44" spans="2:33" x14ac:dyDescent="0.3">
      <c r="B44" s="44" t="s">
        <v>85</v>
      </c>
      <c r="C44" s="45">
        <f>FV(C42,C43,,-C41)</f>
        <v>2290676288</v>
      </c>
      <c r="D44" s="22">
        <v>2026</v>
      </c>
      <c r="E44" s="41">
        <v>2</v>
      </c>
      <c r="F44" s="42">
        <v>0</v>
      </c>
      <c r="G44" s="42">
        <f t="shared" ref="G44" si="41">I43*$C$42</f>
        <v>317316288</v>
      </c>
      <c r="H44" s="42">
        <f>F44-G44</f>
        <v>-317316288</v>
      </c>
      <c r="I44" s="43">
        <f>I43-H44</f>
        <v>2290676288</v>
      </c>
      <c r="J44" s="22">
        <v>2027</v>
      </c>
      <c r="K44" s="41">
        <v>2</v>
      </c>
      <c r="L44" s="42">
        <v>0</v>
      </c>
      <c r="M44" s="42">
        <f t="shared" ref="M44" si="42">O43*$C$42</f>
        <v>317316288</v>
      </c>
      <c r="N44" s="42">
        <f>L44-M44</f>
        <v>-317316288</v>
      </c>
      <c r="O44" s="42">
        <f>O43-N44</f>
        <v>2290676288</v>
      </c>
      <c r="P44" s="22">
        <v>2028</v>
      </c>
      <c r="Q44" s="41">
        <v>2</v>
      </c>
      <c r="R44" s="42">
        <v>0</v>
      </c>
      <c r="S44" s="42">
        <f t="shared" ref="S44" si="43">U43*$C$42</f>
        <v>317316288</v>
      </c>
      <c r="T44" s="42">
        <f>R44-S44</f>
        <v>-317316288</v>
      </c>
      <c r="U44" s="42">
        <f>U43-T44</f>
        <v>2290676288</v>
      </c>
      <c r="V44" s="22">
        <v>2029</v>
      </c>
      <c r="W44" s="41">
        <v>2</v>
      </c>
      <c r="X44" s="42">
        <v>0</v>
      </c>
      <c r="Y44" s="42">
        <f t="shared" ref="Y44" si="44">AA43*$C$42</f>
        <v>317316288</v>
      </c>
      <c r="Z44" s="42">
        <f>X44-Y44</f>
        <v>-317316288</v>
      </c>
      <c r="AA44" s="42">
        <f>AA43-Z44</f>
        <v>2290676288</v>
      </c>
      <c r="AB44" s="22">
        <v>2030</v>
      </c>
      <c r="AC44" s="41">
        <v>2</v>
      </c>
      <c r="AD44" s="42">
        <v>0</v>
      </c>
      <c r="AE44" s="42">
        <f t="shared" ref="AE44" si="45">AG43*$C$42</f>
        <v>317316288</v>
      </c>
      <c r="AF44" s="42">
        <f>AD44-AE44</f>
        <v>-317316288</v>
      </c>
      <c r="AG44" s="43">
        <f>AG43-AF44</f>
        <v>2290676288</v>
      </c>
    </row>
    <row r="45" spans="2:33" x14ac:dyDescent="0.3">
      <c r="B45" s="25" t="s">
        <v>4</v>
      </c>
      <c r="C45" s="22">
        <v>10</v>
      </c>
      <c r="D45" s="22">
        <v>2027</v>
      </c>
      <c r="E45" s="41">
        <v>3</v>
      </c>
      <c r="F45" s="42">
        <f>+$C$46</f>
        <v>475355778.53956878</v>
      </c>
      <c r="G45" s="42">
        <f>I44*$C$42</f>
        <v>368340747.11040002</v>
      </c>
      <c r="H45" s="42">
        <f>F45-G45</f>
        <v>107015031.42916876</v>
      </c>
      <c r="I45" s="43">
        <f>I44-H45</f>
        <v>2183661256.5708313</v>
      </c>
      <c r="J45" s="22">
        <v>2028</v>
      </c>
      <c r="K45" s="41">
        <v>3</v>
      </c>
      <c r="L45" s="42">
        <f>+$C$46</f>
        <v>475355778.53956878</v>
      </c>
      <c r="M45" s="42">
        <f>O44*$C$42</f>
        <v>368340747.11040002</v>
      </c>
      <c r="N45" s="42">
        <f>L45-M45</f>
        <v>107015031.42916876</v>
      </c>
      <c r="O45" s="42">
        <f>O44-N45</f>
        <v>2183661256.5708313</v>
      </c>
      <c r="P45" s="22">
        <v>2029</v>
      </c>
      <c r="Q45" s="41">
        <v>3</v>
      </c>
      <c r="R45" s="42">
        <f>+$C$46</f>
        <v>475355778.53956878</v>
      </c>
      <c r="S45" s="42">
        <f>U44*$C$42</f>
        <v>368340747.11040002</v>
      </c>
      <c r="T45" s="42">
        <f>R45-S45</f>
        <v>107015031.42916876</v>
      </c>
      <c r="U45" s="42">
        <f>U44-T45</f>
        <v>2183661256.5708313</v>
      </c>
      <c r="V45" s="22">
        <v>2030</v>
      </c>
      <c r="W45" s="41">
        <v>3</v>
      </c>
      <c r="X45" s="42">
        <f>+$C$46</f>
        <v>475355778.53956878</v>
      </c>
      <c r="Y45" s="42">
        <f>AA44*$C$42</f>
        <v>368340747.11040002</v>
      </c>
      <c r="Z45" s="42">
        <f>X45-Y45</f>
        <v>107015031.42916876</v>
      </c>
      <c r="AA45" s="42">
        <f>AA44-Z45</f>
        <v>2183661256.5708313</v>
      </c>
      <c r="AB45" s="22">
        <v>2031</v>
      </c>
      <c r="AC45" s="41">
        <v>3</v>
      </c>
      <c r="AD45" s="42">
        <f>+$C$46</f>
        <v>475355778.53956878</v>
      </c>
      <c r="AE45" s="42">
        <f>AG44*$C$42</f>
        <v>368340747.11040002</v>
      </c>
      <c r="AF45" s="42">
        <f>AD45-AE45</f>
        <v>107015031.42916876</v>
      </c>
      <c r="AG45" s="43">
        <f>AG44-AF45</f>
        <v>2183661256.5708313</v>
      </c>
    </row>
    <row r="46" spans="2:33" x14ac:dyDescent="0.3">
      <c r="B46" s="44" t="s">
        <v>5</v>
      </c>
      <c r="C46" s="45">
        <f>PMT(C42,C45,-C44)</f>
        <v>475355778.53956878</v>
      </c>
      <c r="D46" s="22">
        <v>2028</v>
      </c>
      <c r="E46" s="41">
        <v>4</v>
      </c>
      <c r="F46" s="42">
        <f t="shared" ref="F46:F53" si="46">+$C$46</f>
        <v>475355778.53956878</v>
      </c>
      <c r="G46" s="42">
        <f t="shared" ref="G46:G54" si="47">I45*$C$42</f>
        <v>351132730.05658966</v>
      </c>
      <c r="H46" s="42">
        <f t="shared" ref="H46:H54" si="48">F46-G46</f>
        <v>124223048.48297912</v>
      </c>
      <c r="I46" s="43">
        <f t="shared" ref="I46:I54" si="49">I45-H46</f>
        <v>2059438208.0878522</v>
      </c>
      <c r="J46" s="22">
        <v>2029</v>
      </c>
      <c r="K46" s="41">
        <v>4</v>
      </c>
      <c r="L46" s="42">
        <f t="shared" ref="L46:L53" si="50">+$C$46</f>
        <v>475355778.53956878</v>
      </c>
      <c r="M46" s="42">
        <f t="shared" ref="M46:M54" si="51">O45*$C$42</f>
        <v>351132730.05658966</v>
      </c>
      <c r="N46" s="42">
        <f t="shared" ref="N46:N54" si="52">L46-M46</f>
        <v>124223048.48297912</v>
      </c>
      <c r="O46" s="42">
        <f t="shared" ref="O46:O54" si="53">O45-N46</f>
        <v>2059438208.0878522</v>
      </c>
      <c r="P46" s="22">
        <v>2030</v>
      </c>
      <c r="Q46" s="41">
        <v>4</v>
      </c>
      <c r="R46" s="42">
        <f t="shared" ref="R46:R53" si="54">+$C$46</f>
        <v>475355778.53956878</v>
      </c>
      <c r="S46" s="42">
        <f t="shared" ref="S46:S54" si="55">U45*$C$42</f>
        <v>351132730.05658966</v>
      </c>
      <c r="T46" s="42">
        <f t="shared" ref="T46:T54" si="56">R46-S46</f>
        <v>124223048.48297912</v>
      </c>
      <c r="U46" s="42">
        <f t="shared" ref="U46:U54" si="57">U45-T46</f>
        <v>2059438208.0878522</v>
      </c>
      <c r="V46" s="22">
        <v>2031</v>
      </c>
      <c r="W46" s="41">
        <v>4</v>
      </c>
      <c r="X46" s="42">
        <f t="shared" ref="X46:X53" si="58">+$C$46</f>
        <v>475355778.53956878</v>
      </c>
      <c r="Y46" s="42">
        <f t="shared" ref="Y46:Y54" si="59">AA45*$C$42</f>
        <v>351132730.05658966</v>
      </c>
      <c r="Z46" s="42">
        <f t="shared" ref="Z46:Z54" si="60">X46-Y46</f>
        <v>124223048.48297912</v>
      </c>
      <c r="AA46" s="42">
        <f t="shared" ref="AA46:AA54" si="61">AA45-Z46</f>
        <v>2059438208.0878522</v>
      </c>
      <c r="AB46" s="22">
        <v>2032</v>
      </c>
      <c r="AC46" s="41">
        <v>4</v>
      </c>
      <c r="AD46" s="42">
        <f t="shared" ref="AD46:AD53" si="62">+$C$46</f>
        <v>475355778.53956878</v>
      </c>
      <c r="AE46" s="42">
        <f t="shared" ref="AE46:AE54" si="63">AG45*$C$42</f>
        <v>351132730.05658966</v>
      </c>
      <c r="AF46" s="42">
        <f t="shared" ref="AF46:AF54" si="64">AD46-AE46</f>
        <v>124223048.48297912</v>
      </c>
      <c r="AG46" s="43">
        <f t="shared" ref="AG46:AG54" si="65">AG45-AF46</f>
        <v>2059438208.0878522</v>
      </c>
    </row>
    <row r="47" spans="2:33" x14ac:dyDescent="0.3">
      <c r="B47" s="25"/>
      <c r="D47" s="22">
        <v>2029</v>
      </c>
      <c r="E47" s="41">
        <v>5</v>
      </c>
      <c r="F47" s="42">
        <f t="shared" si="46"/>
        <v>475355778.53956878</v>
      </c>
      <c r="G47" s="42">
        <f t="shared" si="47"/>
        <v>331157663.86052662</v>
      </c>
      <c r="H47" s="42">
        <f t="shared" si="48"/>
        <v>144198114.67904216</v>
      </c>
      <c r="I47" s="43">
        <f t="shared" si="49"/>
        <v>1915240093.4088101</v>
      </c>
      <c r="J47" s="22">
        <v>2030</v>
      </c>
      <c r="K47" s="41">
        <v>5</v>
      </c>
      <c r="L47" s="42">
        <f t="shared" si="50"/>
        <v>475355778.53956878</v>
      </c>
      <c r="M47" s="42">
        <f t="shared" si="51"/>
        <v>331157663.86052662</v>
      </c>
      <c r="N47" s="42">
        <f t="shared" si="52"/>
        <v>144198114.67904216</v>
      </c>
      <c r="O47" s="42">
        <f t="shared" si="53"/>
        <v>1915240093.4088101</v>
      </c>
      <c r="P47" s="22">
        <v>2031</v>
      </c>
      <c r="Q47" s="41">
        <v>5</v>
      </c>
      <c r="R47" s="42">
        <f t="shared" si="54"/>
        <v>475355778.53956878</v>
      </c>
      <c r="S47" s="42">
        <f t="shared" si="55"/>
        <v>331157663.86052662</v>
      </c>
      <c r="T47" s="42">
        <f t="shared" si="56"/>
        <v>144198114.67904216</v>
      </c>
      <c r="U47" s="42">
        <f t="shared" si="57"/>
        <v>1915240093.4088101</v>
      </c>
      <c r="V47" s="22">
        <v>2032</v>
      </c>
      <c r="W47" s="41">
        <v>5</v>
      </c>
      <c r="X47" s="42">
        <f t="shared" si="58"/>
        <v>475355778.53956878</v>
      </c>
      <c r="Y47" s="42">
        <f t="shared" si="59"/>
        <v>331157663.86052662</v>
      </c>
      <c r="Z47" s="42">
        <f t="shared" si="60"/>
        <v>144198114.67904216</v>
      </c>
      <c r="AA47" s="42">
        <f t="shared" si="61"/>
        <v>1915240093.4088101</v>
      </c>
      <c r="AB47" s="22">
        <v>2033</v>
      </c>
      <c r="AC47" s="41">
        <v>5</v>
      </c>
      <c r="AD47" s="42">
        <f t="shared" si="62"/>
        <v>475355778.53956878</v>
      </c>
      <c r="AE47" s="42">
        <f t="shared" si="63"/>
        <v>331157663.86052662</v>
      </c>
      <c r="AF47" s="42">
        <f t="shared" si="64"/>
        <v>144198114.67904216</v>
      </c>
      <c r="AG47" s="43">
        <f t="shared" si="65"/>
        <v>1915240093.4088101</v>
      </c>
    </row>
    <row r="48" spans="2:33" x14ac:dyDescent="0.3">
      <c r="B48" s="25"/>
      <c r="D48" s="22">
        <v>2030</v>
      </c>
      <c r="E48" s="41">
        <v>6</v>
      </c>
      <c r="F48" s="42">
        <f t="shared" si="46"/>
        <v>475355778.53956878</v>
      </c>
      <c r="G48" s="42">
        <f t="shared" si="47"/>
        <v>307970607.02013665</v>
      </c>
      <c r="H48" s="42">
        <f t="shared" si="48"/>
        <v>167385171.51943213</v>
      </c>
      <c r="I48" s="43">
        <f t="shared" si="49"/>
        <v>1747854921.8893781</v>
      </c>
      <c r="J48" s="22">
        <v>2031</v>
      </c>
      <c r="K48" s="41">
        <v>6</v>
      </c>
      <c r="L48" s="42">
        <f t="shared" si="50"/>
        <v>475355778.53956878</v>
      </c>
      <c r="M48" s="42">
        <f t="shared" si="51"/>
        <v>307970607.02013665</v>
      </c>
      <c r="N48" s="42">
        <f t="shared" si="52"/>
        <v>167385171.51943213</v>
      </c>
      <c r="O48" s="42">
        <f t="shared" si="53"/>
        <v>1747854921.8893781</v>
      </c>
      <c r="P48" s="22">
        <v>2032</v>
      </c>
      <c r="Q48" s="41">
        <v>6</v>
      </c>
      <c r="R48" s="42">
        <f t="shared" si="54"/>
        <v>475355778.53956878</v>
      </c>
      <c r="S48" s="42">
        <f t="shared" si="55"/>
        <v>307970607.02013665</v>
      </c>
      <c r="T48" s="42">
        <f t="shared" si="56"/>
        <v>167385171.51943213</v>
      </c>
      <c r="U48" s="42">
        <f t="shared" si="57"/>
        <v>1747854921.8893781</v>
      </c>
      <c r="V48" s="22">
        <v>2033</v>
      </c>
      <c r="W48" s="41">
        <v>6</v>
      </c>
      <c r="X48" s="42">
        <f t="shared" si="58"/>
        <v>475355778.53956878</v>
      </c>
      <c r="Y48" s="42">
        <f t="shared" si="59"/>
        <v>307970607.02013665</v>
      </c>
      <c r="Z48" s="42">
        <f t="shared" si="60"/>
        <v>167385171.51943213</v>
      </c>
      <c r="AA48" s="42">
        <f t="shared" si="61"/>
        <v>1747854921.8893781</v>
      </c>
      <c r="AB48" s="22">
        <v>2034</v>
      </c>
      <c r="AC48" s="41">
        <v>6</v>
      </c>
      <c r="AD48" s="42">
        <f t="shared" si="62"/>
        <v>475355778.53956878</v>
      </c>
      <c r="AE48" s="42">
        <f t="shared" si="63"/>
        <v>307970607.02013665</v>
      </c>
      <c r="AF48" s="42">
        <f t="shared" si="64"/>
        <v>167385171.51943213</v>
      </c>
      <c r="AG48" s="43">
        <f t="shared" si="65"/>
        <v>1747854921.8893781</v>
      </c>
    </row>
    <row r="49" spans="2:33" x14ac:dyDescent="0.3">
      <c r="B49" s="25"/>
      <c r="D49" s="22">
        <v>2031</v>
      </c>
      <c r="E49" s="41">
        <v>7</v>
      </c>
      <c r="F49" s="42">
        <f t="shared" si="46"/>
        <v>475355778.53956878</v>
      </c>
      <c r="G49" s="42">
        <f t="shared" si="47"/>
        <v>281055071.439812</v>
      </c>
      <c r="H49" s="42">
        <f t="shared" si="48"/>
        <v>194300707.09975678</v>
      </c>
      <c r="I49" s="43">
        <f t="shared" si="49"/>
        <v>1553554214.7896214</v>
      </c>
      <c r="J49" s="22">
        <v>2032</v>
      </c>
      <c r="K49" s="41">
        <v>7</v>
      </c>
      <c r="L49" s="42">
        <f t="shared" si="50"/>
        <v>475355778.53956878</v>
      </c>
      <c r="M49" s="42">
        <f t="shared" si="51"/>
        <v>281055071.439812</v>
      </c>
      <c r="N49" s="42">
        <f t="shared" si="52"/>
        <v>194300707.09975678</v>
      </c>
      <c r="O49" s="42">
        <f t="shared" si="53"/>
        <v>1553554214.7896214</v>
      </c>
      <c r="P49" s="22">
        <v>2033</v>
      </c>
      <c r="Q49" s="41">
        <v>7</v>
      </c>
      <c r="R49" s="42">
        <f t="shared" si="54"/>
        <v>475355778.53956878</v>
      </c>
      <c r="S49" s="42">
        <f t="shared" si="55"/>
        <v>281055071.439812</v>
      </c>
      <c r="T49" s="42">
        <f t="shared" si="56"/>
        <v>194300707.09975678</v>
      </c>
      <c r="U49" s="42">
        <f t="shared" si="57"/>
        <v>1553554214.7896214</v>
      </c>
      <c r="V49" s="22">
        <v>2034</v>
      </c>
      <c r="W49" s="41">
        <v>7</v>
      </c>
      <c r="X49" s="42">
        <f t="shared" si="58"/>
        <v>475355778.53956878</v>
      </c>
      <c r="Y49" s="42">
        <f t="shared" si="59"/>
        <v>281055071.439812</v>
      </c>
      <c r="Z49" s="42">
        <f t="shared" si="60"/>
        <v>194300707.09975678</v>
      </c>
      <c r="AA49" s="42">
        <f t="shared" si="61"/>
        <v>1553554214.7896214</v>
      </c>
      <c r="AB49" s="22">
        <v>2035</v>
      </c>
      <c r="AC49" s="41">
        <v>7</v>
      </c>
      <c r="AD49" s="42">
        <f t="shared" si="62"/>
        <v>475355778.53956878</v>
      </c>
      <c r="AE49" s="42">
        <f t="shared" si="63"/>
        <v>281055071.439812</v>
      </c>
      <c r="AF49" s="42">
        <f t="shared" si="64"/>
        <v>194300707.09975678</v>
      </c>
      <c r="AG49" s="43">
        <f t="shared" si="65"/>
        <v>1553554214.7896214</v>
      </c>
    </row>
    <row r="50" spans="2:33" x14ac:dyDescent="0.3">
      <c r="B50" s="25"/>
      <c r="D50" s="22">
        <v>2032</v>
      </c>
      <c r="E50" s="41">
        <v>8</v>
      </c>
      <c r="F50" s="42">
        <f t="shared" si="46"/>
        <v>475355778.53956878</v>
      </c>
      <c r="G50" s="42">
        <f t="shared" si="47"/>
        <v>249811517.7381711</v>
      </c>
      <c r="H50" s="42">
        <f t="shared" si="48"/>
        <v>225544260.80139768</v>
      </c>
      <c r="I50" s="43">
        <f t="shared" si="49"/>
        <v>1328009953.9882236</v>
      </c>
      <c r="J50" s="22">
        <v>2033</v>
      </c>
      <c r="K50" s="41">
        <v>8</v>
      </c>
      <c r="L50" s="42">
        <f t="shared" si="50"/>
        <v>475355778.53956878</v>
      </c>
      <c r="M50" s="42">
        <f t="shared" si="51"/>
        <v>249811517.7381711</v>
      </c>
      <c r="N50" s="42">
        <f t="shared" si="52"/>
        <v>225544260.80139768</v>
      </c>
      <c r="O50" s="42">
        <f t="shared" si="53"/>
        <v>1328009953.9882236</v>
      </c>
      <c r="P50" s="22">
        <v>2034</v>
      </c>
      <c r="Q50" s="41">
        <v>8</v>
      </c>
      <c r="R50" s="42">
        <f t="shared" si="54"/>
        <v>475355778.53956878</v>
      </c>
      <c r="S50" s="42">
        <f t="shared" si="55"/>
        <v>249811517.7381711</v>
      </c>
      <c r="T50" s="42">
        <f t="shared" si="56"/>
        <v>225544260.80139768</v>
      </c>
      <c r="U50" s="42">
        <f t="shared" si="57"/>
        <v>1328009953.9882236</v>
      </c>
      <c r="V50" s="22">
        <v>2035</v>
      </c>
      <c r="W50" s="41">
        <v>8</v>
      </c>
      <c r="X50" s="42">
        <f t="shared" si="58"/>
        <v>475355778.53956878</v>
      </c>
      <c r="Y50" s="42">
        <f t="shared" si="59"/>
        <v>249811517.7381711</v>
      </c>
      <c r="Z50" s="42">
        <f t="shared" si="60"/>
        <v>225544260.80139768</v>
      </c>
      <c r="AA50" s="42">
        <f t="shared" si="61"/>
        <v>1328009953.9882236</v>
      </c>
      <c r="AB50" s="22">
        <v>2036</v>
      </c>
      <c r="AC50" s="41">
        <v>8</v>
      </c>
      <c r="AD50" s="42">
        <f t="shared" si="62"/>
        <v>475355778.53956878</v>
      </c>
      <c r="AE50" s="42">
        <f t="shared" si="63"/>
        <v>249811517.7381711</v>
      </c>
      <c r="AF50" s="42">
        <f t="shared" si="64"/>
        <v>225544260.80139768</v>
      </c>
      <c r="AG50" s="43">
        <f t="shared" si="65"/>
        <v>1328009953.9882236</v>
      </c>
    </row>
    <row r="51" spans="2:33" x14ac:dyDescent="0.3">
      <c r="B51" s="25"/>
      <c r="D51" s="22">
        <v>2033</v>
      </c>
      <c r="E51" s="41">
        <v>9</v>
      </c>
      <c r="F51" s="42">
        <f t="shared" si="46"/>
        <v>475355778.53956878</v>
      </c>
      <c r="G51" s="42">
        <f t="shared" si="47"/>
        <v>213544000.60130635</v>
      </c>
      <c r="H51" s="42">
        <f t="shared" si="48"/>
        <v>261811777.93826243</v>
      </c>
      <c r="I51" s="43">
        <f t="shared" si="49"/>
        <v>1066198176.0499611</v>
      </c>
      <c r="J51" s="22">
        <v>2034</v>
      </c>
      <c r="K51" s="41">
        <v>9</v>
      </c>
      <c r="L51" s="42">
        <f t="shared" si="50"/>
        <v>475355778.53956878</v>
      </c>
      <c r="M51" s="42">
        <f t="shared" si="51"/>
        <v>213544000.60130635</v>
      </c>
      <c r="N51" s="42">
        <f t="shared" si="52"/>
        <v>261811777.93826243</v>
      </c>
      <c r="O51" s="42">
        <f t="shared" si="53"/>
        <v>1066198176.0499611</v>
      </c>
      <c r="P51" s="22">
        <v>2035</v>
      </c>
      <c r="Q51" s="41">
        <v>9</v>
      </c>
      <c r="R51" s="42">
        <f t="shared" si="54"/>
        <v>475355778.53956878</v>
      </c>
      <c r="S51" s="42">
        <f t="shared" si="55"/>
        <v>213544000.60130635</v>
      </c>
      <c r="T51" s="42">
        <f t="shared" si="56"/>
        <v>261811777.93826243</v>
      </c>
      <c r="U51" s="42">
        <f t="shared" si="57"/>
        <v>1066198176.0499611</v>
      </c>
      <c r="V51" s="22">
        <v>2036</v>
      </c>
      <c r="W51" s="41">
        <v>9</v>
      </c>
      <c r="X51" s="42">
        <f t="shared" si="58"/>
        <v>475355778.53956878</v>
      </c>
      <c r="Y51" s="42">
        <f t="shared" si="59"/>
        <v>213544000.60130635</v>
      </c>
      <c r="Z51" s="42">
        <f t="shared" si="60"/>
        <v>261811777.93826243</v>
      </c>
      <c r="AA51" s="42">
        <f t="shared" si="61"/>
        <v>1066198176.0499611</v>
      </c>
      <c r="AB51" s="22">
        <v>2037</v>
      </c>
      <c r="AC51" s="41">
        <v>9</v>
      </c>
      <c r="AD51" s="42">
        <f t="shared" si="62"/>
        <v>475355778.53956878</v>
      </c>
      <c r="AE51" s="42">
        <f t="shared" si="63"/>
        <v>213544000.60130635</v>
      </c>
      <c r="AF51" s="42">
        <f t="shared" si="64"/>
        <v>261811777.93826243</v>
      </c>
      <c r="AG51" s="43">
        <f t="shared" si="65"/>
        <v>1066198176.0499611</v>
      </c>
    </row>
    <row r="52" spans="2:33" x14ac:dyDescent="0.3">
      <c r="B52" s="25"/>
      <c r="D52" s="22">
        <v>2034</v>
      </c>
      <c r="E52" s="41">
        <v>10</v>
      </c>
      <c r="F52" s="42">
        <f t="shared" si="46"/>
        <v>475355778.53956878</v>
      </c>
      <c r="G52" s="42">
        <f t="shared" si="47"/>
        <v>171444666.70883375</v>
      </c>
      <c r="H52" s="42">
        <f t="shared" si="48"/>
        <v>303911111.83073503</v>
      </c>
      <c r="I52" s="43">
        <f t="shared" si="49"/>
        <v>762287064.21922612</v>
      </c>
      <c r="J52" s="22">
        <v>2035</v>
      </c>
      <c r="K52" s="41">
        <v>10</v>
      </c>
      <c r="L52" s="42">
        <f t="shared" si="50"/>
        <v>475355778.53956878</v>
      </c>
      <c r="M52" s="42">
        <f t="shared" si="51"/>
        <v>171444666.70883375</v>
      </c>
      <c r="N52" s="42">
        <f t="shared" si="52"/>
        <v>303911111.83073503</v>
      </c>
      <c r="O52" s="42">
        <f t="shared" si="53"/>
        <v>762287064.21922612</v>
      </c>
      <c r="P52" s="22">
        <v>2036</v>
      </c>
      <c r="Q52" s="41">
        <v>10</v>
      </c>
      <c r="R52" s="42">
        <f t="shared" si="54"/>
        <v>475355778.53956878</v>
      </c>
      <c r="S52" s="42">
        <f t="shared" si="55"/>
        <v>171444666.70883375</v>
      </c>
      <c r="T52" s="42">
        <f t="shared" si="56"/>
        <v>303911111.83073503</v>
      </c>
      <c r="U52" s="42">
        <f t="shared" si="57"/>
        <v>762287064.21922612</v>
      </c>
      <c r="V52" s="22">
        <v>2037</v>
      </c>
      <c r="W52" s="41">
        <v>10</v>
      </c>
      <c r="X52" s="42">
        <f t="shared" si="58"/>
        <v>475355778.53956878</v>
      </c>
      <c r="Y52" s="42">
        <f t="shared" si="59"/>
        <v>171444666.70883375</v>
      </c>
      <c r="Z52" s="42">
        <f t="shared" si="60"/>
        <v>303911111.83073503</v>
      </c>
      <c r="AA52" s="42">
        <f t="shared" si="61"/>
        <v>762287064.21922612</v>
      </c>
      <c r="AB52" s="22">
        <v>2038</v>
      </c>
      <c r="AC52" s="41">
        <v>10</v>
      </c>
      <c r="AD52" s="42">
        <f t="shared" si="62"/>
        <v>475355778.53956878</v>
      </c>
      <c r="AE52" s="42">
        <f t="shared" si="63"/>
        <v>171444666.70883375</v>
      </c>
      <c r="AF52" s="42">
        <f t="shared" si="64"/>
        <v>303911111.83073503</v>
      </c>
      <c r="AG52" s="43">
        <f t="shared" si="65"/>
        <v>762287064.21922612</v>
      </c>
    </row>
    <row r="53" spans="2:33" x14ac:dyDescent="0.3">
      <c r="B53" s="25"/>
      <c r="D53" s="22">
        <v>2035</v>
      </c>
      <c r="E53" s="41">
        <v>11</v>
      </c>
      <c r="F53" s="42">
        <f t="shared" si="46"/>
        <v>475355778.53956878</v>
      </c>
      <c r="G53" s="42">
        <f t="shared" si="47"/>
        <v>122575759.92645156</v>
      </c>
      <c r="H53" s="42">
        <f t="shared" si="48"/>
        <v>352780018.61311722</v>
      </c>
      <c r="I53" s="43">
        <f t="shared" si="49"/>
        <v>409507045.6061089</v>
      </c>
      <c r="J53" s="22">
        <v>2036</v>
      </c>
      <c r="K53" s="41">
        <v>11</v>
      </c>
      <c r="L53" s="42">
        <f t="shared" si="50"/>
        <v>475355778.53956878</v>
      </c>
      <c r="M53" s="42">
        <f t="shared" si="51"/>
        <v>122575759.92645156</v>
      </c>
      <c r="N53" s="42">
        <f t="shared" si="52"/>
        <v>352780018.61311722</v>
      </c>
      <c r="O53" s="42">
        <f t="shared" si="53"/>
        <v>409507045.6061089</v>
      </c>
      <c r="P53" s="22">
        <v>2037</v>
      </c>
      <c r="Q53" s="41">
        <v>11</v>
      </c>
      <c r="R53" s="42">
        <f t="shared" si="54"/>
        <v>475355778.53956878</v>
      </c>
      <c r="S53" s="42">
        <f t="shared" si="55"/>
        <v>122575759.92645156</v>
      </c>
      <c r="T53" s="42">
        <f t="shared" si="56"/>
        <v>352780018.61311722</v>
      </c>
      <c r="U53" s="42">
        <f t="shared" si="57"/>
        <v>409507045.6061089</v>
      </c>
      <c r="V53" s="22">
        <v>2038</v>
      </c>
      <c r="W53" s="41">
        <v>11</v>
      </c>
      <c r="X53" s="42">
        <f t="shared" si="58"/>
        <v>475355778.53956878</v>
      </c>
      <c r="Y53" s="42">
        <f t="shared" si="59"/>
        <v>122575759.92645156</v>
      </c>
      <c r="Z53" s="42">
        <f t="shared" si="60"/>
        <v>352780018.61311722</v>
      </c>
      <c r="AA53" s="42">
        <f t="shared" si="61"/>
        <v>409507045.6061089</v>
      </c>
      <c r="AB53" s="22">
        <v>2039</v>
      </c>
      <c r="AC53" s="41">
        <v>11</v>
      </c>
      <c r="AD53" s="42">
        <f t="shared" si="62"/>
        <v>475355778.53956878</v>
      </c>
      <c r="AE53" s="42">
        <f t="shared" si="63"/>
        <v>122575759.92645156</v>
      </c>
      <c r="AF53" s="42">
        <f t="shared" si="64"/>
        <v>352780018.61311722</v>
      </c>
      <c r="AG53" s="43">
        <f t="shared" si="65"/>
        <v>409507045.6061089</v>
      </c>
    </row>
    <row r="54" spans="2:33" ht="15" thickBot="1" x14ac:dyDescent="0.35">
      <c r="B54" s="27"/>
      <c r="C54" s="47"/>
      <c r="D54" s="47">
        <v>2036</v>
      </c>
      <c r="E54" s="50">
        <v>12</v>
      </c>
      <c r="F54" s="52">
        <f>+$C$46</f>
        <v>475355778.53956878</v>
      </c>
      <c r="G54" s="52">
        <f t="shared" si="47"/>
        <v>65848732.933462314</v>
      </c>
      <c r="H54" s="52">
        <f t="shared" si="48"/>
        <v>409507045.60610646</v>
      </c>
      <c r="I54" s="53">
        <f t="shared" si="49"/>
        <v>2.4437904357910156E-6</v>
      </c>
      <c r="J54" s="22">
        <v>2037</v>
      </c>
      <c r="K54" s="41">
        <v>12</v>
      </c>
      <c r="L54" s="42">
        <f>+$C$46</f>
        <v>475355778.53956878</v>
      </c>
      <c r="M54" s="42">
        <f t="shared" si="51"/>
        <v>65848732.933462314</v>
      </c>
      <c r="N54" s="42">
        <f t="shared" si="52"/>
        <v>409507045.60610646</v>
      </c>
      <c r="O54" s="42">
        <f t="shared" si="53"/>
        <v>2.4437904357910156E-6</v>
      </c>
      <c r="P54" s="22">
        <v>2038</v>
      </c>
      <c r="Q54" s="41">
        <v>12</v>
      </c>
      <c r="R54" s="42">
        <f>+$C$46</f>
        <v>475355778.53956878</v>
      </c>
      <c r="S54" s="42">
        <f t="shared" si="55"/>
        <v>65848732.933462314</v>
      </c>
      <c r="T54" s="42">
        <f t="shared" si="56"/>
        <v>409507045.60610646</v>
      </c>
      <c r="U54" s="42">
        <f t="shared" si="57"/>
        <v>2.4437904357910156E-6</v>
      </c>
      <c r="V54" s="22">
        <v>2039</v>
      </c>
      <c r="W54" s="41">
        <v>12</v>
      </c>
      <c r="X54" s="42">
        <f>+$C$46</f>
        <v>475355778.53956878</v>
      </c>
      <c r="Y54" s="42">
        <f t="shared" si="59"/>
        <v>65848732.933462314</v>
      </c>
      <c r="Z54" s="42">
        <f t="shared" si="60"/>
        <v>409507045.60610646</v>
      </c>
      <c r="AA54" s="42">
        <f t="shared" si="61"/>
        <v>2.4437904357910156E-6</v>
      </c>
      <c r="AB54" s="22">
        <v>2040</v>
      </c>
      <c r="AC54" s="41">
        <v>12</v>
      </c>
      <c r="AD54" s="42">
        <f>+$C$46</f>
        <v>475355778.53956878</v>
      </c>
      <c r="AE54" s="42">
        <f t="shared" si="63"/>
        <v>65848732.933462314</v>
      </c>
      <c r="AF54" s="42">
        <f t="shared" si="64"/>
        <v>409507045.60610646</v>
      </c>
      <c r="AG54" s="43">
        <f t="shared" si="65"/>
        <v>2.4437904357910156E-6</v>
      </c>
    </row>
    <row r="55" spans="2:33" ht="15" thickBot="1" x14ac:dyDescent="0.35">
      <c r="B55" s="25"/>
      <c r="I55" s="41"/>
      <c r="U55" s="65">
        <f>+C41*5</f>
        <v>8500000000</v>
      </c>
      <c r="AG55" s="46"/>
    </row>
    <row r="56" spans="2:33" x14ac:dyDescent="0.3">
      <c r="B56" s="62"/>
      <c r="C56" s="36" t="s">
        <v>87</v>
      </c>
      <c r="D56" s="36">
        <v>2024</v>
      </c>
      <c r="E56" s="36">
        <v>2025</v>
      </c>
      <c r="F56" s="36">
        <v>2026</v>
      </c>
      <c r="G56" s="36">
        <v>2027</v>
      </c>
      <c r="H56" s="36">
        <v>2028</v>
      </c>
      <c r="I56" s="36">
        <v>2029</v>
      </c>
      <c r="J56" s="36">
        <v>2030</v>
      </c>
      <c r="K56" s="36">
        <v>2031</v>
      </c>
      <c r="L56" s="36">
        <v>2032</v>
      </c>
      <c r="M56" s="36">
        <v>2033</v>
      </c>
      <c r="N56" s="36">
        <v>2034</v>
      </c>
      <c r="O56" s="36">
        <v>2035</v>
      </c>
      <c r="P56" s="36">
        <v>2036</v>
      </c>
      <c r="Q56" s="36">
        <v>2037</v>
      </c>
      <c r="R56" s="36">
        <v>2038</v>
      </c>
      <c r="S56" s="36">
        <v>2039</v>
      </c>
      <c r="T56" s="36">
        <v>2040</v>
      </c>
      <c r="U56" s="63" t="s">
        <v>86</v>
      </c>
      <c r="V56" s="68">
        <f>+U57/U55</f>
        <v>2.7962104619974628</v>
      </c>
      <c r="AG56" s="46"/>
    </row>
    <row r="57" spans="2:33" ht="15" thickBot="1" x14ac:dyDescent="0.35">
      <c r="B57" s="98" t="s">
        <v>92</v>
      </c>
      <c r="C57" s="99"/>
      <c r="D57" s="47">
        <f>+F42</f>
        <v>0</v>
      </c>
      <c r="E57" s="48">
        <f>+F43+L42</f>
        <v>0</v>
      </c>
      <c r="F57" s="48">
        <f>+F44+L43+R42</f>
        <v>0</v>
      </c>
      <c r="G57" s="48">
        <f>+F45+L44+R43+X42</f>
        <v>475355778.53956878</v>
      </c>
      <c r="H57" s="48">
        <f>+F46+L45+R44+X43+AD42</f>
        <v>950711557.07913756</v>
      </c>
      <c r="I57" s="48">
        <f>+F47+L46+R45+X44+AD43</f>
        <v>1426067335.6187062</v>
      </c>
      <c r="J57" s="48">
        <f>+F48+L47+R46+X45+AD44</f>
        <v>1901423114.1582751</v>
      </c>
      <c r="K57" s="48">
        <f>+F49+L48+R47+X46+AD45</f>
        <v>2376778892.697844</v>
      </c>
      <c r="L57" s="48">
        <f>+F50+L49+R48+X47+AD46</f>
        <v>2376778892.697844</v>
      </c>
      <c r="M57" s="48">
        <f>+F51+L50+R49+X48+AD47</f>
        <v>2376778892.697844</v>
      </c>
      <c r="N57" s="48">
        <f>+F52+L51+R50+X49+AD48</f>
        <v>2376778892.697844</v>
      </c>
      <c r="O57" s="48">
        <f>+F53+L52+R51+X50+AD49</f>
        <v>2376778892.697844</v>
      </c>
      <c r="P57" s="48">
        <f>+F54+L53+R52+X51+AD50</f>
        <v>2376778892.697844</v>
      </c>
      <c r="Q57" s="48">
        <f>+L54+R53+X52+AD51</f>
        <v>1901423114.1582751</v>
      </c>
      <c r="R57" s="48">
        <f>+R54+X53+AD52</f>
        <v>1426067335.6187062</v>
      </c>
      <c r="S57" s="48">
        <f>+X54+AD53</f>
        <v>950711557.07913756</v>
      </c>
      <c r="T57" s="48">
        <f>+AD54</f>
        <v>475355778.53956878</v>
      </c>
      <c r="U57" s="60">
        <f>SUM(D57:T57)</f>
        <v>23767788926.978436</v>
      </c>
      <c r="V57" s="66">
        <f>+U55/U57</f>
        <v>0.3576268716503026</v>
      </c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9"/>
    </row>
    <row r="59" spans="2:33" ht="15" thickBot="1" x14ac:dyDescent="0.35"/>
    <row r="60" spans="2:33" s="23" customFormat="1" ht="15" thickBot="1" x14ac:dyDescent="0.35">
      <c r="B60" s="95" t="s">
        <v>93</v>
      </c>
      <c r="C60" s="97"/>
      <c r="D60" s="54"/>
      <c r="E60" s="95">
        <v>2024</v>
      </c>
      <c r="F60" s="96"/>
      <c r="G60" s="96"/>
      <c r="H60" s="96"/>
      <c r="I60" s="97"/>
      <c r="J60" s="54"/>
      <c r="K60" s="95">
        <v>2025</v>
      </c>
      <c r="L60" s="96"/>
      <c r="M60" s="96"/>
      <c r="N60" s="96"/>
      <c r="O60" s="97"/>
      <c r="P60" s="54"/>
      <c r="Q60" s="95">
        <v>2026</v>
      </c>
      <c r="R60" s="96"/>
      <c r="S60" s="96"/>
      <c r="T60" s="96"/>
      <c r="U60" s="97"/>
      <c r="V60" s="54"/>
      <c r="W60" s="95">
        <v>2027</v>
      </c>
      <c r="X60" s="96"/>
      <c r="Y60" s="96"/>
      <c r="Z60" s="96"/>
      <c r="AA60" s="97"/>
      <c r="AB60" s="54"/>
      <c r="AC60" s="95">
        <v>2028</v>
      </c>
      <c r="AD60" s="96"/>
      <c r="AE60" s="96"/>
      <c r="AF60" s="96"/>
      <c r="AG60" s="97"/>
    </row>
    <row r="61" spans="2:33" x14ac:dyDescent="0.3">
      <c r="B61" s="25" t="s">
        <v>1</v>
      </c>
      <c r="C61" s="37">
        <v>2800000000</v>
      </c>
      <c r="D61" s="37"/>
      <c r="E61" s="38" t="s">
        <v>0</v>
      </c>
      <c r="F61" s="38" t="s">
        <v>23</v>
      </c>
      <c r="G61" s="38" t="s">
        <v>24</v>
      </c>
      <c r="H61" s="38" t="s">
        <v>25</v>
      </c>
      <c r="I61" s="39" t="s">
        <v>26</v>
      </c>
      <c r="K61" s="38" t="s">
        <v>0</v>
      </c>
      <c r="L61" s="38" t="s">
        <v>23</v>
      </c>
      <c r="M61" s="38" t="s">
        <v>24</v>
      </c>
      <c r="N61" s="38" t="s">
        <v>25</v>
      </c>
      <c r="O61" s="38" t="s">
        <v>26</v>
      </c>
      <c r="Q61" s="38" t="s">
        <v>0</v>
      </c>
      <c r="R61" s="38" t="s">
        <v>23</v>
      </c>
      <c r="S61" s="38" t="s">
        <v>24</v>
      </c>
      <c r="T61" s="38" t="s">
        <v>25</v>
      </c>
      <c r="U61" s="38" t="s">
        <v>26</v>
      </c>
      <c r="W61" s="38" t="s">
        <v>0</v>
      </c>
      <c r="X61" s="38" t="s">
        <v>23</v>
      </c>
      <c r="Y61" s="38" t="s">
        <v>24</v>
      </c>
      <c r="Z61" s="38" t="s">
        <v>25</v>
      </c>
      <c r="AA61" s="38" t="s">
        <v>26</v>
      </c>
      <c r="AC61" s="38" t="s">
        <v>0</v>
      </c>
      <c r="AD61" s="38" t="s">
        <v>23</v>
      </c>
      <c r="AE61" s="38" t="s">
        <v>24</v>
      </c>
      <c r="AF61" s="38" t="s">
        <v>25</v>
      </c>
      <c r="AG61" s="39" t="s">
        <v>26</v>
      </c>
    </row>
    <row r="62" spans="2:33" x14ac:dyDescent="0.3">
      <c r="B62" s="25" t="s">
        <v>22</v>
      </c>
      <c r="C62" s="40">
        <v>0.1608</v>
      </c>
      <c r="D62" s="22">
        <v>2024</v>
      </c>
      <c r="E62" s="41">
        <v>0</v>
      </c>
      <c r="F62" s="41"/>
      <c r="G62" s="41"/>
      <c r="H62" s="41"/>
      <c r="I62" s="43">
        <f>+C61</f>
        <v>2800000000</v>
      </c>
      <c r="J62" s="22">
        <v>2025</v>
      </c>
      <c r="K62" s="41">
        <v>0</v>
      </c>
      <c r="L62" s="41"/>
      <c r="M62" s="41"/>
      <c r="N62" s="41"/>
      <c r="O62" s="42">
        <f>+C61</f>
        <v>2800000000</v>
      </c>
      <c r="P62" s="22">
        <v>2026</v>
      </c>
      <c r="Q62" s="41">
        <v>0</v>
      </c>
      <c r="R62" s="41"/>
      <c r="S62" s="41"/>
      <c r="T62" s="41"/>
      <c r="U62" s="42">
        <f>+O62</f>
        <v>2800000000</v>
      </c>
      <c r="V62" s="22">
        <v>2027</v>
      </c>
      <c r="W62" s="41">
        <v>0</v>
      </c>
      <c r="X62" s="41"/>
      <c r="Y62" s="41"/>
      <c r="Z62" s="41"/>
      <c r="AA62" s="42">
        <f>+U62</f>
        <v>2800000000</v>
      </c>
      <c r="AB62" s="22">
        <v>2028</v>
      </c>
      <c r="AC62" s="41">
        <v>0</v>
      </c>
      <c r="AD62" s="41"/>
      <c r="AE62" s="41"/>
      <c r="AF62" s="41"/>
      <c r="AG62" s="43">
        <f>+AA62</f>
        <v>2800000000</v>
      </c>
    </row>
    <row r="63" spans="2:33" x14ac:dyDescent="0.3">
      <c r="B63" s="25" t="s">
        <v>4</v>
      </c>
      <c r="C63" s="22">
        <v>2</v>
      </c>
      <c r="D63" s="22">
        <v>2025</v>
      </c>
      <c r="E63" s="41">
        <v>1</v>
      </c>
      <c r="F63" s="42">
        <v>0</v>
      </c>
      <c r="G63" s="42">
        <f>I62*$C$42</f>
        <v>450240000</v>
      </c>
      <c r="H63" s="42">
        <f>F63-G63</f>
        <v>-450240000</v>
      </c>
      <c r="I63" s="43">
        <f>I62-H63</f>
        <v>3250240000</v>
      </c>
      <c r="J63" s="22">
        <v>2026</v>
      </c>
      <c r="K63" s="41">
        <v>1</v>
      </c>
      <c r="L63" s="42">
        <v>0</v>
      </c>
      <c r="M63" s="42">
        <f>O62*$C$42</f>
        <v>450240000</v>
      </c>
      <c r="N63" s="42">
        <f>L63-M63</f>
        <v>-450240000</v>
      </c>
      <c r="O63" s="42">
        <f>O62-N63</f>
        <v>3250240000</v>
      </c>
      <c r="P63" s="22">
        <v>2027</v>
      </c>
      <c r="Q63" s="41">
        <v>1</v>
      </c>
      <c r="R63" s="42">
        <v>0</v>
      </c>
      <c r="S63" s="42">
        <f>U62*$C$42</f>
        <v>450240000</v>
      </c>
      <c r="T63" s="42">
        <f>R63-S63</f>
        <v>-450240000</v>
      </c>
      <c r="U63" s="42">
        <f>U62-T63</f>
        <v>3250240000</v>
      </c>
      <c r="V63" s="22">
        <v>2028</v>
      </c>
      <c r="W63" s="41">
        <v>1</v>
      </c>
      <c r="X63" s="42">
        <v>0</v>
      </c>
      <c r="Y63" s="42">
        <f>AA62*$C$42</f>
        <v>450240000</v>
      </c>
      <c r="Z63" s="42">
        <f>X63-Y63</f>
        <v>-450240000</v>
      </c>
      <c r="AA63" s="42">
        <f>AA62-Z63</f>
        <v>3250240000</v>
      </c>
      <c r="AB63" s="22">
        <v>2029</v>
      </c>
      <c r="AC63" s="41">
        <v>1</v>
      </c>
      <c r="AD63" s="42">
        <v>0</v>
      </c>
      <c r="AE63" s="42">
        <f>AG62*$C$42</f>
        <v>450240000</v>
      </c>
      <c r="AF63" s="42">
        <f>AD63-AE63</f>
        <v>-450240000</v>
      </c>
      <c r="AG63" s="43">
        <f>AG62-AF63</f>
        <v>3250240000</v>
      </c>
    </row>
    <row r="64" spans="2:33" x14ac:dyDescent="0.3">
      <c r="B64" s="44" t="s">
        <v>85</v>
      </c>
      <c r="C64" s="45">
        <f>FV(C62,C63,,-C61)</f>
        <v>3772878592.0000005</v>
      </c>
      <c r="D64" s="22">
        <v>2026</v>
      </c>
      <c r="E64" s="41">
        <v>2</v>
      </c>
      <c r="F64" s="42">
        <v>0</v>
      </c>
      <c r="G64" s="42">
        <f t="shared" ref="G64" si="66">I63*$C$42</f>
        <v>522638592</v>
      </c>
      <c r="H64" s="42">
        <f>F64-G64</f>
        <v>-522638592</v>
      </c>
      <c r="I64" s="43">
        <f>I63-H64</f>
        <v>3772878592</v>
      </c>
      <c r="J64" s="22">
        <v>2027</v>
      </c>
      <c r="K64" s="41">
        <v>2</v>
      </c>
      <c r="L64" s="42">
        <v>0</v>
      </c>
      <c r="M64" s="42">
        <f t="shared" ref="M64" si="67">O63*$C$42</f>
        <v>522638592</v>
      </c>
      <c r="N64" s="42">
        <f>L64-M64</f>
        <v>-522638592</v>
      </c>
      <c r="O64" s="42">
        <f>O63-N64</f>
        <v>3772878592</v>
      </c>
      <c r="P64" s="22">
        <v>2028</v>
      </c>
      <c r="Q64" s="41">
        <v>2</v>
      </c>
      <c r="R64" s="42">
        <v>0</v>
      </c>
      <c r="S64" s="42">
        <f t="shared" ref="S64" si="68">U63*$C$42</f>
        <v>522638592</v>
      </c>
      <c r="T64" s="42">
        <f>R64-S64</f>
        <v>-522638592</v>
      </c>
      <c r="U64" s="42">
        <f>U63-T64</f>
        <v>3772878592</v>
      </c>
      <c r="V64" s="22">
        <v>2029</v>
      </c>
      <c r="W64" s="41">
        <v>2</v>
      </c>
      <c r="X64" s="42">
        <v>0</v>
      </c>
      <c r="Y64" s="42">
        <f t="shared" ref="Y64" si="69">AA63*$C$42</f>
        <v>522638592</v>
      </c>
      <c r="Z64" s="42">
        <f>X64-Y64</f>
        <v>-522638592</v>
      </c>
      <c r="AA64" s="42">
        <f>AA63-Z64</f>
        <v>3772878592</v>
      </c>
      <c r="AB64" s="22">
        <v>2030</v>
      </c>
      <c r="AC64" s="41">
        <v>2</v>
      </c>
      <c r="AD64" s="42">
        <v>0</v>
      </c>
      <c r="AE64" s="42">
        <f t="shared" ref="AE64" si="70">AG63*$C$42</f>
        <v>522638592</v>
      </c>
      <c r="AF64" s="42">
        <f>AD64-AE64</f>
        <v>-522638592</v>
      </c>
      <c r="AG64" s="43">
        <f>AG63-AF64</f>
        <v>3772878592</v>
      </c>
    </row>
    <row r="65" spans="2:33" x14ac:dyDescent="0.3">
      <c r="B65" s="25" t="s">
        <v>4</v>
      </c>
      <c r="C65" s="22">
        <v>10</v>
      </c>
      <c r="D65" s="22">
        <v>2027</v>
      </c>
      <c r="E65" s="41">
        <v>3</v>
      </c>
      <c r="F65" s="42">
        <f>$C$66</f>
        <v>782938929.35929</v>
      </c>
      <c r="G65" s="42">
        <f>I64*$C$42</f>
        <v>606678877.59360003</v>
      </c>
      <c r="H65" s="42">
        <f>F65-G65</f>
        <v>176260051.76568997</v>
      </c>
      <c r="I65" s="43">
        <f>I64-H65</f>
        <v>3596618540.2343102</v>
      </c>
      <c r="J65" s="22">
        <v>2028</v>
      </c>
      <c r="K65" s="41">
        <v>3</v>
      </c>
      <c r="L65" s="42">
        <f>$C$66</f>
        <v>782938929.35929</v>
      </c>
      <c r="M65" s="42">
        <f>O64*$C$42</f>
        <v>606678877.59360003</v>
      </c>
      <c r="N65" s="42">
        <f>L65-M65</f>
        <v>176260051.76568997</v>
      </c>
      <c r="O65" s="42">
        <f>O64-N65</f>
        <v>3596618540.2343102</v>
      </c>
      <c r="P65" s="22">
        <v>2029</v>
      </c>
      <c r="Q65" s="41">
        <v>3</v>
      </c>
      <c r="R65" s="42">
        <f>$C$66</f>
        <v>782938929.35929</v>
      </c>
      <c r="S65" s="42">
        <f>U64*$C$42</f>
        <v>606678877.59360003</v>
      </c>
      <c r="T65" s="42">
        <f>R65-S65</f>
        <v>176260051.76568997</v>
      </c>
      <c r="U65" s="42">
        <f>U64-T65</f>
        <v>3596618540.2343102</v>
      </c>
      <c r="V65" s="22">
        <v>2030</v>
      </c>
      <c r="W65" s="41">
        <v>3</v>
      </c>
      <c r="X65" s="42">
        <f>$C$66</f>
        <v>782938929.35929</v>
      </c>
      <c r="Y65" s="42">
        <f>AA64*$C$42</f>
        <v>606678877.59360003</v>
      </c>
      <c r="Z65" s="42">
        <f>X65-Y65</f>
        <v>176260051.76568997</v>
      </c>
      <c r="AA65" s="42">
        <f>AA64-Z65</f>
        <v>3596618540.2343102</v>
      </c>
      <c r="AB65" s="22">
        <v>2031</v>
      </c>
      <c r="AC65" s="41">
        <v>3</v>
      </c>
      <c r="AD65" s="42">
        <f>$C$66</f>
        <v>782938929.35929</v>
      </c>
      <c r="AE65" s="42">
        <f>AG64*$C$42</f>
        <v>606678877.59360003</v>
      </c>
      <c r="AF65" s="42">
        <f>AD65-AE65</f>
        <v>176260051.76568997</v>
      </c>
      <c r="AG65" s="43">
        <f>AG64-AF65</f>
        <v>3596618540.2343102</v>
      </c>
    </row>
    <row r="66" spans="2:33" x14ac:dyDescent="0.3">
      <c r="B66" s="44" t="s">
        <v>5</v>
      </c>
      <c r="C66" s="45">
        <f>PMT(C62,C65,-C64)</f>
        <v>782938929.35929</v>
      </c>
      <c r="D66" s="22">
        <v>2028</v>
      </c>
      <c r="E66" s="41">
        <v>4</v>
      </c>
      <c r="F66" s="42">
        <f t="shared" ref="F66:F74" si="71">$C$66</f>
        <v>782938929.35929</v>
      </c>
      <c r="G66" s="42">
        <f t="shared" ref="G66:G74" si="72">I65*$C$42</f>
        <v>578336261.26967704</v>
      </c>
      <c r="H66" s="42">
        <f t="shared" ref="H66:H74" si="73">F66-G66</f>
        <v>204602668.08961296</v>
      </c>
      <c r="I66" s="43">
        <f t="shared" ref="I66:I74" si="74">I65-H66</f>
        <v>3392015872.1446972</v>
      </c>
      <c r="J66" s="22">
        <v>2029</v>
      </c>
      <c r="K66" s="41">
        <v>4</v>
      </c>
      <c r="L66" s="42">
        <f t="shared" ref="L66:L74" si="75">$C$66</f>
        <v>782938929.35929</v>
      </c>
      <c r="M66" s="42">
        <f t="shared" ref="M66:M74" si="76">O65*$C$42</f>
        <v>578336261.26967704</v>
      </c>
      <c r="N66" s="42">
        <f t="shared" ref="N66:N74" si="77">L66-M66</f>
        <v>204602668.08961296</v>
      </c>
      <c r="O66" s="42">
        <f t="shared" ref="O66:O74" si="78">O65-N66</f>
        <v>3392015872.1446972</v>
      </c>
      <c r="P66" s="22">
        <v>2030</v>
      </c>
      <c r="Q66" s="41">
        <v>4</v>
      </c>
      <c r="R66" s="42">
        <f t="shared" ref="R66:R74" si="79">$C$66</f>
        <v>782938929.35929</v>
      </c>
      <c r="S66" s="42">
        <f t="shared" ref="S66:S74" si="80">U65*$C$42</f>
        <v>578336261.26967704</v>
      </c>
      <c r="T66" s="42">
        <f t="shared" ref="T66:T74" si="81">R66-S66</f>
        <v>204602668.08961296</v>
      </c>
      <c r="U66" s="42">
        <f t="shared" ref="U66:U74" si="82">U65-T66</f>
        <v>3392015872.1446972</v>
      </c>
      <c r="V66" s="22">
        <v>2031</v>
      </c>
      <c r="W66" s="41">
        <v>4</v>
      </c>
      <c r="X66" s="42">
        <f t="shared" ref="X66:X74" si="83">$C$66</f>
        <v>782938929.35929</v>
      </c>
      <c r="Y66" s="42">
        <f t="shared" ref="Y66:Y74" si="84">AA65*$C$42</f>
        <v>578336261.26967704</v>
      </c>
      <c r="Z66" s="42">
        <f t="shared" ref="Z66:Z74" si="85">X66-Y66</f>
        <v>204602668.08961296</v>
      </c>
      <c r="AA66" s="42">
        <f t="shared" ref="AA66:AA74" si="86">AA65-Z66</f>
        <v>3392015872.1446972</v>
      </c>
      <c r="AB66" s="22">
        <v>2032</v>
      </c>
      <c r="AC66" s="41">
        <v>4</v>
      </c>
      <c r="AD66" s="42">
        <f t="shared" ref="AD66:AD74" si="87">$C$66</f>
        <v>782938929.35929</v>
      </c>
      <c r="AE66" s="42">
        <f t="shared" ref="AE66:AE74" si="88">AG65*$C$42</f>
        <v>578336261.26967704</v>
      </c>
      <c r="AF66" s="42">
        <f t="shared" ref="AF66:AF74" si="89">AD66-AE66</f>
        <v>204602668.08961296</v>
      </c>
      <c r="AG66" s="43">
        <f t="shared" ref="AG66:AG74" si="90">AG65-AF66</f>
        <v>3392015872.1446972</v>
      </c>
    </row>
    <row r="67" spans="2:33" x14ac:dyDescent="0.3">
      <c r="B67" s="25"/>
      <c r="D67" s="22">
        <v>2029</v>
      </c>
      <c r="E67" s="41">
        <v>5</v>
      </c>
      <c r="F67" s="42">
        <f t="shared" si="71"/>
        <v>782938929.35929</v>
      </c>
      <c r="G67" s="42">
        <f t="shared" si="72"/>
        <v>545436152.24086726</v>
      </c>
      <c r="H67" s="42">
        <f t="shared" si="73"/>
        <v>237502777.11842275</v>
      </c>
      <c r="I67" s="43">
        <f t="shared" si="74"/>
        <v>3154513095.0262747</v>
      </c>
      <c r="J67" s="22">
        <v>2030</v>
      </c>
      <c r="K67" s="41">
        <v>5</v>
      </c>
      <c r="L67" s="42">
        <f t="shared" si="75"/>
        <v>782938929.35929</v>
      </c>
      <c r="M67" s="42">
        <f t="shared" si="76"/>
        <v>545436152.24086726</v>
      </c>
      <c r="N67" s="42">
        <f t="shared" si="77"/>
        <v>237502777.11842275</v>
      </c>
      <c r="O67" s="42">
        <f t="shared" si="78"/>
        <v>3154513095.0262747</v>
      </c>
      <c r="P67" s="22">
        <v>2031</v>
      </c>
      <c r="Q67" s="41">
        <v>5</v>
      </c>
      <c r="R67" s="42">
        <f t="shared" si="79"/>
        <v>782938929.35929</v>
      </c>
      <c r="S67" s="42">
        <f t="shared" si="80"/>
        <v>545436152.24086726</v>
      </c>
      <c r="T67" s="42">
        <f t="shared" si="81"/>
        <v>237502777.11842275</v>
      </c>
      <c r="U67" s="42">
        <f t="shared" si="82"/>
        <v>3154513095.0262747</v>
      </c>
      <c r="V67" s="22">
        <v>2032</v>
      </c>
      <c r="W67" s="41">
        <v>5</v>
      </c>
      <c r="X67" s="42">
        <f t="shared" si="83"/>
        <v>782938929.35929</v>
      </c>
      <c r="Y67" s="42">
        <f t="shared" si="84"/>
        <v>545436152.24086726</v>
      </c>
      <c r="Z67" s="42">
        <f t="shared" si="85"/>
        <v>237502777.11842275</v>
      </c>
      <c r="AA67" s="42">
        <f t="shared" si="86"/>
        <v>3154513095.0262747</v>
      </c>
      <c r="AB67" s="22">
        <v>2033</v>
      </c>
      <c r="AC67" s="41">
        <v>5</v>
      </c>
      <c r="AD67" s="42">
        <f t="shared" si="87"/>
        <v>782938929.35929</v>
      </c>
      <c r="AE67" s="42">
        <f t="shared" si="88"/>
        <v>545436152.24086726</v>
      </c>
      <c r="AF67" s="42">
        <f t="shared" si="89"/>
        <v>237502777.11842275</v>
      </c>
      <c r="AG67" s="43">
        <f t="shared" si="90"/>
        <v>3154513095.0262747</v>
      </c>
    </row>
    <row r="68" spans="2:33" x14ac:dyDescent="0.3">
      <c r="B68" s="25"/>
      <c r="D68" s="22">
        <v>2030</v>
      </c>
      <c r="E68" s="41">
        <v>6</v>
      </c>
      <c r="F68" s="42">
        <f t="shared" si="71"/>
        <v>782938929.35929</v>
      </c>
      <c r="G68" s="42">
        <f t="shared" si="72"/>
        <v>507245705.68022496</v>
      </c>
      <c r="H68" s="42">
        <f t="shared" si="73"/>
        <v>275693223.67906505</v>
      </c>
      <c r="I68" s="43">
        <f t="shared" si="74"/>
        <v>2878819871.3472095</v>
      </c>
      <c r="J68" s="22">
        <v>2031</v>
      </c>
      <c r="K68" s="41">
        <v>6</v>
      </c>
      <c r="L68" s="42">
        <f t="shared" si="75"/>
        <v>782938929.35929</v>
      </c>
      <c r="M68" s="42">
        <f t="shared" si="76"/>
        <v>507245705.68022496</v>
      </c>
      <c r="N68" s="42">
        <f t="shared" si="77"/>
        <v>275693223.67906505</v>
      </c>
      <c r="O68" s="42">
        <f t="shared" si="78"/>
        <v>2878819871.3472095</v>
      </c>
      <c r="P68" s="22">
        <v>2032</v>
      </c>
      <c r="Q68" s="41">
        <v>6</v>
      </c>
      <c r="R68" s="42">
        <f t="shared" si="79"/>
        <v>782938929.35929</v>
      </c>
      <c r="S68" s="42">
        <f t="shared" si="80"/>
        <v>507245705.68022496</v>
      </c>
      <c r="T68" s="42">
        <f t="shared" si="81"/>
        <v>275693223.67906505</v>
      </c>
      <c r="U68" s="42">
        <f t="shared" si="82"/>
        <v>2878819871.3472095</v>
      </c>
      <c r="V68" s="22">
        <v>2033</v>
      </c>
      <c r="W68" s="41">
        <v>6</v>
      </c>
      <c r="X68" s="42">
        <f t="shared" si="83"/>
        <v>782938929.35929</v>
      </c>
      <c r="Y68" s="42">
        <f t="shared" si="84"/>
        <v>507245705.68022496</v>
      </c>
      <c r="Z68" s="42">
        <f t="shared" si="85"/>
        <v>275693223.67906505</v>
      </c>
      <c r="AA68" s="42">
        <f t="shared" si="86"/>
        <v>2878819871.3472095</v>
      </c>
      <c r="AB68" s="22">
        <v>2034</v>
      </c>
      <c r="AC68" s="41">
        <v>6</v>
      </c>
      <c r="AD68" s="42">
        <f t="shared" si="87"/>
        <v>782938929.35929</v>
      </c>
      <c r="AE68" s="42">
        <f t="shared" si="88"/>
        <v>507245705.68022496</v>
      </c>
      <c r="AF68" s="42">
        <f t="shared" si="89"/>
        <v>275693223.67906505</v>
      </c>
      <c r="AG68" s="43">
        <f t="shared" si="90"/>
        <v>2878819871.3472095</v>
      </c>
    </row>
    <row r="69" spans="2:33" x14ac:dyDescent="0.3">
      <c r="B69" s="25"/>
      <c r="D69" s="22">
        <v>2031</v>
      </c>
      <c r="E69" s="41">
        <v>7</v>
      </c>
      <c r="F69" s="42">
        <f t="shared" si="71"/>
        <v>782938929.35929</v>
      </c>
      <c r="G69" s="42">
        <f t="shared" si="72"/>
        <v>462914235.31263125</v>
      </c>
      <c r="H69" s="42">
        <f t="shared" si="73"/>
        <v>320024694.04665875</v>
      </c>
      <c r="I69" s="43">
        <f t="shared" si="74"/>
        <v>2558795177.3005505</v>
      </c>
      <c r="J69" s="22">
        <v>2032</v>
      </c>
      <c r="K69" s="41">
        <v>7</v>
      </c>
      <c r="L69" s="42">
        <f t="shared" si="75"/>
        <v>782938929.35929</v>
      </c>
      <c r="M69" s="42">
        <f t="shared" si="76"/>
        <v>462914235.31263125</v>
      </c>
      <c r="N69" s="42">
        <f t="shared" si="77"/>
        <v>320024694.04665875</v>
      </c>
      <c r="O69" s="42">
        <f t="shared" si="78"/>
        <v>2558795177.3005505</v>
      </c>
      <c r="P69" s="22">
        <v>2033</v>
      </c>
      <c r="Q69" s="41">
        <v>7</v>
      </c>
      <c r="R69" s="42">
        <f t="shared" si="79"/>
        <v>782938929.35929</v>
      </c>
      <c r="S69" s="42">
        <f t="shared" si="80"/>
        <v>462914235.31263125</v>
      </c>
      <c r="T69" s="42">
        <f t="shared" si="81"/>
        <v>320024694.04665875</v>
      </c>
      <c r="U69" s="42">
        <f t="shared" si="82"/>
        <v>2558795177.3005505</v>
      </c>
      <c r="V69" s="22">
        <v>2034</v>
      </c>
      <c r="W69" s="41">
        <v>7</v>
      </c>
      <c r="X69" s="42">
        <f t="shared" si="83"/>
        <v>782938929.35929</v>
      </c>
      <c r="Y69" s="42">
        <f t="shared" si="84"/>
        <v>462914235.31263125</v>
      </c>
      <c r="Z69" s="42">
        <f t="shared" si="85"/>
        <v>320024694.04665875</v>
      </c>
      <c r="AA69" s="42">
        <f t="shared" si="86"/>
        <v>2558795177.3005505</v>
      </c>
      <c r="AB69" s="22">
        <v>2035</v>
      </c>
      <c r="AC69" s="41">
        <v>7</v>
      </c>
      <c r="AD69" s="42">
        <f t="shared" si="87"/>
        <v>782938929.35929</v>
      </c>
      <c r="AE69" s="42">
        <f t="shared" si="88"/>
        <v>462914235.31263125</v>
      </c>
      <c r="AF69" s="42">
        <f t="shared" si="89"/>
        <v>320024694.04665875</v>
      </c>
      <c r="AG69" s="43">
        <f t="shared" si="90"/>
        <v>2558795177.3005505</v>
      </c>
    </row>
    <row r="70" spans="2:33" x14ac:dyDescent="0.3">
      <c r="B70" s="25"/>
      <c r="D70" s="22">
        <v>2032</v>
      </c>
      <c r="E70" s="41">
        <v>8</v>
      </c>
      <c r="F70" s="42">
        <f t="shared" si="71"/>
        <v>782938929.35929</v>
      </c>
      <c r="G70" s="42">
        <f t="shared" si="72"/>
        <v>411454264.50992852</v>
      </c>
      <c r="H70" s="42">
        <f t="shared" si="73"/>
        <v>371484664.84936148</v>
      </c>
      <c r="I70" s="43">
        <f t="shared" si="74"/>
        <v>2187310512.451189</v>
      </c>
      <c r="J70" s="22">
        <v>2033</v>
      </c>
      <c r="K70" s="41">
        <v>8</v>
      </c>
      <c r="L70" s="42">
        <f t="shared" si="75"/>
        <v>782938929.35929</v>
      </c>
      <c r="M70" s="42">
        <f t="shared" si="76"/>
        <v>411454264.50992852</v>
      </c>
      <c r="N70" s="42">
        <f t="shared" si="77"/>
        <v>371484664.84936148</v>
      </c>
      <c r="O70" s="42">
        <f t="shared" si="78"/>
        <v>2187310512.451189</v>
      </c>
      <c r="P70" s="22">
        <v>2034</v>
      </c>
      <c r="Q70" s="41">
        <v>8</v>
      </c>
      <c r="R70" s="42">
        <f t="shared" si="79"/>
        <v>782938929.35929</v>
      </c>
      <c r="S70" s="42">
        <f t="shared" si="80"/>
        <v>411454264.50992852</v>
      </c>
      <c r="T70" s="42">
        <f t="shared" si="81"/>
        <v>371484664.84936148</v>
      </c>
      <c r="U70" s="42">
        <f t="shared" si="82"/>
        <v>2187310512.451189</v>
      </c>
      <c r="V70" s="22">
        <v>2035</v>
      </c>
      <c r="W70" s="41">
        <v>8</v>
      </c>
      <c r="X70" s="42">
        <f t="shared" si="83"/>
        <v>782938929.35929</v>
      </c>
      <c r="Y70" s="42">
        <f t="shared" si="84"/>
        <v>411454264.50992852</v>
      </c>
      <c r="Z70" s="42">
        <f t="shared" si="85"/>
        <v>371484664.84936148</v>
      </c>
      <c r="AA70" s="42">
        <f t="shared" si="86"/>
        <v>2187310512.451189</v>
      </c>
      <c r="AB70" s="22">
        <v>2036</v>
      </c>
      <c r="AC70" s="41">
        <v>8</v>
      </c>
      <c r="AD70" s="42">
        <f t="shared" si="87"/>
        <v>782938929.35929</v>
      </c>
      <c r="AE70" s="42">
        <f t="shared" si="88"/>
        <v>411454264.50992852</v>
      </c>
      <c r="AF70" s="42">
        <f t="shared" si="89"/>
        <v>371484664.84936148</v>
      </c>
      <c r="AG70" s="43">
        <f t="shared" si="90"/>
        <v>2187310512.451189</v>
      </c>
    </row>
    <row r="71" spans="2:33" x14ac:dyDescent="0.3">
      <c r="B71" s="25"/>
      <c r="D71" s="22">
        <v>2033</v>
      </c>
      <c r="E71" s="41">
        <v>9</v>
      </c>
      <c r="F71" s="42">
        <f t="shared" si="71"/>
        <v>782938929.35929</v>
      </c>
      <c r="G71" s="42">
        <f t="shared" si="72"/>
        <v>351719530.40215117</v>
      </c>
      <c r="H71" s="42">
        <f t="shared" si="73"/>
        <v>431219398.95713884</v>
      </c>
      <c r="I71" s="43">
        <f t="shared" si="74"/>
        <v>1756091113.4940503</v>
      </c>
      <c r="J71" s="22">
        <v>2034</v>
      </c>
      <c r="K71" s="41">
        <v>9</v>
      </c>
      <c r="L71" s="42">
        <f t="shared" si="75"/>
        <v>782938929.35929</v>
      </c>
      <c r="M71" s="42">
        <f t="shared" si="76"/>
        <v>351719530.40215117</v>
      </c>
      <c r="N71" s="42">
        <f t="shared" si="77"/>
        <v>431219398.95713884</v>
      </c>
      <c r="O71" s="42">
        <f t="shared" si="78"/>
        <v>1756091113.4940503</v>
      </c>
      <c r="P71" s="22">
        <v>2035</v>
      </c>
      <c r="Q71" s="41">
        <v>9</v>
      </c>
      <c r="R71" s="42">
        <f t="shared" si="79"/>
        <v>782938929.35929</v>
      </c>
      <c r="S71" s="42">
        <f t="shared" si="80"/>
        <v>351719530.40215117</v>
      </c>
      <c r="T71" s="42">
        <f t="shared" si="81"/>
        <v>431219398.95713884</v>
      </c>
      <c r="U71" s="42">
        <f t="shared" si="82"/>
        <v>1756091113.4940503</v>
      </c>
      <c r="V71" s="22">
        <v>2036</v>
      </c>
      <c r="W71" s="41">
        <v>9</v>
      </c>
      <c r="X71" s="42">
        <f t="shared" si="83"/>
        <v>782938929.35929</v>
      </c>
      <c r="Y71" s="42">
        <f t="shared" si="84"/>
        <v>351719530.40215117</v>
      </c>
      <c r="Z71" s="42">
        <f t="shared" si="85"/>
        <v>431219398.95713884</v>
      </c>
      <c r="AA71" s="42">
        <f t="shared" si="86"/>
        <v>1756091113.4940503</v>
      </c>
      <c r="AB71" s="22">
        <v>2037</v>
      </c>
      <c r="AC71" s="41">
        <v>9</v>
      </c>
      <c r="AD71" s="42">
        <f t="shared" si="87"/>
        <v>782938929.35929</v>
      </c>
      <c r="AE71" s="42">
        <f t="shared" si="88"/>
        <v>351719530.40215117</v>
      </c>
      <c r="AF71" s="42">
        <f t="shared" si="89"/>
        <v>431219398.95713884</v>
      </c>
      <c r="AG71" s="43">
        <f t="shared" si="90"/>
        <v>1756091113.4940503</v>
      </c>
    </row>
    <row r="72" spans="2:33" x14ac:dyDescent="0.3">
      <c r="B72" s="25"/>
      <c r="D72" s="22">
        <v>2034</v>
      </c>
      <c r="E72" s="41">
        <v>10</v>
      </c>
      <c r="F72" s="42">
        <f t="shared" si="71"/>
        <v>782938929.35929</v>
      </c>
      <c r="G72" s="42">
        <f t="shared" si="72"/>
        <v>282379451.04984325</v>
      </c>
      <c r="H72" s="42">
        <f t="shared" si="73"/>
        <v>500559478.30944675</v>
      </c>
      <c r="I72" s="43">
        <f t="shared" si="74"/>
        <v>1255531635.1846035</v>
      </c>
      <c r="J72" s="22">
        <v>2035</v>
      </c>
      <c r="K72" s="41">
        <v>10</v>
      </c>
      <c r="L72" s="42">
        <f t="shared" si="75"/>
        <v>782938929.35929</v>
      </c>
      <c r="M72" s="42">
        <f t="shared" si="76"/>
        <v>282379451.04984325</v>
      </c>
      <c r="N72" s="42">
        <f t="shared" si="77"/>
        <v>500559478.30944675</v>
      </c>
      <c r="O72" s="42">
        <f t="shared" si="78"/>
        <v>1255531635.1846035</v>
      </c>
      <c r="P72" s="22">
        <v>2036</v>
      </c>
      <c r="Q72" s="41">
        <v>10</v>
      </c>
      <c r="R72" s="42">
        <f t="shared" si="79"/>
        <v>782938929.35929</v>
      </c>
      <c r="S72" s="42">
        <f t="shared" si="80"/>
        <v>282379451.04984325</v>
      </c>
      <c r="T72" s="42">
        <f t="shared" si="81"/>
        <v>500559478.30944675</v>
      </c>
      <c r="U72" s="42">
        <f t="shared" si="82"/>
        <v>1255531635.1846035</v>
      </c>
      <c r="V72" s="22">
        <v>2037</v>
      </c>
      <c r="W72" s="41">
        <v>10</v>
      </c>
      <c r="X72" s="42">
        <f t="shared" si="83"/>
        <v>782938929.35929</v>
      </c>
      <c r="Y72" s="42">
        <f t="shared" si="84"/>
        <v>282379451.04984325</v>
      </c>
      <c r="Z72" s="42">
        <f t="shared" si="85"/>
        <v>500559478.30944675</v>
      </c>
      <c r="AA72" s="42">
        <f t="shared" si="86"/>
        <v>1255531635.1846035</v>
      </c>
      <c r="AB72" s="22">
        <v>2038</v>
      </c>
      <c r="AC72" s="41">
        <v>10</v>
      </c>
      <c r="AD72" s="42">
        <f t="shared" si="87"/>
        <v>782938929.35929</v>
      </c>
      <c r="AE72" s="42">
        <f t="shared" si="88"/>
        <v>282379451.04984325</v>
      </c>
      <c r="AF72" s="42">
        <f t="shared" si="89"/>
        <v>500559478.30944675</v>
      </c>
      <c r="AG72" s="43">
        <f t="shared" si="90"/>
        <v>1255531635.1846035</v>
      </c>
    </row>
    <row r="73" spans="2:33" x14ac:dyDescent="0.3">
      <c r="B73" s="25"/>
      <c r="D73" s="22">
        <v>2035</v>
      </c>
      <c r="E73" s="41">
        <v>11</v>
      </c>
      <c r="F73" s="42">
        <f t="shared" si="71"/>
        <v>782938929.35929</v>
      </c>
      <c r="G73" s="42">
        <f t="shared" si="72"/>
        <v>201889486.93768424</v>
      </c>
      <c r="H73" s="42">
        <f t="shared" si="73"/>
        <v>581049442.42160583</v>
      </c>
      <c r="I73" s="43">
        <f t="shared" si="74"/>
        <v>674482192.76299763</v>
      </c>
      <c r="J73" s="22">
        <v>2036</v>
      </c>
      <c r="K73" s="41">
        <v>11</v>
      </c>
      <c r="L73" s="42">
        <f t="shared" si="75"/>
        <v>782938929.35929</v>
      </c>
      <c r="M73" s="42">
        <f t="shared" si="76"/>
        <v>201889486.93768424</v>
      </c>
      <c r="N73" s="42">
        <f t="shared" si="77"/>
        <v>581049442.42160583</v>
      </c>
      <c r="O73" s="42">
        <f t="shared" si="78"/>
        <v>674482192.76299763</v>
      </c>
      <c r="P73" s="22">
        <v>2037</v>
      </c>
      <c r="Q73" s="41">
        <v>11</v>
      </c>
      <c r="R73" s="42">
        <f t="shared" si="79"/>
        <v>782938929.35929</v>
      </c>
      <c r="S73" s="42">
        <f t="shared" si="80"/>
        <v>201889486.93768424</v>
      </c>
      <c r="T73" s="42">
        <f t="shared" si="81"/>
        <v>581049442.42160583</v>
      </c>
      <c r="U73" s="42">
        <f t="shared" si="82"/>
        <v>674482192.76299763</v>
      </c>
      <c r="V73" s="22">
        <v>2038</v>
      </c>
      <c r="W73" s="41">
        <v>11</v>
      </c>
      <c r="X73" s="42">
        <f t="shared" si="83"/>
        <v>782938929.35929</v>
      </c>
      <c r="Y73" s="42">
        <f t="shared" si="84"/>
        <v>201889486.93768424</v>
      </c>
      <c r="Z73" s="42">
        <f t="shared" si="85"/>
        <v>581049442.42160583</v>
      </c>
      <c r="AA73" s="42">
        <f t="shared" si="86"/>
        <v>674482192.76299763</v>
      </c>
      <c r="AB73" s="22">
        <v>2039</v>
      </c>
      <c r="AC73" s="41">
        <v>11</v>
      </c>
      <c r="AD73" s="42">
        <f t="shared" si="87"/>
        <v>782938929.35929</v>
      </c>
      <c r="AE73" s="42">
        <f t="shared" si="88"/>
        <v>201889486.93768424</v>
      </c>
      <c r="AF73" s="42">
        <f t="shared" si="89"/>
        <v>581049442.42160583</v>
      </c>
      <c r="AG73" s="43">
        <f t="shared" si="90"/>
        <v>674482192.76299763</v>
      </c>
    </row>
    <row r="74" spans="2:33" ht="15" thickBot="1" x14ac:dyDescent="0.35">
      <c r="B74" s="27"/>
      <c r="C74" s="47"/>
      <c r="D74" s="47">
        <v>2036</v>
      </c>
      <c r="E74" s="50">
        <v>12</v>
      </c>
      <c r="F74" s="52">
        <f t="shared" si="71"/>
        <v>782938929.35929</v>
      </c>
      <c r="G74" s="52">
        <f t="shared" si="72"/>
        <v>108456736.59629002</v>
      </c>
      <c r="H74" s="52">
        <f t="shared" si="73"/>
        <v>674482192.76300001</v>
      </c>
      <c r="I74" s="53">
        <f t="shared" si="74"/>
        <v>-2.384185791015625E-6</v>
      </c>
      <c r="J74" s="22">
        <v>2037</v>
      </c>
      <c r="K74" s="41">
        <v>12</v>
      </c>
      <c r="L74" s="42">
        <f t="shared" si="75"/>
        <v>782938929.35929</v>
      </c>
      <c r="M74" s="42">
        <f t="shared" si="76"/>
        <v>108456736.59629002</v>
      </c>
      <c r="N74" s="42">
        <f t="shared" si="77"/>
        <v>674482192.76300001</v>
      </c>
      <c r="O74" s="42">
        <f t="shared" si="78"/>
        <v>-2.384185791015625E-6</v>
      </c>
      <c r="P74" s="22">
        <v>2038</v>
      </c>
      <c r="Q74" s="41">
        <v>12</v>
      </c>
      <c r="R74" s="42">
        <f t="shared" si="79"/>
        <v>782938929.35929</v>
      </c>
      <c r="S74" s="42">
        <f t="shared" si="80"/>
        <v>108456736.59629002</v>
      </c>
      <c r="T74" s="42">
        <f t="shared" si="81"/>
        <v>674482192.76300001</v>
      </c>
      <c r="U74" s="42">
        <f t="shared" si="82"/>
        <v>-2.384185791015625E-6</v>
      </c>
      <c r="V74" s="22">
        <v>2039</v>
      </c>
      <c r="W74" s="41">
        <v>12</v>
      </c>
      <c r="X74" s="42">
        <f t="shared" si="83"/>
        <v>782938929.35929</v>
      </c>
      <c r="Y74" s="42">
        <f t="shared" si="84"/>
        <v>108456736.59629002</v>
      </c>
      <c r="Z74" s="42">
        <f t="shared" si="85"/>
        <v>674482192.76300001</v>
      </c>
      <c r="AA74" s="42">
        <f t="shared" si="86"/>
        <v>-2.384185791015625E-6</v>
      </c>
      <c r="AB74" s="22">
        <v>2040</v>
      </c>
      <c r="AC74" s="41">
        <v>12</v>
      </c>
      <c r="AD74" s="42">
        <f t="shared" si="87"/>
        <v>782938929.35929</v>
      </c>
      <c r="AE74" s="42">
        <f t="shared" si="88"/>
        <v>108456736.59629002</v>
      </c>
      <c r="AF74" s="42">
        <f t="shared" si="89"/>
        <v>674482192.76300001</v>
      </c>
      <c r="AG74" s="43">
        <f t="shared" si="90"/>
        <v>-2.384185791015625E-6</v>
      </c>
    </row>
    <row r="75" spans="2:33" ht="15" thickBot="1" x14ac:dyDescent="0.35">
      <c r="B75" s="25"/>
      <c r="I75" s="41"/>
      <c r="U75" s="65">
        <f>+C61*5</f>
        <v>14000000000</v>
      </c>
      <c r="AG75" s="46"/>
    </row>
    <row r="76" spans="2:33" x14ac:dyDescent="0.3">
      <c r="B76" s="62"/>
      <c r="C76" s="36" t="s">
        <v>87</v>
      </c>
      <c r="D76" s="36">
        <v>2024</v>
      </c>
      <c r="E76" s="36">
        <v>2025</v>
      </c>
      <c r="F76" s="36">
        <v>2026</v>
      </c>
      <c r="G76" s="36">
        <v>2027</v>
      </c>
      <c r="H76" s="36">
        <v>2028</v>
      </c>
      <c r="I76" s="36">
        <v>2029</v>
      </c>
      <c r="J76" s="36">
        <v>2030</v>
      </c>
      <c r="K76" s="36">
        <v>2031</v>
      </c>
      <c r="L76" s="36">
        <v>2032</v>
      </c>
      <c r="M76" s="36">
        <v>2033</v>
      </c>
      <c r="N76" s="36">
        <v>2034</v>
      </c>
      <c r="O76" s="36">
        <v>2035</v>
      </c>
      <c r="P76" s="36">
        <v>2036</v>
      </c>
      <c r="Q76" s="36">
        <v>2037</v>
      </c>
      <c r="R76" s="36">
        <v>2038</v>
      </c>
      <c r="S76" s="36">
        <v>2039</v>
      </c>
      <c r="T76" s="36">
        <v>2040</v>
      </c>
      <c r="U76" s="63" t="s">
        <v>86</v>
      </c>
      <c r="V76" s="68">
        <f>+U77/U75</f>
        <v>2.796210461997465</v>
      </c>
      <c r="AG76" s="46"/>
    </row>
    <row r="77" spans="2:33" ht="15" thickBot="1" x14ac:dyDescent="0.35">
      <c r="B77" s="98" t="s">
        <v>94</v>
      </c>
      <c r="C77" s="99"/>
      <c r="D77" s="47">
        <f>+F62</f>
        <v>0</v>
      </c>
      <c r="E77" s="48">
        <f>+F63+L62</f>
        <v>0</v>
      </c>
      <c r="F77" s="48">
        <f>+F64+L63+R62</f>
        <v>0</v>
      </c>
      <c r="G77" s="48">
        <f>+F65+L64+R63+X62</f>
        <v>782938929.35929</v>
      </c>
      <c r="H77" s="48">
        <f>+F66+L65+R64+X63+AD62</f>
        <v>1565877858.71858</v>
      </c>
      <c r="I77" s="48">
        <f>+F67+L66+R65+X64+AD63</f>
        <v>2348816788.0778699</v>
      </c>
      <c r="J77" s="48">
        <f>+F68+L67+R66+X65+AD64</f>
        <v>3131755717.43716</v>
      </c>
      <c r="K77" s="48">
        <f>+F69+L68+R67+X66+AD65</f>
        <v>3914694646.7964501</v>
      </c>
      <c r="L77" s="48">
        <f>+F70+L69+R68+X67+AD66</f>
        <v>3914694646.7964501</v>
      </c>
      <c r="M77" s="48">
        <f>+F71+L70+R69+X68+AD67</f>
        <v>3914694646.7964501</v>
      </c>
      <c r="N77" s="48">
        <f>+F72+L71+R70+X69+AD68</f>
        <v>3914694646.7964501</v>
      </c>
      <c r="O77" s="48">
        <f>+F73+L72+R71+X70+AD69</f>
        <v>3914694646.7964501</v>
      </c>
      <c r="P77" s="48">
        <f>+F74+L73+R72+X71+AD70</f>
        <v>3914694646.7964501</v>
      </c>
      <c r="Q77" s="48">
        <f>+L74+R73+X72+AD71</f>
        <v>3131755717.43716</v>
      </c>
      <c r="R77" s="48">
        <f>+R74+X73+AD72</f>
        <v>2348816788.0778699</v>
      </c>
      <c r="S77" s="48">
        <f>+X74+AD73</f>
        <v>1565877858.71858</v>
      </c>
      <c r="T77" s="48">
        <f>+AD74</f>
        <v>782938929.35929</v>
      </c>
      <c r="U77" s="60">
        <f>SUM(D77:T77)</f>
        <v>39146946467.964508</v>
      </c>
      <c r="V77" s="66">
        <f>+U75/U77</f>
        <v>0.35762687165030232</v>
      </c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9"/>
    </row>
    <row r="79" spans="2:33" ht="15" thickBot="1" x14ac:dyDescent="0.35"/>
    <row r="80" spans="2:33" s="23" customFormat="1" ht="15" thickBot="1" x14ac:dyDescent="0.35">
      <c r="B80" s="95" t="s">
        <v>95</v>
      </c>
      <c r="C80" s="97"/>
      <c r="D80" s="54"/>
      <c r="E80" s="95">
        <v>2024</v>
      </c>
      <c r="F80" s="96"/>
      <c r="G80" s="96"/>
      <c r="H80" s="96"/>
      <c r="I80" s="97"/>
      <c r="J80" s="54"/>
      <c r="K80" s="95">
        <v>2025</v>
      </c>
      <c r="L80" s="96"/>
      <c r="M80" s="96"/>
      <c r="N80" s="96"/>
      <c r="O80" s="97"/>
      <c r="P80" s="54"/>
      <c r="Q80" s="95">
        <v>2026</v>
      </c>
      <c r="R80" s="96"/>
      <c r="S80" s="96"/>
      <c r="T80" s="96"/>
      <c r="U80" s="97"/>
      <c r="V80" s="54"/>
      <c r="W80" s="95">
        <v>2027</v>
      </c>
      <c r="X80" s="96"/>
      <c r="Y80" s="96"/>
      <c r="Z80" s="96"/>
      <c r="AA80" s="97"/>
      <c r="AB80" s="54"/>
      <c r="AC80" s="95">
        <v>2028</v>
      </c>
      <c r="AD80" s="96"/>
      <c r="AE80" s="96"/>
      <c r="AF80" s="96"/>
      <c r="AG80" s="97"/>
    </row>
    <row r="81" spans="2:33" x14ac:dyDescent="0.3">
      <c r="B81" s="25" t="s">
        <v>1</v>
      </c>
      <c r="C81" s="37">
        <v>2040000000</v>
      </c>
      <c r="D81" s="37"/>
      <c r="E81" s="38" t="s">
        <v>0</v>
      </c>
      <c r="F81" s="38" t="s">
        <v>23</v>
      </c>
      <c r="G81" s="38" t="s">
        <v>24</v>
      </c>
      <c r="H81" s="38" t="s">
        <v>25</v>
      </c>
      <c r="I81" s="39" t="s">
        <v>26</v>
      </c>
      <c r="K81" s="38" t="s">
        <v>0</v>
      </c>
      <c r="L81" s="38" t="s">
        <v>23</v>
      </c>
      <c r="M81" s="38" t="s">
        <v>24</v>
      </c>
      <c r="N81" s="38" t="s">
        <v>25</v>
      </c>
      <c r="O81" s="38" t="s">
        <v>26</v>
      </c>
      <c r="Q81" s="38" t="s">
        <v>0</v>
      </c>
      <c r="R81" s="38" t="s">
        <v>23</v>
      </c>
      <c r="S81" s="38" t="s">
        <v>24</v>
      </c>
      <c r="T81" s="38" t="s">
        <v>25</v>
      </c>
      <c r="U81" s="38" t="s">
        <v>26</v>
      </c>
      <c r="W81" s="38" t="s">
        <v>0</v>
      </c>
      <c r="X81" s="38" t="s">
        <v>23</v>
      </c>
      <c r="Y81" s="38" t="s">
        <v>24</v>
      </c>
      <c r="Z81" s="38" t="s">
        <v>25</v>
      </c>
      <c r="AA81" s="38" t="s">
        <v>26</v>
      </c>
      <c r="AC81" s="38" t="s">
        <v>0</v>
      </c>
      <c r="AD81" s="38" t="s">
        <v>23</v>
      </c>
      <c r="AE81" s="38" t="s">
        <v>24</v>
      </c>
      <c r="AF81" s="38" t="s">
        <v>25</v>
      </c>
      <c r="AG81" s="39" t="s">
        <v>26</v>
      </c>
    </row>
    <row r="82" spans="2:33" x14ac:dyDescent="0.3">
      <c r="B82" s="25" t="s">
        <v>22</v>
      </c>
      <c r="C82" s="40">
        <v>0.1608</v>
      </c>
      <c r="D82" s="22">
        <v>2024</v>
      </c>
      <c r="E82" s="41">
        <v>0</v>
      </c>
      <c r="F82" s="41"/>
      <c r="G82" s="41"/>
      <c r="H82" s="41"/>
      <c r="I82" s="43">
        <f>+C81</f>
        <v>2040000000</v>
      </c>
      <c r="J82" s="22">
        <v>2025</v>
      </c>
      <c r="K82" s="41">
        <v>0</v>
      </c>
      <c r="L82" s="41"/>
      <c r="M82" s="41"/>
      <c r="N82" s="41"/>
      <c r="O82" s="42">
        <f>+I82</f>
        <v>2040000000</v>
      </c>
      <c r="P82" s="22">
        <v>2026</v>
      </c>
      <c r="Q82" s="41">
        <v>0</v>
      </c>
      <c r="R82" s="41"/>
      <c r="S82" s="41"/>
      <c r="T82" s="41"/>
      <c r="U82" s="42">
        <f>+O82</f>
        <v>2040000000</v>
      </c>
      <c r="V82" s="22">
        <v>2027</v>
      </c>
      <c r="W82" s="41">
        <v>0</v>
      </c>
      <c r="X82" s="41"/>
      <c r="Y82" s="41"/>
      <c r="Z82" s="41"/>
      <c r="AA82" s="42">
        <f>+U82</f>
        <v>2040000000</v>
      </c>
      <c r="AB82" s="22">
        <v>2028</v>
      </c>
      <c r="AC82" s="41">
        <v>0</v>
      </c>
      <c r="AD82" s="41"/>
      <c r="AE82" s="41"/>
      <c r="AF82" s="41"/>
      <c r="AG82" s="43">
        <f>+AA82</f>
        <v>2040000000</v>
      </c>
    </row>
    <row r="83" spans="2:33" x14ac:dyDescent="0.3">
      <c r="B83" s="25" t="s">
        <v>4</v>
      </c>
      <c r="C83" s="22">
        <v>1</v>
      </c>
      <c r="D83" s="22">
        <v>2025</v>
      </c>
      <c r="E83" s="41">
        <v>1</v>
      </c>
      <c r="F83" s="42">
        <v>0</v>
      </c>
      <c r="G83" s="42">
        <f>I82*$C$82</f>
        <v>328032000</v>
      </c>
      <c r="H83" s="42">
        <f>F83-G83</f>
        <v>-328032000</v>
      </c>
      <c r="I83" s="43">
        <f>I82-H83</f>
        <v>2368032000</v>
      </c>
      <c r="J83" s="22">
        <v>2026</v>
      </c>
      <c r="K83" s="41">
        <v>1</v>
      </c>
      <c r="L83" s="42">
        <v>0</v>
      </c>
      <c r="M83" s="42">
        <f>O82*$C$82</f>
        <v>328032000</v>
      </c>
      <c r="N83" s="42">
        <f>L83-M83</f>
        <v>-328032000</v>
      </c>
      <c r="O83" s="42">
        <f>O82-N83</f>
        <v>2368032000</v>
      </c>
      <c r="P83" s="22">
        <v>2027</v>
      </c>
      <c r="Q83" s="41">
        <v>1</v>
      </c>
      <c r="R83" s="42">
        <v>0</v>
      </c>
      <c r="S83" s="42">
        <f>U82*$C$82</f>
        <v>328032000</v>
      </c>
      <c r="T83" s="42">
        <f>R83-S83</f>
        <v>-328032000</v>
      </c>
      <c r="U83" s="42">
        <f>U82-T83</f>
        <v>2368032000</v>
      </c>
      <c r="V83" s="22">
        <v>2028</v>
      </c>
      <c r="W83" s="41">
        <v>1</v>
      </c>
      <c r="X83" s="42">
        <v>0</v>
      </c>
      <c r="Y83" s="42">
        <f>AA82*$C$82</f>
        <v>328032000</v>
      </c>
      <c r="Z83" s="42">
        <f>X83-Y83</f>
        <v>-328032000</v>
      </c>
      <c r="AA83" s="42">
        <f>AA82-Z83</f>
        <v>2368032000</v>
      </c>
      <c r="AB83" s="22">
        <v>2029</v>
      </c>
      <c r="AC83" s="41">
        <v>1</v>
      </c>
      <c r="AD83" s="42">
        <v>0</v>
      </c>
      <c r="AE83" s="42">
        <f>AG82*$C$82</f>
        <v>328032000</v>
      </c>
      <c r="AF83" s="42">
        <f>AD83-AE83</f>
        <v>-328032000</v>
      </c>
      <c r="AG83" s="43">
        <f>AG82-AF83</f>
        <v>2368032000</v>
      </c>
    </row>
    <row r="84" spans="2:33" x14ac:dyDescent="0.3">
      <c r="B84" s="44" t="s">
        <v>85</v>
      </c>
      <c r="C84" s="45">
        <f>FV(C82,C83,,-C81)</f>
        <v>2368032000</v>
      </c>
      <c r="D84" s="22">
        <v>2026</v>
      </c>
      <c r="E84" s="41">
        <v>2</v>
      </c>
      <c r="F84" s="42">
        <f>+$C$86</f>
        <v>472396350.03651232</v>
      </c>
      <c r="G84" s="42">
        <f>I83*$C$82</f>
        <v>380779545.60000002</v>
      </c>
      <c r="H84" s="42">
        <f>F84-G84</f>
        <v>91616804.436512291</v>
      </c>
      <c r="I84" s="43">
        <f>I83-H84</f>
        <v>2276415195.5634875</v>
      </c>
      <c r="J84" s="22">
        <v>2027</v>
      </c>
      <c r="K84" s="41">
        <v>2</v>
      </c>
      <c r="L84" s="42">
        <f>+$C$86</f>
        <v>472396350.03651232</v>
      </c>
      <c r="M84" s="42">
        <f>O83*$C$82</f>
        <v>380779545.60000002</v>
      </c>
      <c r="N84" s="42">
        <f>L84-M84</f>
        <v>91616804.436512291</v>
      </c>
      <c r="O84" s="42">
        <f>O83-N84</f>
        <v>2276415195.5634875</v>
      </c>
      <c r="P84" s="22">
        <v>2028</v>
      </c>
      <c r="Q84" s="41">
        <v>2</v>
      </c>
      <c r="R84" s="42">
        <f>+$C$86</f>
        <v>472396350.03651232</v>
      </c>
      <c r="S84" s="42">
        <f>U83*$C$82</f>
        <v>380779545.60000002</v>
      </c>
      <c r="T84" s="42">
        <f>R84-S84</f>
        <v>91616804.436512291</v>
      </c>
      <c r="U84" s="42">
        <f>U83-T84</f>
        <v>2276415195.5634875</v>
      </c>
      <c r="V84" s="22">
        <v>2029</v>
      </c>
      <c r="W84" s="41">
        <v>2</v>
      </c>
      <c r="X84" s="42">
        <f>+$C$86</f>
        <v>472396350.03651232</v>
      </c>
      <c r="Y84" s="42">
        <f>AA83*$C$82</f>
        <v>380779545.60000002</v>
      </c>
      <c r="Z84" s="42">
        <f>X84-Y84</f>
        <v>91616804.436512291</v>
      </c>
      <c r="AA84" s="42">
        <f>AA83-Z84</f>
        <v>2276415195.5634875</v>
      </c>
      <c r="AB84" s="22">
        <v>2030</v>
      </c>
      <c r="AC84" s="41">
        <v>2</v>
      </c>
      <c r="AD84" s="42">
        <f>+$C$86</f>
        <v>472396350.03651232</v>
      </c>
      <c r="AE84" s="42">
        <f>AG83*$C$82</f>
        <v>380779545.60000002</v>
      </c>
      <c r="AF84" s="42">
        <f>AD84-AE84</f>
        <v>91616804.436512291</v>
      </c>
      <c r="AG84" s="43">
        <f>AG83-AF84</f>
        <v>2276415195.5634875</v>
      </c>
    </row>
    <row r="85" spans="2:33" x14ac:dyDescent="0.3">
      <c r="B85" s="25" t="s">
        <v>4</v>
      </c>
      <c r="C85" s="22">
        <v>11</v>
      </c>
      <c r="D85" s="22">
        <v>2027</v>
      </c>
      <c r="E85" s="41">
        <v>3</v>
      </c>
      <c r="F85" s="42">
        <f>+$C$86</f>
        <v>472396350.03651232</v>
      </c>
      <c r="G85" s="42">
        <f t="shared" ref="G85" si="91">I84*$C$82</f>
        <v>366047563.44660878</v>
      </c>
      <c r="H85" s="42">
        <f t="shared" ref="H85" si="92">F85-G85</f>
        <v>106348786.58990353</v>
      </c>
      <c r="I85" s="43">
        <f t="shared" ref="I85" si="93">I84-H85</f>
        <v>2170066408.9735842</v>
      </c>
      <c r="J85" s="22">
        <v>2028</v>
      </c>
      <c r="K85" s="41">
        <v>3</v>
      </c>
      <c r="L85" s="42">
        <f>+$C$86</f>
        <v>472396350.03651232</v>
      </c>
      <c r="M85" s="42">
        <f t="shared" ref="M85:M94" si="94">O84*$C$82</f>
        <v>366047563.44660878</v>
      </c>
      <c r="N85" s="42">
        <f t="shared" ref="N85:N94" si="95">L85-M85</f>
        <v>106348786.58990353</v>
      </c>
      <c r="O85" s="42">
        <f t="shared" ref="O85:O94" si="96">O84-N85</f>
        <v>2170066408.9735842</v>
      </c>
      <c r="P85" s="22">
        <v>2029</v>
      </c>
      <c r="Q85" s="41">
        <v>3</v>
      </c>
      <c r="R85" s="42">
        <f>+$C$86</f>
        <v>472396350.03651232</v>
      </c>
      <c r="S85" s="42">
        <f t="shared" ref="S85:S94" si="97">U84*$C$82</f>
        <v>366047563.44660878</v>
      </c>
      <c r="T85" s="42">
        <f t="shared" ref="T85:T94" si="98">R85-S85</f>
        <v>106348786.58990353</v>
      </c>
      <c r="U85" s="42">
        <f t="shared" ref="U85:U94" si="99">U84-T85</f>
        <v>2170066408.9735842</v>
      </c>
      <c r="V85" s="22">
        <v>2030</v>
      </c>
      <c r="W85" s="41">
        <v>3</v>
      </c>
      <c r="X85" s="42">
        <f>+$C$86</f>
        <v>472396350.03651232</v>
      </c>
      <c r="Y85" s="42">
        <f t="shared" ref="Y85:Y94" si="100">AA84*$C$82</f>
        <v>366047563.44660878</v>
      </c>
      <c r="Z85" s="42">
        <f t="shared" ref="Z85:Z94" si="101">X85-Y85</f>
        <v>106348786.58990353</v>
      </c>
      <c r="AA85" s="42">
        <f t="shared" ref="AA85:AA94" si="102">AA84-Z85</f>
        <v>2170066408.9735842</v>
      </c>
      <c r="AB85" s="22">
        <v>2031</v>
      </c>
      <c r="AC85" s="41">
        <v>3</v>
      </c>
      <c r="AD85" s="42">
        <f>+$C$86</f>
        <v>472396350.03651232</v>
      </c>
      <c r="AE85" s="42">
        <f t="shared" ref="AE85:AE94" si="103">AG84*$C$82</f>
        <v>366047563.44660878</v>
      </c>
      <c r="AF85" s="42">
        <f t="shared" ref="AF85:AF94" si="104">AD85-AE85</f>
        <v>106348786.58990353</v>
      </c>
      <c r="AG85" s="43">
        <f t="shared" ref="AG85:AG94" si="105">AG84-AF85</f>
        <v>2170066408.9735842</v>
      </c>
    </row>
    <row r="86" spans="2:33" x14ac:dyDescent="0.3">
      <c r="B86" s="44" t="s">
        <v>5</v>
      </c>
      <c r="C86" s="45">
        <f>PMT(C82,C85,-C84)</f>
        <v>472396350.03651232</v>
      </c>
      <c r="D86" s="22">
        <v>2028</v>
      </c>
      <c r="E86" s="41">
        <v>4</v>
      </c>
      <c r="F86" s="42">
        <f t="shared" ref="F86:F93" si="106">+$C$86</f>
        <v>472396350.03651232</v>
      </c>
      <c r="G86" s="42">
        <f t="shared" ref="G86:G94" si="107">I85*$C$82</f>
        <v>348946678.56295234</v>
      </c>
      <c r="H86" s="42">
        <f t="shared" ref="H86:H94" si="108">F86-G86</f>
        <v>123449671.47355998</v>
      </c>
      <c r="I86" s="43">
        <f t="shared" ref="I86:I94" si="109">I85-H86</f>
        <v>2046616737.5000243</v>
      </c>
      <c r="J86" s="22">
        <v>2029</v>
      </c>
      <c r="K86" s="41">
        <v>4</v>
      </c>
      <c r="L86" s="42">
        <f t="shared" ref="L86:L93" si="110">+$C$86</f>
        <v>472396350.03651232</v>
      </c>
      <c r="M86" s="42">
        <f t="shared" si="94"/>
        <v>348946678.56295234</v>
      </c>
      <c r="N86" s="42">
        <f t="shared" si="95"/>
        <v>123449671.47355998</v>
      </c>
      <c r="O86" s="42">
        <f t="shared" si="96"/>
        <v>2046616737.5000243</v>
      </c>
      <c r="P86" s="22">
        <v>2030</v>
      </c>
      <c r="Q86" s="41">
        <v>4</v>
      </c>
      <c r="R86" s="42">
        <f t="shared" ref="R86:R93" si="111">+$C$86</f>
        <v>472396350.03651232</v>
      </c>
      <c r="S86" s="42">
        <f t="shared" si="97"/>
        <v>348946678.56295234</v>
      </c>
      <c r="T86" s="42">
        <f t="shared" si="98"/>
        <v>123449671.47355998</v>
      </c>
      <c r="U86" s="42">
        <f t="shared" si="99"/>
        <v>2046616737.5000243</v>
      </c>
      <c r="V86" s="22">
        <v>2031</v>
      </c>
      <c r="W86" s="41">
        <v>4</v>
      </c>
      <c r="X86" s="42">
        <f t="shared" ref="X86:X93" si="112">+$C$86</f>
        <v>472396350.03651232</v>
      </c>
      <c r="Y86" s="42">
        <f t="shared" si="100"/>
        <v>348946678.56295234</v>
      </c>
      <c r="Z86" s="42">
        <f t="shared" si="101"/>
        <v>123449671.47355998</v>
      </c>
      <c r="AA86" s="42">
        <f t="shared" si="102"/>
        <v>2046616737.5000243</v>
      </c>
      <c r="AB86" s="22">
        <v>2032</v>
      </c>
      <c r="AC86" s="41">
        <v>4</v>
      </c>
      <c r="AD86" s="42">
        <f t="shared" ref="AD86:AD93" si="113">+$C$86</f>
        <v>472396350.03651232</v>
      </c>
      <c r="AE86" s="42">
        <f t="shared" si="103"/>
        <v>348946678.56295234</v>
      </c>
      <c r="AF86" s="42">
        <f t="shared" si="104"/>
        <v>123449671.47355998</v>
      </c>
      <c r="AG86" s="43">
        <f t="shared" si="105"/>
        <v>2046616737.5000243</v>
      </c>
    </row>
    <row r="87" spans="2:33" x14ac:dyDescent="0.3">
      <c r="B87" s="25"/>
      <c r="D87" s="22">
        <v>2029</v>
      </c>
      <c r="E87" s="41">
        <v>5</v>
      </c>
      <c r="F87" s="42">
        <f t="shared" si="106"/>
        <v>472396350.03651232</v>
      </c>
      <c r="G87" s="42">
        <f t="shared" si="107"/>
        <v>329095971.39000392</v>
      </c>
      <c r="H87" s="42">
        <f t="shared" si="108"/>
        <v>143300378.6465084</v>
      </c>
      <c r="I87" s="43">
        <f t="shared" si="109"/>
        <v>1903316358.8535159</v>
      </c>
      <c r="J87" s="22">
        <v>2030</v>
      </c>
      <c r="K87" s="41">
        <v>5</v>
      </c>
      <c r="L87" s="42">
        <f t="shared" si="110"/>
        <v>472396350.03651232</v>
      </c>
      <c r="M87" s="42">
        <f t="shared" si="94"/>
        <v>329095971.39000392</v>
      </c>
      <c r="N87" s="42">
        <f t="shared" si="95"/>
        <v>143300378.6465084</v>
      </c>
      <c r="O87" s="42">
        <f t="shared" si="96"/>
        <v>1903316358.8535159</v>
      </c>
      <c r="P87" s="22">
        <v>2031</v>
      </c>
      <c r="Q87" s="41">
        <v>5</v>
      </c>
      <c r="R87" s="42">
        <f t="shared" si="111"/>
        <v>472396350.03651232</v>
      </c>
      <c r="S87" s="42">
        <f t="shared" si="97"/>
        <v>329095971.39000392</v>
      </c>
      <c r="T87" s="42">
        <f t="shared" si="98"/>
        <v>143300378.6465084</v>
      </c>
      <c r="U87" s="42">
        <f t="shared" si="99"/>
        <v>1903316358.8535159</v>
      </c>
      <c r="V87" s="22">
        <v>2032</v>
      </c>
      <c r="W87" s="41">
        <v>5</v>
      </c>
      <c r="X87" s="42">
        <f t="shared" si="112"/>
        <v>472396350.03651232</v>
      </c>
      <c r="Y87" s="42">
        <f t="shared" si="100"/>
        <v>329095971.39000392</v>
      </c>
      <c r="Z87" s="42">
        <f t="shared" si="101"/>
        <v>143300378.6465084</v>
      </c>
      <c r="AA87" s="42">
        <f t="shared" si="102"/>
        <v>1903316358.8535159</v>
      </c>
      <c r="AB87" s="22">
        <v>2033</v>
      </c>
      <c r="AC87" s="41">
        <v>5</v>
      </c>
      <c r="AD87" s="42">
        <f t="shared" si="113"/>
        <v>472396350.03651232</v>
      </c>
      <c r="AE87" s="42">
        <f t="shared" si="103"/>
        <v>329095971.39000392</v>
      </c>
      <c r="AF87" s="42">
        <f t="shared" si="104"/>
        <v>143300378.6465084</v>
      </c>
      <c r="AG87" s="43">
        <f t="shared" si="105"/>
        <v>1903316358.8535159</v>
      </c>
    </row>
    <row r="88" spans="2:33" x14ac:dyDescent="0.3">
      <c r="B88" s="25"/>
      <c r="D88" s="22">
        <v>2030</v>
      </c>
      <c r="E88" s="41">
        <v>6</v>
      </c>
      <c r="F88" s="42">
        <f t="shared" si="106"/>
        <v>472396350.03651232</v>
      </c>
      <c r="G88" s="42">
        <f t="shared" si="107"/>
        <v>306053270.50364536</v>
      </c>
      <c r="H88" s="42">
        <f t="shared" si="108"/>
        <v>166343079.53286695</v>
      </c>
      <c r="I88" s="43">
        <f t="shared" si="109"/>
        <v>1736973279.3206489</v>
      </c>
      <c r="J88" s="22">
        <v>2031</v>
      </c>
      <c r="K88" s="41">
        <v>6</v>
      </c>
      <c r="L88" s="42">
        <f t="shared" si="110"/>
        <v>472396350.03651232</v>
      </c>
      <c r="M88" s="42">
        <f t="shared" si="94"/>
        <v>306053270.50364536</v>
      </c>
      <c r="N88" s="42">
        <f t="shared" si="95"/>
        <v>166343079.53286695</v>
      </c>
      <c r="O88" s="42">
        <f t="shared" si="96"/>
        <v>1736973279.3206489</v>
      </c>
      <c r="P88" s="22">
        <v>2032</v>
      </c>
      <c r="Q88" s="41">
        <v>6</v>
      </c>
      <c r="R88" s="42">
        <f t="shared" si="111"/>
        <v>472396350.03651232</v>
      </c>
      <c r="S88" s="42">
        <f t="shared" si="97"/>
        <v>306053270.50364536</v>
      </c>
      <c r="T88" s="42">
        <f t="shared" si="98"/>
        <v>166343079.53286695</v>
      </c>
      <c r="U88" s="42">
        <f t="shared" si="99"/>
        <v>1736973279.3206489</v>
      </c>
      <c r="V88" s="22">
        <v>2033</v>
      </c>
      <c r="W88" s="41">
        <v>6</v>
      </c>
      <c r="X88" s="42">
        <f t="shared" si="112"/>
        <v>472396350.03651232</v>
      </c>
      <c r="Y88" s="42">
        <f t="shared" si="100"/>
        <v>306053270.50364536</v>
      </c>
      <c r="Z88" s="42">
        <f t="shared" si="101"/>
        <v>166343079.53286695</v>
      </c>
      <c r="AA88" s="42">
        <f t="shared" si="102"/>
        <v>1736973279.3206489</v>
      </c>
      <c r="AB88" s="22">
        <v>2034</v>
      </c>
      <c r="AC88" s="41">
        <v>6</v>
      </c>
      <c r="AD88" s="42">
        <f t="shared" si="113"/>
        <v>472396350.03651232</v>
      </c>
      <c r="AE88" s="42">
        <f t="shared" si="103"/>
        <v>306053270.50364536</v>
      </c>
      <c r="AF88" s="42">
        <f t="shared" si="104"/>
        <v>166343079.53286695</v>
      </c>
      <c r="AG88" s="43">
        <f t="shared" si="105"/>
        <v>1736973279.3206489</v>
      </c>
    </row>
    <row r="89" spans="2:33" x14ac:dyDescent="0.3">
      <c r="B89" s="25"/>
      <c r="D89" s="22">
        <v>2031</v>
      </c>
      <c r="E89" s="41">
        <v>7</v>
      </c>
      <c r="F89" s="42">
        <f t="shared" si="106"/>
        <v>472396350.03651232</v>
      </c>
      <c r="G89" s="42">
        <f t="shared" si="107"/>
        <v>279305303.31476033</v>
      </c>
      <c r="H89" s="42">
        <f t="shared" si="108"/>
        <v>193091046.72175199</v>
      </c>
      <c r="I89" s="43">
        <f t="shared" si="109"/>
        <v>1543882232.598897</v>
      </c>
      <c r="J89" s="22">
        <v>2032</v>
      </c>
      <c r="K89" s="41">
        <v>7</v>
      </c>
      <c r="L89" s="42">
        <f t="shared" si="110"/>
        <v>472396350.03651232</v>
      </c>
      <c r="M89" s="42">
        <f t="shared" si="94"/>
        <v>279305303.31476033</v>
      </c>
      <c r="N89" s="42">
        <f t="shared" si="95"/>
        <v>193091046.72175199</v>
      </c>
      <c r="O89" s="42">
        <f t="shared" si="96"/>
        <v>1543882232.598897</v>
      </c>
      <c r="P89" s="22">
        <v>2033</v>
      </c>
      <c r="Q89" s="41">
        <v>7</v>
      </c>
      <c r="R89" s="42">
        <f t="shared" si="111"/>
        <v>472396350.03651232</v>
      </c>
      <c r="S89" s="42">
        <f t="shared" si="97"/>
        <v>279305303.31476033</v>
      </c>
      <c r="T89" s="42">
        <f t="shared" si="98"/>
        <v>193091046.72175199</v>
      </c>
      <c r="U89" s="42">
        <f t="shared" si="99"/>
        <v>1543882232.598897</v>
      </c>
      <c r="V89" s="22">
        <v>2034</v>
      </c>
      <c r="W89" s="41">
        <v>7</v>
      </c>
      <c r="X89" s="42">
        <f t="shared" si="112"/>
        <v>472396350.03651232</v>
      </c>
      <c r="Y89" s="42">
        <f t="shared" si="100"/>
        <v>279305303.31476033</v>
      </c>
      <c r="Z89" s="42">
        <f t="shared" si="101"/>
        <v>193091046.72175199</v>
      </c>
      <c r="AA89" s="42">
        <f t="shared" si="102"/>
        <v>1543882232.598897</v>
      </c>
      <c r="AB89" s="22">
        <v>2035</v>
      </c>
      <c r="AC89" s="41">
        <v>7</v>
      </c>
      <c r="AD89" s="42">
        <f t="shared" si="113"/>
        <v>472396350.03651232</v>
      </c>
      <c r="AE89" s="42">
        <f t="shared" si="103"/>
        <v>279305303.31476033</v>
      </c>
      <c r="AF89" s="42">
        <f t="shared" si="104"/>
        <v>193091046.72175199</v>
      </c>
      <c r="AG89" s="43">
        <f t="shared" si="105"/>
        <v>1543882232.598897</v>
      </c>
    </row>
    <row r="90" spans="2:33" x14ac:dyDescent="0.3">
      <c r="B90" s="25"/>
      <c r="D90" s="22">
        <v>2032</v>
      </c>
      <c r="E90" s="41">
        <v>8</v>
      </c>
      <c r="F90" s="42">
        <f t="shared" si="106"/>
        <v>472396350.03651232</v>
      </c>
      <c r="G90" s="42">
        <f t="shared" si="107"/>
        <v>248256263.00190264</v>
      </c>
      <c r="H90" s="42">
        <f t="shared" si="108"/>
        <v>224140087.03460968</v>
      </c>
      <c r="I90" s="43">
        <f t="shared" si="109"/>
        <v>1319742145.5642872</v>
      </c>
      <c r="J90" s="22">
        <v>2033</v>
      </c>
      <c r="K90" s="41">
        <v>8</v>
      </c>
      <c r="L90" s="42">
        <f t="shared" si="110"/>
        <v>472396350.03651232</v>
      </c>
      <c r="M90" s="42">
        <f t="shared" si="94"/>
        <v>248256263.00190264</v>
      </c>
      <c r="N90" s="42">
        <f t="shared" si="95"/>
        <v>224140087.03460968</v>
      </c>
      <c r="O90" s="42">
        <f t="shared" si="96"/>
        <v>1319742145.5642872</v>
      </c>
      <c r="P90" s="22">
        <v>2034</v>
      </c>
      <c r="Q90" s="41">
        <v>8</v>
      </c>
      <c r="R90" s="42">
        <f t="shared" si="111"/>
        <v>472396350.03651232</v>
      </c>
      <c r="S90" s="42">
        <f t="shared" si="97"/>
        <v>248256263.00190264</v>
      </c>
      <c r="T90" s="42">
        <f t="shared" si="98"/>
        <v>224140087.03460968</v>
      </c>
      <c r="U90" s="42">
        <f t="shared" si="99"/>
        <v>1319742145.5642872</v>
      </c>
      <c r="V90" s="22">
        <v>2035</v>
      </c>
      <c r="W90" s="41">
        <v>8</v>
      </c>
      <c r="X90" s="42">
        <f t="shared" si="112"/>
        <v>472396350.03651232</v>
      </c>
      <c r="Y90" s="42">
        <f t="shared" si="100"/>
        <v>248256263.00190264</v>
      </c>
      <c r="Z90" s="42">
        <f t="shared" si="101"/>
        <v>224140087.03460968</v>
      </c>
      <c r="AA90" s="42">
        <f t="shared" si="102"/>
        <v>1319742145.5642872</v>
      </c>
      <c r="AB90" s="22">
        <v>2036</v>
      </c>
      <c r="AC90" s="41">
        <v>8</v>
      </c>
      <c r="AD90" s="42">
        <f t="shared" si="113"/>
        <v>472396350.03651232</v>
      </c>
      <c r="AE90" s="42">
        <f t="shared" si="103"/>
        <v>248256263.00190264</v>
      </c>
      <c r="AF90" s="42">
        <f t="shared" si="104"/>
        <v>224140087.03460968</v>
      </c>
      <c r="AG90" s="43">
        <f t="shared" si="105"/>
        <v>1319742145.5642872</v>
      </c>
    </row>
    <row r="91" spans="2:33" x14ac:dyDescent="0.3">
      <c r="B91" s="25"/>
      <c r="D91" s="22">
        <v>2033</v>
      </c>
      <c r="E91" s="41">
        <v>9</v>
      </c>
      <c r="F91" s="42">
        <f t="shared" si="106"/>
        <v>472396350.03651232</v>
      </c>
      <c r="G91" s="42">
        <f t="shared" si="107"/>
        <v>212214537.00673738</v>
      </c>
      <c r="H91" s="42">
        <f t="shared" si="108"/>
        <v>260181813.02977493</v>
      </c>
      <c r="I91" s="43">
        <f t="shared" si="109"/>
        <v>1059560332.5345123</v>
      </c>
      <c r="J91" s="22">
        <v>2034</v>
      </c>
      <c r="K91" s="41">
        <v>9</v>
      </c>
      <c r="L91" s="42">
        <f t="shared" si="110"/>
        <v>472396350.03651232</v>
      </c>
      <c r="M91" s="42">
        <f t="shared" si="94"/>
        <v>212214537.00673738</v>
      </c>
      <c r="N91" s="42">
        <f t="shared" si="95"/>
        <v>260181813.02977493</v>
      </c>
      <c r="O91" s="42">
        <f t="shared" si="96"/>
        <v>1059560332.5345123</v>
      </c>
      <c r="P91" s="22">
        <v>2035</v>
      </c>
      <c r="Q91" s="41">
        <v>9</v>
      </c>
      <c r="R91" s="42">
        <f t="shared" si="111"/>
        <v>472396350.03651232</v>
      </c>
      <c r="S91" s="42">
        <f t="shared" si="97"/>
        <v>212214537.00673738</v>
      </c>
      <c r="T91" s="42">
        <f t="shared" si="98"/>
        <v>260181813.02977493</v>
      </c>
      <c r="U91" s="42">
        <f t="shared" si="99"/>
        <v>1059560332.5345123</v>
      </c>
      <c r="V91" s="22">
        <v>2036</v>
      </c>
      <c r="W91" s="41">
        <v>9</v>
      </c>
      <c r="X91" s="42">
        <f t="shared" si="112"/>
        <v>472396350.03651232</v>
      </c>
      <c r="Y91" s="42">
        <f t="shared" si="100"/>
        <v>212214537.00673738</v>
      </c>
      <c r="Z91" s="42">
        <f t="shared" si="101"/>
        <v>260181813.02977493</v>
      </c>
      <c r="AA91" s="42">
        <f t="shared" si="102"/>
        <v>1059560332.5345123</v>
      </c>
      <c r="AB91" s="22">
        <v>2037</v>
      </c>
      <c r="AC91" s="41">
        <v>9</v>
      </c>
      <c r="AD91" s="42">
        <f t="shared" si="113"/>
        <v>472396350.03651232</v>
      </c>
      <c r="AE91" s="42">
        <f t="shared" si="103"/>
        <v>212214537.00673738</v>
      </c>
      <c r="AF91" s="42">
        <f t="shared" si="104"/>
        <v>260181813.02977493</v>
      </c>
      <c r="AG91" s="43">
        <f t="shared" si="105"/>
        <v>1059560332.5345123</v>
      </c>
    </row>
    <row r="92" spans="2:33" x14ac:dyDescent="0.3">
      <c r="B92" s="25"/>
      <c r="D92" s="22">
        <v>2034</v>
      </c>
      <c r="E92" s="41">
        <v>10</v>
      </c>
      <c r="F92" s="42">
        <f t="shared" si="106"/>
        <v>472396350.03651232</v>
      </c>
      <c r="G92" s="42">
        <f t="shared" si="107"/>
        <v>170377301.47154957</v>
      </c>
      <c r="H92" s="42">
        <f t="shared" si="108"/>
        <v>302019048.56496274</v>
      </c>
      <c r="I92" s="43">
        <f t="shared" si="109"/>
        <v>757541283.96954954</v>
      </c>
      <c r="J92" s="22">
        <v>2035</v>
      </c>
      <c r="K92" s="41">
        <v>10</v>
      </c>
      <c r="L92" s="42">
        <f t="shared" si="110"/>
        <v>472396350.03651232</v>
      </c>
      <c r="M92" s="42">
        <f t="shared" si="94"/>
        <v>170377301.47154957</v>
      </c>
      <c r="N92" s="42">
        <f t="shared" si="95"/>
        <v>302019048.56496274</v>
      </c>
      <c r="O92" s="42">
        <f t="shared" si="96"/>
        <v>757541283.96954954</v>
      </c>
      <c r="P92" s="22">
        <v>2036</v>
      </c>
      <c r="Q92" s="41">
        <v>10</v>
      </c>
      <c r="R92" s="42">
        <f t="shared" si="111"/>
        <v>472396350.03651232</v>
      </c>
      <c r="S92" s="42">
        <f t="shared" si="97"/>
        <v>170377301.47154957</v>
      </c>
      <c r="T92" s="42">
        <f t="shared" si="98"/>
        <v>302019048.56496274</v>
      </c>
      <c r="U92" s="42">
        <f t="shared" si="99"/>
        <v>757541283.96954954</v>
      </c>
      <c r="V92" s="22">
        <v>2037</v>
      </c>
      <c r="W92" s="41">
        <v>10</v>
      </c>
      <c r="X92" s="42">
        <f t="shared" si="112"/>
        <v>472396350.03651232</v>
      </c>
      <c r="Y92" s="42">
        <f t="shared" si="100"/>
        <v>170377301.47154957</v>
      </c>
      <c r="Z92" s="42">
        <f t="shared" si="101"/>
        <v>302019048.56496274</v>
      </c>
      <c r="AA92" s="42">
        <f t="shared" si="102"/>
        <v>757541283.96954954</v>
      </c>
      <c r="AB92" s="22">
        <v>2038</v>
      </c>
      <c r="AC92" s="41">
        <v>10</v>
      </c>
      <c r="AD92" s="42">
        <f t="shared" si="113"/>
        <v>472396350.03651232</v>
      </c>
      <c r="AE92" s="42">
        <f t="shared" si="103"/>
        <v>170377301.47154957</v>
      </c>
      <c r="AF92" s="42">
        <f t="shared" si="104"/>
        <v>302019048.56496274</v>
      </c>
      <c r="AG92" s="43">
        <f t="shared" si="105"/>
        <v>757541283.96954954</v>
      </c>
    </row>
    <row r="93" spans="2:33" x14ac:dyDescent="0.3">
      <c r="B93" s="25"/>
      <c r="D93" s="22">
        <v>2035</v>
      </c>
      <c r="E93" s="41">
        <v>11</v>
      </c>
      <c r="F93" s="42">
        <f t="shared" si="106"/>
        <v>472396350.03651232</v>
      </c>
      <c r="G93" s="42">
        <f t="shared" si="107"/>
        <v>121812638.46230356</v>
      </c>
      <c r="H93" s="42">
        <f t="shared" si="108"/>
        <v>350583711.57420874</v>
      </c>
      <c r="I93" s="43">
        <f t="shared" si="109"/>
        <v>406957572.3953408</v>
      </c>
      <c r="J93" s="22">
        <v>2036</v>
      </c>
      <c r="K93" s="41">
        <v>11</v>
      </c>
      <c r="L93" s="42">
        <f t="shared" si="110"/>
        <v>472396350.03651232</v>
      </c>
      <c r="M93" s="42">
        <f t="shared" si="94"/>
        <v>121812638.46230356</v>
      </c>
      <c r="N93" s="42">
        <f t="shared" si="95"/>
        <v>350583711.57420874</v>
      </c>
      <c r="O93" s="42">
        <f t="shared" si="96"/>
        <v>406957572.3953408</v>
      </c>
      <c r="P93" s="22">
        <v>2037</v>
      </c>
      <c r="Q93" s="41">
        <v>11</v>
      </c>
      <c r="R93" s="42">
        <f t="shared" si="111"/>
        <v>472396350.03651232</v>
      </c>
      <c r="S93" s="42">
        <f t="shared" si="97"/>
        <v>121812638.46230356</v>
      </c>
      <c r="T93" s="42">
        <f t="shared" si="98"/>
        <v>350583711.57420874</v>
      </c>
      <c r="U93" s="42">
        <f t="shared" si="99"/>
        <v>406957572.3953408</v>
      </c>
      <c r="V93" s="22">
        <v>2038</v>
      </c>
      <c r="W93" s="41">
        <v>11</v>
      </c>
      <c r="X93" s="42">
        <f t="shared" si="112"/>
        <v>472396350.03651232</v>
      </c>
      <c r="Y93" s="42">
        <f t="shared" si="100"/>
        <v>121812638.46230356</v>
      </c>
      <c r="Z93" s="42">
        <f t="shared" si="101"/>
        <v>350583711.57420874</v>
      </c>
      <c r="AA93" s="42">
        <f t="shared" si="102"/>
        <v>406957572.3953408</v>
      </c>
      <c r="AB93" s="22">
        <v>2039</v>
      </c>
      <c r="AC93" s="41">
        <v>11</v>
      </c>
      <c r="AD93" s="42">
        <f t="shared" si="113"/>
        <v>472396350.03651232</v>
      </c>
      <c r="AE93" s="42">
        <f t="shared" si="103"/>
        <v>121812638.46230356</v>
      </c>
      <c r="AF93" s="42">
        <f t="shared" si="104"/>
        <v>350583711.57420874</v>
      </c>
      <c r="AG93" s="43">
        <f t="shared" si="105"/>
        <v>406957572.3953408</v>
      </c>
    </row>
    <row r="94" spans="2:33" ht="15" thickBot="1" x14ac:dyDescent="0.35">
      <c r="B94" s="27"/>
      <c r="C94" s="47"/>
      <c r="D94" s="47">
        <v>2036</v>
      </c>
      <c r="E94" s="50">
        <v>12</v>
      </c>
      <c r="F94" s="52">
        <f>+$C$86</f>
        <v>472396350.03651232</v>
      </c>
      <c r="G94" s="52">
        <f t="shared" si="107"/>
        <v>65438777.6411708</v>
      </c>
      <c r="H94" s="52">
        <f t="shared" si="108"/>
        <v>406957572.39534152</v>
      </c>
      <c r="I94" s="53">
        <f t="shared" si="109"/>
        <v>-7.152557373046875E-7</v>
      </c>
      <c r="J94" s="22">
        <v>2037</v>
      </c>
      <c r="K94" s="41">
        <v>12</v>
      </c>
      <c r="L94" s="42">
        <f>+$C$86</f>
        <v>472396350.03651232</v>
      </c>
      <c r="M94" s="42">
        <f t="shared" si="94"/>
        <v>65438777.6411708</v>
      </c>
      <c r="N94" s="42">
        <f t="shared" si="95"/>
        <v>406957572.39534152</v>
      </c>
      <c r="O94" s="42">
        <f t="shared" si="96"/>
        <v>-7.152557373046875E-7</v>
      </c>
      <c r="P94" s="22">
        <v>2038</v>
      </c>
      <c r="Q94" s="41">
        <v>12</v>
      </c>
      <c r="R94" s="42">
        <f>+$C$86</f>
        <v>472396350.03651232</v>
      </c>
      <c r="S94" s="42">
        <f t="shared" si="97"/>
        <v>65438777.6411708</v>
      </c>
      <c r="T94" s="42">
        <f t="shared" si="98"/>
        <v>406957572.39534152</v>
      </c>
      <c r="U94" s="42">
        <f t="shared" si="99"/>
        <v>-7.152557373046875E-7</v>
      </c>
      <c r="V94" s="22">
        <v>2039</v>
      </c>
      <c r="W94" s="41">
        <v>12</v>
      </c>
      <c r="X94" s="42">
        <f>+$C$86</f>
        <v>472396350.03651232</v>
      </c>
      <c r="Y94" s="42">
        <f t="shared" si="100"/>
        <v>65438777.6411708</v>
      </c>
      <c r="Z94" s="42">
        <f t="shared" si="101"/>
        <v>406957572.39534152</v>
      </c>
      <c r="AA94" s="42">
        <f t="shared" si="102"/>
        <v>-7.152557373046875E-7</v>
      </c>
      <c r="AB94" s="22">
        <v>2040</v>
      </c>
      <c r="AC94" s="41">
        <v>12</v>
      </c>
      <c r="AD94" s="42">
        <f>+$C$86</f>
        <v>472396350.03651232</v>
      </c>
      <c r="AE94" s="42">
        <f t="shared" si="103"/>
        <v>65438777.6411708</v>
      </c>
      <c r="AF94" s="42">
        <f t="shared" si="104"/>
        <v>406957572.39534152</v>
      </c>
      <c r="AG94" s="43">
        <f t="shared" si="105"/>
        <v>-7.152557373046875E-7</v>
      </c>
    </row>
    <row r="95" spans="2:33" ht="15" thickBot="1" x14ac:dyDescent="0.35">
      <c r="B95" s="25"/>
      <c r="I95" s="41"/>
      <c r="U95" s="65">
        <f>+C81*5</f>
        <v>10200000000</v>
      </c>
      <c r="AG95" s="46"/>
    </row>
    <row r="96" spans="2:33" x14ac:dyDescent="0.3">
      <c r="B96" s="62"/>
      <c r="C96" s="36" t="s">
        <v>87</v>
      </c>
      <c r="D96" s="36">
        <v>2024</v>
      </c>
      <c r="E96" s="36">
        <v>2025</v>
      </c>
      <c r="F96" s="36">
        <v>2026</v>
      </c>
      <c r="G96" s="36">
        <v>2027</v>
      </c>
      <c r="H96" s="36">
        <v>2028</v>
      </c>
      <c r="I96" s="36">
        <v>2029</v>
      </c>
      <c r="J96" s="36">
        <v>2030</v>
      </c>
      <c r="K96" s="36">
        <v>2031</v>
      </c>
      <c r="L96" s="36">
        <v>2032</v>
      </c>
      <c r="M96" s="36">
        <v>2033</v>
      </c>
      <c r="N96" s="36">
        <v>2034</v>
      </c>
      <c r="O96" s="36">
        <v>2035</v>
      </c>
      <c r="P96" s="36">
        <v>2036</v>
      </c>
      <c r="Q96" s="36">
        <v>2037</v>
      </c>
      <c r="R96" s="36">
        <v>2038</v>
      </c>
      <c r="S96" s="36">
        <v>2039</v>
      </c>
      <c r="T96" s="36">
        <v>2040</v>
      </c>
      <c r="U96" s="63" t="s">
        <v>86</v>
      </c>
      <c r="V96" s="68">
        <f>+U97/U95</f>
        <v>2.5472352207851148</v>
      </c>
      <c r="AG96" s="46"/>
    </row>
    <row r="97" spans="2:33" ht="15" thickBot="1" x14ac:dyDescent="0.35">
      <c r="B97" s="98" t="s">
        <v>96</v>
      </c>
      <c r="C97" s="99"/>
      <c r="D97" s="47">
        <f>+F82</f>
        <v>0</v>
      </c>
      <c r="E97" s="48">
        <f>+F83+L82</f>
        <v>0</v>
      </c>
      <c r="F97" s="48">
        <f>+F84+L83+R82</f>
        <v>472396350.03651232</v>
      </c>
      <c r="G97" s="48">
        <f>+F85+L84+R83+X82</f>
        <v>944792700.07302463</v>
      </c>
      <c r="H97" s="48">
        <f>+F86+L85+R84+X83+AD82</f>
        <v>1417189050.1095369</v>
      </c>
      <c r="I97" s="48">
        <f>+F87+L86+R85+X84+AD83</f>
        <v>1889585400.1460493</v>
      </c>
      <c r="J97" s="48">
        <f>+F88+L87+R86+X85+AD84</f>
        <v>2361981750.1825614</v>
      </c>
      <c r="K97" s="48">
        <f>+F89+L88+R87+X86+AD85</f>
        <v>2361981750.1825614</v>
      </c>
      <c r="L97" s="48">
        <f>+F90+L89+R88+X87+AD86</f>
        <v>2361981750.1825614</v>
      </c>
      <c r="M97" s="48">
        <f>+F91+L90+R89+X88+AD87</f>
        <v>2361981750.1825614</v>
      </c>
      <c r="N97" s="48">
        <f>+F92+L91+R90+X89+AD88</f>
        <v>2361981750.1825614</v>
      </c>
      <c r="O97" s="48">
        <f>+F93+L92+R91+X90+AD89</f>
        <v>2361981750.1825614</v>
      </c>
      <c r="P97" s="48">
        <f>+F94+L93+R92+X91+AD90</f>
        <v>2361981750.1825614</v>
      </c>
      <c r="Q97" s="48">
        <f>+L94+R93+X92+AD91</f>
        <v>1889585400.1460493</v>
      </c>
      <c r="R97" s="48">
        <f>+R94+X93+AD92</f>
        <v>1417189050.1095369</v>
      </c>
      <c r="S97" s="48">
        <f>+X94+AD93</f>
        <v>944792700.07302463</v>
      </c>
      <c r="T97" s="48">
        <f>+AD94</f>
        <v>472396350.03651232</v>
      </c>
      <c r="U97" s="60">
        <f>SUM(D97:T97)</f>
        <v>25981799252.008171</v>
      </c>
      <c r="V97" s="66">
        <f>+U95/U97</f>
        <v>0.39258251135981764</v>
      </c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9"/>
    </row>
    <row r="99" spans="2:33" ht="15" thickBot="1" x14ac:dyDescent="0.35"/>
    <row r="100" spans="2:33" s="23" customFormat="1" ht="15" thickBot="1" x14ac:dyDescent="0.35">
      <c r="B100" s="95" t="s">
        <v>97</v>
      </c>
      <c r="C100" s="97"/>
      <c r="D100" s="54"/>
      <c r="E100" s="95">
        <v>2024</v>
      </c>
      <c r="F100" s="96"/>
      <c r="G100" s="96"/>
      <c r="H100" s="96"/>
      <c r="I100" s="97"/>
      <c r="J100" s="54"/>
      <c r="K100" s="95">
        <v>2025</v>
      </c>
      <c r="L100" s="96"/>
      <c r="M100" s="96"/>
      <c r="N100" s="96"/>
      <c r="O100" s="97"/>
      <c r="P100" s="54"/>
      <c r="Q100" s="95">
        <v>2026</v>
      </c>
      <c r="R100" s="96"/>
      <c r="S100" s="96"/>
      <c r="T100" s="96"/>
      <c r="U100" s="97"/>
      <c r="V100" s="54"/>
      <c r="W100" s="95">
        <v>2027</v>
      </c>
      <c r="X100" s="96"/>
      <c r="Y100" s="96"/>
      <c r="Z100" s="96"/>
      <c r="AA100" s="97"/>
      <c r="AB100" s="54"/>
      <c r="AC100" s="95">
        <v>2028</v>
      </c>
      <c r="AD100" s="96"/>
      <c r="AE100" s="96"/>
      <c r="AF100" s="96"/>
      <c r="AG100" s="97"/>
    </row>
    <row r="101" spans="2:33" x14ac:dyDescent="0.3">
      <c r="B101" s="25" t="s">
        <v>1</v>
      </c>
      <c r="C101" s="37">
        <v>1200000000</v>
      </c>
      <c r="D101" s="37"/>
      <c r="E101" s="38" t="s">
        <v>0</v>
      </c>
      <c r="F101" s="38" t="s">
        <v>23</v>
      </c>
      <c r="G101" s="38" t="s">
        <v>24</v>
      </c>
      <c r="H101" s="38" t="s">
        <v>25</v>
      </c>
      <c r="I101" s="39" t="s">
        <v>26</v>
      </c>
      <c r="K101" s="38" t="s">
        <v>0</v>
      </c>
      <c r="L101" s="38" t="s">
        <v>23</v>
      </c>
      <c r="M101" s="38" t="s">
        <v>24</v>
      </c>
      <c r="N101" s="38" t="s">
        <v>25</v>
      </c>
      <c r="O101" s="38" t="s">
        <v>26</v>
      </c>
      <c r="Q101" s="38" t="s">
        <v>0</v>
      </c>
      <c r="R101" s="38" t="s">
        <v>23</v>
      </c>
      <c r="S101" s="38" t="s">
        <v>24</v>
      </c>
      <c r="T101" s="38" t="s">
        <v>25</v>
      </c>
      <c r="U101" s="38" t="s">
        <v>26</v>
      </c>
      <c r="W101" s="38" t="s">
        <v>0</v>
      </c>
      <c r="X101" s="38" t="s">
        <v>23</v>
      </c>
      <c r="Y101" s="38" t="s">
        <v>24</v>
      </c>
      <c r="Z101" s="38" t="s">
        <v>25</v>
      </c>
      <c r="AA101" s="38" t="s">
        <v>26</v>
      </c>
      <c r="AC101" s="38" t="s">
        <v>0</v>
      </c>
      <c r="AD101" s="38" t="s">
        <v>23</v>
      </c>
      <c r="AE101" s="38" t="s">
        <v>24</v>
      </c>
      <c r="AF101" s="38" t="s">
        <v>25</v>
      </c>
      <c r="AG101" s="39" t="s">
        <v>26</v>
      </c>
    </row>
    <row r="102" spans="2:33" x14ac:dyDescent="0.3">
      <c r="B102" s="25" t="s">
        <v>22</v>
      </c>
      <c r="C102" s="40">
        <v>0.1608</v>
      </c>
      <c r="D102" s="22">
        <v>2024</v>
      </c>
      <c r="E102" s="41">
        <v>0</v>
      </c>
      <c r="F102" s="41"/>
      <c r="G102" s="41"/>
      <c r="H102" s="41"/>
      <c r="I102" s="43">
        <f>+C101</f>
        <v>1200000000</v>
      </c>
      <c r="J102" s="22">
        <v>2025</v>
      </c>
      <c r="K102" s="41">
        <v>0</v>
      </c>
      <c r="L102" s="41"/>
      <c r="M102" s="41"/>
      <c r="N102" s="41"/>
      <c r="O102" s="42">
        <f>+I102</f>
        <v>1200000000</v>
      </c>
      <c r="P102" s="22">
        <v>2026</v>
      </c>
      <c r="Q102" s="41">
        <v>0</v>
      </c>
      <c r="R102" s="41"/>
      <c r="S102" s="41"/>
      <c r="T102" s="41"/>
      <c r="U102" s="42">
        <f>+O102</f>
        <v>1200000000</v>
      </c>
      <c r="V102" s="22">
        <v>2027</v>
      </c>
      <c r="W102" s="41">
        <v>0</v>
      </c>
      <c r="X102" s="41"/>
      <c r="Y102" s="41"/>
      <c r="Z102" s="41"/>
      <c r="AA102" s="42">
        <f>+U102</f>
        <v>1200000000</v>
      </c>
      <c r="AB102" s="22">
        <v>2028</v>
      </c>
      <c r="AC102" s="41">
        <v>0</v>
      </c>
      <c r="AD102" s="41"/>
      <c r="AE102" s="41"/>
      <c r="AF102" s="41"/>
      <c r="AG102" s="43">
        <f>+AA102</f>
        <v>1200000000</v>
      </c>
    </row>
    <row r="103" spans="2:33" x14ac:dyDescent="0.3">
      <c r="B103" s="25" t="s">
        <v>4</v>
      </c>
      <c r="C103" s="22">
        <v>1</v>
      </c>
      <c r="D103" s="22">
        <v>2025</v>
      </c>
      <c r="E103" s="41">
        <v>1</v>
      </c>
      <c r="F103" s="42">
        <v>0</v>
      </c>
      <c r="G103" s="42">
        <f>I102*$C$82</f>
        <v>192960000</v>
      </c>
      <c r="H103" s="42">
        <f>F103-G103</f>
        <v>-192960000</v>
      </c>
      <c r="I103" s="43">
        <f>I102-H103</f>
        <v>1392960000</v>
      </c>
      <c r="J103" s="22">
        <v>2026</v>
      </c>
      <c r="K103" s="41">
        <v>1</v>
      </c>
      <c r="L103" s="42">
        <v>0</v>
      </c>
      <c r="M103" s="42">
        <f>O102*$C$82</f>
        <v>192960000</v>
      </c>
      <c r="N103" s="42">
        <f>L103-M103</f>
        <v>-192960000</v>
      </c>
      <c r="O103" s="42">
        <f>O102-N103</f>
        <v>1392960000</v>
      </c>
      <c r="P103" s="22">
        <v>2027</v>
      </c>
      <c r="Q103" s="41">
        <v>1</v>
      </c>
      <c r="R103" s="42">
        <v>0</v>
      </c>
      <c r="S103" s="42">
        <f>U102*$C$82</f>
        <v>192960000</v>
      </c>
      <c r="T103" s="42">
        <f>R103-S103</f>
        <v>-192960000</v>
      </c>
      <c r="U103" s="42">
        <f>U102-T103</f>
        <v>1392960000</v>
      </c>
      <c r="V103" s="22">
        <v>2028</v>
      </c>
      <c r="W103" s="41">
        <v>1</v>
      </c>
      <c r="X103" s="42">
        <v>0</v>
      </c>
      <c r="Y103" s="42">
        <f>AA102*$C$82</f>
        <v>192960000</v>
      </c>
      <c r="Z103" s="42">
        <f>X103-Y103</f>
        <v>-192960000</v>
      </c>
      <c r="AA103" s="42">
        <f>AA102-Z103</f>
        <v>1392960000</v>
      </c>
      <c r="AB103" s="22">
        <v>2029</v>
      </c>
      <c r="AC103" s="41">
        <v>1</v>
      </c>
      <c r="AD103" s="42">
        <v>0</v>
      </c>
      <c r="AE103" s="42">
        <f>AG102*$C$82</f>
        <v>192960000</v>
      </c>
      <c r="AF103" s="42">
        <f>AD103-AE103</f>
        <v>-192960000</v>
      </c>
      <c r="AG103" s="43">
        <f>AG102-AF103</f>
        <v>1392960000</v>
      </c>
    </row>
    <row r="104" spans="2:33" x14ac:dyDescent="0.3">
      <c r="B104" s="44" t="s">
        <v>85</v>
      </c>
      <c r="C104" s="45">
        <f>FV(C102,C103,,-C101)</f>
        <v>1392960000</v>
      </c>
      <c r="D104" s="22">
        <v>2026</v>
      </c>
      <c r="E104" s="41">
        <v>2</v>
      </c>
      <c r="F104" s="42">
        <f>+$C$106</f>
        <v>277880205.90383077</v>
      </c>
      <c r="G104" s="42">
        <f>I103*$C$82</f>
        <v>223987968</v>
      </c>
      <c r="H104" s="42">
        <f>F104-G104</f>
        <v>53892237.903830767</v>
      </c>
      <c r="I104" s="43">
        <f>I103-H104</f>
        <v>1339067762.0961692</v>
      </c>
      <c r="J104" s="22">
        <v>2027</v>
      </c>
      <c r="K104" s="41">
        <v>2</v>
      </c>
      <c r="L104" s="42">
        <f>+$C$106</f>
        <v>277880205.90383077</v>
      </c>
      <c r="M104" s="42">
        <f>O103*$C$82</f>
        <v>223987968</v>
      </c>
      <c r="N104" s="42">
        <f>L104-M104</f>
        <v>53892237.903830767</v>
      </c>
      <c r="O104" s="42">
        <f>O103-N104</f>
        <v>1339067762.0961692</v>
      </c>
      <c r="P104" s="22">
        <v>2028</v>
      </c>
      <c r="Q104" s="41">
        <v>2</v>
      </c>
      <c r="R104" s="42">
        <f>+$C$106</f>
        <v>277880205.90383077</v>
      </c>
      <c r="S104" s="42">
        <f>U103*$C$82</f>
        <v>223987968</v>
      </c>
      <c r="T104" s="42">
        <f>R104-S104</f>
        <v>53892237.903830767</v>
      </c>
      <c r="U104" s="42">
        <f>U103-T104</f>
        <v>1339067762.0961692</v>
      </c>
      <c r="V104" s="22">
        <v>2029</v>
      </c>
      <c r="W104" s="41">
        <v>2</v>
      </c>
      <c r="X104" s="42">
        <f>+$C$106</f>
        <v>277880205.90383077</v>
      </c>
      <c r="Y104" s="42">
        <f>AA103*$C$82</f>
        <v>223987968</v>
      </c>
      <c r="Z104" s="42">
        <f>X104-Y104</f>
        <v>53892237.903830767</v>
      </c>
      <c r="AA104" s="42">
        <f>AA103-Z104</f>
        <v>1339067762.0961692</v>
      </c>
      <c r="AB104" s="22">
        <v>2030</v>
      </c>
      <c r="AC104" s="41">
        <v>2</v>
      </c>
      <c r="AD104" s="42">
        <f>+$C$106</f>
        <v>277880205.90383077</v>
      </c>
      <c r="AE104" s="42">
        <f>AG103*$C$82</f>
        <v>223987968</v>
      </c>
      <c r="AF104" s="42">
        <f>AD104-AE104</f>
        <v>53892237.903830767</v>
      </c>
      <c r="AG104" s="43">
        <f>AG103-AF104</f>
        <v>1339067762.0961692</v>
      </c>
    </row>
    <row r="105" spans="2:33" x14ac:dyDescent="0.3">
      <c r="B105" s="25" t="s">
        <v>4</v>
      </c>
      <c r="C105" s="22">
        <v>11</v>
      </c>
      <c r="D105" s="22">
        <v>2027</v>
      </c>
      <c r="E105" s="41">
        <v>3</v>
      </c>
      <c r="F105" s="42">
        <f t="shared" ref="F105:F114" si="114">+$C$106</f>
        <v>277880205.90383077</v>
      </c>
      <c r="G105" s="42">
        <f t="shared" ref="G105:G114" si="115">I104*$C$82</f>
        <v>215322096.145064</v>
      </c>
      <c r="H105" s="42">
        <f t="shared" ref="H105:H114" si="116">F105-G105</f>
        <v>62558109.75876677</v>
      </c>
      <c r="I105" s="43">
        <f t="shared" ref="I105:I114" si="117">I104-H105</f>
        <v>1276509652.3374023</v>
      </c>
      <c r="J105" s="22">
        <v>2028</v>
      </c>
      <c r="K105" s="41">
        <v>3</v>
      </c>
      <c r="L105" s="42">
        <f t="shared" ref="L105:L114" si="118">+$C$106</f>
        <v>277880205.90383077</v>
      </c>
      <c r="M105" s="42">
        <f t="shared" ref="M105:M114" si="119">O104*$C$82</f>
        <v>215322096.145064</v>
      </c>
      <c r="N105" s="42">
        <f t="shared" ref="N105:N114" si="120">L105-M105</f>
        <v>62558109.75876677</v>
      </c>
      <c r="O105" s="42">
        <f t="shared" ref="O105:O114" si="121">O104-N105</f>
        <v>1276509652.3374023</v>
      </c>
      <c r="P105" s="22">
        <v>2029</v>
      </c>
      <c r="Q105" s="41">
        <v>3</v>
      </c>
      <c r="R105" s="42">
        <f t="shared" ref="R105:R114" si="122">+$C$106</f>
        <v>277880205.90383077</v>
      </c>
      <c r="S105" s="42">
        <f t="shared" ref="S105:S114" si="123">U104*$C$82</f>
        <v>215322096.145064</v>
      </c>
      <c r="T105" s="42">
        <f t="shared" ref="T105:T114" si="124">R105-S105</f>
        <v>62558109.75876677</v>
      </c>
      <c r="U105" s="42">
        <f t="shared" ref="U105:U114" si="125">U104-T105</f>
        <v>1276509652.3374023</v>
      </c>
      <c r="V105" s="22">
        <v>2030</v>
      </c>
      <c r="W105" s="41">
        <v>3</v>
      </c>
      <c r="X105" s="42">
        <f t="shared" ref="X105:X114" si="126">+$C$106</f>
        <v>277880205.90383077</v>
      </c>
      <c r="Y105" s="42">
        <f t="shared" ref="Y105:Y114" si="127">AA104*$C$82</f>
        <v>215322096.145064</v>
      </c>
      <c r="Z105" s="42">
        <f t="shared" ref="Z105:Z114" si="128">X105-Y105</f>
        <v>62558109.75876677</v>
      </c>
      <c r="AA105" s="42">
        <f t="shared" ref="AA105:AA114" si="129">AA104-Z105</f>
        <v>1276509652.3374023</v>
      </c>
      <c r="AB105" s="22">
        <v>2031</v>
      </c>
      <c r="AC105" s="41">
        <v>3</v>
      </c>
      <c r="AD105" s="42">
        <f t="shared" ref="AD105:AD114" si="130">+$C$106</f>
        <v>277880205.90383077</v>
      </c>
      <c r="AE105" s="42">
        <f t="shared" ref="AE105:AE114" si="131">AG104*$C$82</f>
        <v>215322096.145064</v>
      </c>
      <c r="AF105" s="42">
        <f t="shared" ref="AF105:AF114" si="132">AD105-AE105</f>
        <v>62558109.75876677</v>
      </c>
      <c r="AG105" s="43">
        <f t="shared" ref="AG105:AG114" si="133">AG104-AF105</f>
        <v>1276509652.3374023</v>
      </c>
    </row>
    <row r="106" spans="2:33" x14ac:dyDescent="0.3">
      <c r="B106" s="44" t="s">
        <v>5</v>
      </c>
      <c r="C106" s="45">
        <f>PMT(C102,C105,-C104)</f>
        <v>277880205.90383077</v>
      </c>
      <c r="D106" s="22">
        <v>2028</v>
      </c>
      <c r="E106" s="41">
        <v>4</v>
      </c>
      <c r="F106" s="42">
        <f t="shared" si="114"/>
        <v>277880205.90383077</v>
      </c>
      <c r="G106" s="42">
        <f t="shared" si="115"/>
        <v>205262752.09585428</v>
      </c>
      <c r="H106" s="42">
        <f t="shared" si="116"/>
        <v>72617453.807976484</v>
      </c>
      <c r="I106" s="43">
        <f t="shared" si="117"/>
        <v>1203892198.5294259</v>
      </c>
      <c r="J106" s="22">
        <v>2029</v>
      </c>
      <c r="K106" s="41">
        <v>4</v>
      </c>
      <c r="L106" s="42">
        <f t="shared" si="118"/>
        <v>277880205.90383077</v>
      </c>
      <c r="M106" s="42">
        <f t="shared" si="119"/>
        <v>205262752.09585428</v>
      </c>
      <c r="N106" s="42">
        <f t="shared" si="120"/>
        <v>72617453.807976484</v>
      </c>
      <c r="O106" s="42">
        <f t="shared" si="121"/>
        <v>1203892198.5294259</v>
      </c>
      <c r="P106" s="22">
        <v>2030</v>
      </c>
      <c r="Q106" s="41">
        <v>4</v>
      </c>
      <c r="R106" s="42">
        <f t="shared" si="122"/>
        <v>277880205.90383077</v>
      </c>
      <c r="S106" s="42">
        <f t="shared" si="123"/>
        <v>205262752.09585428</v>
      </c>
      <c r="T106" s="42">
        <f t="shared" si="124"/>
        <v>72617453.807976484</v>
      </c>
      <c r="U106" s="42">
        <f t="shared" si="125"/>
        <v>1203892198.5294259</v>
      </c>
      <c r="V106" s="22">
        <v>2031</v>
      </c>
      <c r="W106" s="41">
        <v>4</v>
      </c>
      <c r="X106" s="42">
        <f t="shared" si="126"/>
        <v>277880205.90383077</v>
      </c>
      <c r="Y106" s="42">
        <f t="shared" si="127"/>
        <v>205262752.09585428</v>
      </c>
      <c r="Z106" s="42">
        <f t="shared" si="128"/>
        <v>72617453.807976484</v>
      </c>
      <c r="AA106" s="42">
        <f t="shared" si="129"/>
        <v>1203892198.5294259</v>
      </c>
      <c r="AB106" s="22">
        <v>2032</v>
      </c>
      <c r="AC106" s="41">
        <v>4</v>
      </c>
      <c r="AD106" s="42">
        <f t="shared" si="130"/>
        <v>277880205.90383077</v>
      </c>
      <c r="AE106" s="42">
        <f t="shared" si="131"/>
        <v>205262752.09585428</v>
      </c>
      <c r="AF106" s="42">
        <f t="shared" si="132"/>
        <v>72617453.807976484</v>
      </c>
      <c r="AG106" s="43">
        <f t="shared" si="133"/>
        <v>1203892198.5294259</v>
      </c>
    </row>
    <row r="107" spans="2:33" x14ac:dyDescent="0.3">
      <c r="B107" s="25"/>
      <c r="D107" s="22">
        <v>2029</v>
      </c>
      <c r="E107" s="41">
        <v>5</v>
      </c>
      <c r="F107" s="42">
        <f t="shared" si="114"/>
        <v>277880205.90383077</v>
      </c>
      <c r="G107" s="42">
        <f t="shared" si="115"/>
        <v>193585865.52353168</v>
      </c>
      <c r="H107" s="42">
        <f t="shared" si="116"/>
        <v>84294340.380299091</v>
      </c>
      <c r="I107" s="43">
        <f t="shared" si="117"/>
        <v>1119597858.1491268</v>
      </c>
      <c r="J107" s="22">
        <v>2030</v>
      </c>
      <c r="K107" s="41">
        <v>5</v>
      </c>
      <c r="L107" s="42">
        <f t="shared" si="118"/>
        <v>277880205.90383077</v>
      </c>
      <c r="M107" s="42">
        <f t="shared" si="119"/>
        <v>193585865.52353168</v>
      </c>
      <c r="N107" s="42">
        <f t="shared" si="120"/>
        <v>84294340.380299091</v>
      </c>
      <c r="O107" s="42">
        <f t="shared" si="121"/>
        <v>1119597858.1491268</v>
      </c>
      <c r="P107" s="22">
        <v>2031</v>
      </c>
      <c r="Q107" s="41">
        <v>5</v>
      </c>
      <c r="R107" s="42">
        <f t="shared" si="122"/>
        <v>277880205.90383077</v>
      </c>
      <c r="S107" s="42">
        <f t="shared" si="123"/>
        <v>193585865.52353168</v>
      </c>
      <c r="T107" s="42">
        <f t="shared" si="124"/>
        <v>84294340.380299091</v>
      </c>
      <c r="U107" s="42">
        <f t="shared" si="125"/>
        <v>1119597858.1491268</v>
      </c>
      <c r="V107" s="22">
        <v>2032</v>
      </c>
      <c r="W107" s="41">
        <v>5</v>
      </c>
      <c r="X107" s="42">
        <f t="shared" si="126"/>
        <v>277880205.90383077</v>
      </c>
      <c r="Y107" s="42">
        <f t="shared" si="127"/>
        <v>193585865.52353168</v>
      </c>
      <c r="Z107" s="42">
        <f t="shared" si="128"/>
        <v>84294340.380299091</v>
      </c>
      <c r="AA107" s="42">
        <f t="shared" si="129"/>
        <v>1119597858.1491268</v>
      </c>
      <c r="AB107" s="22">
        <v>2033</v>
      </c>
      <c r="AC107" s="41">
        <v>5</v>
      </c>
      <c r="AD107" s="42">
        <f t="shared" si="130"/>
        <v>277880205.90383077</v>
      </c>
      <c r="AE107" s="42">
        <f t="shared" si="131"/>
        <v>193585865.52353168</v>
      </c>
      <c r="AF107" s="42">
        <f t="shared" si="132"/>
        <v>84294340.380299091</v>
      </c>
      <c r="AG107" s="43">
        <f t="shared" si="133"/>
        <v>1119597858.1491268</v>
      </c>
    </row>
    <row r="108" spans="2:33" x14ac:dyDescent="0.3">
      <c r="B108" s="25"/>
      <c r="D108" s="22">
        <v>2030</v>
      </c>
      <c r="E108" s="41">
        <v>6</v>
      </c>
      <c r="F108" s="42">
        <f t="shared" si="114"/>
        <v>277880205.90383077</v>
      </c>
      <c r="G108" s="42">
        <f t="shared" si="115"/>
        <v>180031335.5903796</v>
      </c>
      <c r="H108" s="42">
        <f t="shared" si="116"/>
        <v>97848870.313451171</v>
      </c>
      <c r="I108" s="43">
        <f t="shared" si="117"/>
        <v>1021748987.8356756</v>
      </c>
      <c r="J108" s="22">
        <v>2031</v>
      </c>
      <c r="K108" s="41">
        <v>6</v>
      </c>
      <c r="L108" s="42">
        <f t="shared" si="118"/>
        <v>277880205.90383077</v>
      </c>
      <c r="M108" s="42">
        <f t="shared" si="119"/>
        <v>180031335.5903796</v>
      </c>
      <c r="N108" s="42">
        <f t="shared" si="120"/>
        <v>97848870.313451171</v>
      </c>
      <c r="O108" s="42">
        <f t="shared" si="121"/>
        <v>1021748987.8356756</v>
      </c>
      <c r="P108" s="22">
        <v>2032</v>
      </c>
      <c r="Q108" s="41">
        <v>6</v>
      </c>
      <c r="R108" s="42">
        <f t="shared" si="122"/>
        <v>277880205.90383077</v>
      </c>
      <c r="S108" s="42">
        <f t="shared" si="123"/>
        <v>180031335.5903796</v>
      </c>
      <c r="T108" s="42">
        <f t="shared" si="124"/>
        <v>97848870.313451171</v>
      </c>
      <c r="U108" s="42">
        <f t="shared" si="125"/>
        <v>1021748987.8356756</v>
      </c>
      <c r="V108" s="22">
        <v>2033</v>
      </c>
      <c r="W108" s="41">
        <v>6</v>
      </c>
      <c r="X108" s="42">
        <f t="shared" si="126"/>
        <v>277880205.90383077</v>
      </c>
      <c r="Y108" s="42">
        <f t="shared" si="127"/>
        <v>180031335.5903796</v>
      </c>
      <c r="Z108" s="42">
        <f t="shared" si="128"/>
        <v>97848870.313451171</v>
      </c>
      <c r="AA108" s="42">
        <f t="shared" si="129"/>
        <v>1021748987.8356756</v>
      </c>
      <c r="AB108" s="22">
        <v>2034</v>
      </c>
      <c r="AC108" s="41">
        <v>6</v>
      </c>
      <c r="AD108" s="42">
        <f t="shared" si="130"/>
        <v>277880205.90383077</v>
      </c>
      <c r="AE108" s="42">
        <f t="shared" si="131"/>
        <v>180031335.5903796</v>
      </c>
      <c r="AF108" s="42">
        <f t="shared" si="132"/>
        <v>97848870.313451171</v>
      </c>
      <c r="AG108" s="43">
        <f t="shared" si="133"/>
        <v>1021748987.8356756</v>
      </c>
    </row>
    <row r="109" spans="2:33" x14ac:dyDescent="0.3">
      <c r="B109" s="25"/>
      <c r="D109" s="22">
        <v>2031</v>
      </c>
      <c r="E109" s="41">
        <v>7</v>
      </c>
      <c r="F109" s="42">
        <f t="shared" si="114"/>
        <v>277880205.90383077</v>
      </c>
      <c r="G109" s="42">
        <f t="shared" si="115"/>
        <v>164297237.24397662</v>
      </c>
      <c r="H109" s="42">
        <f t="shared" si="116"/>
        <v>113582968.65985414</v>
      </c>
      <c r="I109" s="43">
        <f t="shared" si="117"/>
        <v>908166019.17582142</v>
      </c>
      <c r="J109" s="22">
        <v>2032</v>
      </c>
      <c r="K109" s="41">
        <v>7</v>
      </c>
      <c r="L109" s="42">
        <f t="shared" si="118"/>
        <v>277880205.90383077</v>
      </c>
      <c r="M109" s="42">
        <f t="shared" si="119"/>
        <v>164297237.24397662</v>
      </c>
      <c r="N109" s="42">
        <f t="shared" si="120"/>
        <v>113582968.65985414</v>
      </c>
      <c r="O109" s="42">
        <f t="shared" si="121"/>
        <v>908166019.17582142</v>
      </c>
      <c r="P109" s="22">
        <v>2033</v>
      </c>
      <c r="Q109" s="41">
        <v>7</v>
      </c>
      <c r="R109" s="42">
        <f t="shared" si="122"/>
        <v>277880205.90383077</v>
      </c>
      <c r="S109" s="42">
        <f t="shared" si="123"/>
        <v>164297237.24397662</v>
      </c>
      <c r="T109" s="42">
        <f t="shared" si="124"/>
        <v>113582968.65985414</v>
      </c>
      <c r="U109" s="42">
        <f t="shared" si="125"/>
        <v>908166019.17582142</v>
      </c>
      <c r="V109" s="22">
        <v>2034</v>
      </c>
      <c r="W109" s="41">
        <v>7</v>
      </c>
      <c r="X109" s="42">
        <f t="shared" si="126"/>
        <v>277880205.90383077</v>
      </c>
      <c r="Y109" s="42">
        <f t="shared" si="127"/>
        <v>164297237.24397662</v>
      </c>
      <c r="Z109" s="42">
        <f t="shared" si="128"/>
        <v>113582968.65985414</v>
      </c>
      <c r="AA109" s="42">
        <f t="shared" si="129"/>
        <v>908166019.17582142</v>
      </c>
      <c r="AB109" s="22">
        <v>2035</v>
      </c>
      <c r="AC109" s="41">
        <v>7</v>
      </c>
      <c r="AD109" s="42">
        <f t="shared" si="130"/>
        <v>277880205.90383077</v>
      </c>
      <c r="AE109" s="42">
        <f t="shared" si="131"/>
        <v>164297237.24397662</v>
      </c>
      <c r="AF109" s="42">
        <f t="shared" si="132"/>
        <v>113582968.65985414</v>
      </c>
      <c r="AG109" s="43">
        <f t="shared" si="133"/>
        <v>908166019.17582142</v>
      </c>
    </row>
    <row r="110" spans="2:33" x14ac:dyDescent="0.3">
      <c r="B110" s="25"/>
      <c r="D110" s="22">
        <v>2032</v>
      </c>
      <c r="E110" s="41">
        <v>8</v>
      </c>
      <c r="F110" s="42">
        <f t="shared" si="114"/>
        <v>277880205.90383077</v>
      </c>
      <c r="G110" s="42">
        <f t="shared" si="115"/>
        <v>146033095.88347208</v>
      </c>
      <c r="H110" s="42">
        <f t="shared" si="116"/>
        <v>131847110.02035868</v>
      </c>
      <c r="I110" s="43">
        <f t="shared" si="117"/>
        <v>776318909.15546274</v>
      </c>
      <c r="J110" s="22">
        <v>2033</v>
      </c>
      <c r="K110" s="41">
        <v>8</v>
      </c>
      <c r="L110" s="42">
        <f t="shared" si="118"/>
        <v>277880205.90383077</v>
      </c>
      <c r="M110" s="42">
        <f t="shared" si="119"/>
        <v>146033095.88347208</v>
      </c>
      <c r="N110" s="42">
        <f t="shared" si="120"/>
        <v>131847110.02035868</v>
      </c>
      <c r="O110" s="42">
        <f t="shared" si="121"/>
        <v>776318909.15546274</v>
      </c>
      <c r="P110" s="22">
        <v>2034</v>
      </c>
      <c r="Q110" s="41">
        <v>8</v>
      </c>
      <c r="R110" s="42">
        <f t="shared" si="122"/>
        <v>277880205.90383077</v>
      </c>
      <c r="S110" s="42">
        <f t="shared" si="123"/>
        <v>146033095.88347208</v>
      </c>
      <c r="T110" s="42">
        <f t="shared" si="124"/>
        <v>131847110.02035868</v>
      </c>
      <c r="U110" s="42">
        <f t="shared" si="125"/>
        <v>776318909.15546274</v>
      </c>
      <c r="V110" s="22">
        <v>2035</v>
      </c>
      <c r="W110" s="41">
        <v>8</v>
      </c>
      <c r="X110" s="42">
        <f t="shared" si="126"/>
        <v>277880205.90383077</v>
      </c>
      <c r="Y110" s="42">
        <f t="shared" si="127"/>
        <v>146033095.88347208</v>
      </c>
      <c r="Z110" s="42">
        <f t="shared" si="128"/>
        <v>131847110.02035868</v>
      </c>
      <c r="AA110" s="42">
        <f t="shared" si="129"/>
        <v>776318909.15546274</v>
      </c>
      <c r="AB110" s="22">
        <v>2036</v>
      </c>
      <c r="AC110" s="41">
        <v>8</v>
      </c>
      <c r="AD110" s="42">
        <f t="shared" si="130"/>
        <v>277880205.90383077</v>
      </c>
      <c r="AE110" s="42">
        <f t="shared" si="131"/>
        <v>146033095.88347208</v>
      </c>
      <c r="AF110" s="42">
        <f t="shared" si="132"/>
        <v>131847110.02035868</v>
      </c>
      <c r="AG110" s="43">
        <f t="shared" si="133"/>
        <v>776318909.15546274</v>
      </c>
    </row>
    <row r="111" spans="2:33" x14ac:dyDescent="0.3">
      <c r="B111" s="25"/>
      <c r="D111" s="22">
        <v>2033</v>
      </c>
      <c r="E111" s="41">
        <v>9</v>
      </c>
      <c r="F111" s="42">
        <f t="shared" si="114"/>
        <v>277880205.90383077</v>
      </c>
      <c r="G111" s="42">
        <f t="shared" si="115"/>
        <v>124832080.5921984</v>
      </c>
      <c r="H111" s="42">
        <f t="shared" si="116"/>
        <v>153048125.31163236</v>
      </c>
      <c r="I111" s="43">
        <f t="shared" si="117"/>
        <v>623270783.84383035</v>
      </c>
      <c r="J111" s="22">
        <v>2034</v>
      </c>
      <c r="K111" s="41">
        <v>9</v>
      </c>
      <c r="L111" s="42">
        <f t="shared" si="118"/>
        <v>277880205.90383077</v>
      </c>
      <c r="M111" s="42">
        <f t="shared" si="119"/>
        <v>124832080.5921984</v>
      </c>
      <c r="N111" s="42">
        <f t="shared" si="120"/>
        <v>153048125.31163236</v>
      </c>
      <c r="O111" s="42">
        <f t="shared" si="121"/>
        <v>623270783.84383035</v>
      </c>
      <c r="P111" s="22">
        <v>2035</v>
      </c>
      <c r="Q111" s="41">
        <v>9</v>
      </c>
      <c r="R111" s="42">
        <f t="shared" si="122"/>
        <v>277880205.90383077</v>
      </c>
      <c r="S111" s="42">
        <f t="shared" si="123"/>
        <v>124832080.5921984</v>
      </c>
      <c r="T111" s="42">
        <f t="shared" si="124"/>
        <v>153048125.31163236</v>
      </c>
      <c r="U111" s="42">
        <f t="shared" si="125"/>
        <v>623270783.84383035</v>
      </c>
      <c r="V111" s="22">
        <v>2036</v>
      </c>
      <c r="W111" s="41">
        <v>9</v>
      </c>
      <c r="X111" s="42">
        <f t="shared" si="126"/>
        <v>277880205.90383077</v>
      </c>
      <c r="Y111" s="42">
        <f t="shared" si="127"/>
        <v>124832080.5921984</v>
      </c>
      <c r="Z111" s="42">
        <f t="shared" si="128"/>
        <v>153048125.31163236</v>
      </c>
      <c r="AA111" s="42">
        <f t="shared" si="129"/>
        <v>623270783.84383035</v>
      </c>
      <c r="AB111" s="22">
        <v>2037</v>
      </c>
      <c r="AC111" s="41">
        <v>9</v>
      </c>
      <c r="AD111" s="42">
        <f t="shared" si="130"/>
        <v>277880205.90383077</v>
      </c>
      <c r="AE111" s="42">
        <f t="shared" si="131"/>
        <v>124832080.5921984</v>
      </c>
      <c r="AF111" s="42">
        <f t="shared" si="132"/>
        <v>153048125.31163236</v>
      </c>
      <c r="AG111" s="43">
        <f t="shared" si="133"/>
        <v>623270783.84383035</v>
      </c>
    </row>
    <row r="112" spans="2:33" x14ac:dyDescent="0.3">
      <c r="B112" s="25"/>
      <c r="D112" s="22">
        <v>2034</v>
      </c>
      <c r="E112" s="41">
        <v>10</v>
      </c>
      <c r="F112" s="42">
        <f t="shared" si="114"/>
        <v>277880205.90383077</v>
      </c>
      <c r="G112" s="42">
        <f t="shared" si="115"/>
        <v>100221942.04208791</v>
      </c>
      <c r="H112" s="42">
        <f t="shared" si="116"/>
        <v>177658263.86174285</v>
      </c>
      <c r="I112" s="43">
        <f t="shared" si="117"/>
        <v>445612519.98208749</v>
      </c>
      <c r="J112" s="22">
        <v>2035</v>
      </c>
      <c r="K112" s="41">
        <v>10</v>
      </c>
      <c r="L112" s="42">
        <f t="shared" si="118"/>
        <v>277880205.90383077</v>
      </c>
      <c r="M112" s="42">
        <f t="shared" si="119"/>
        <v>100221942.04208791</v>
      </c>
      <c r="N112" s="42">
        <f t="shared" si="120"/>
        <v>177658263.86174285</v>
      </c>
      <c r="O112" s="42">
        <f t="shared" si="121"/>
        <v>445612519.98208749</v>
      </c>
      <c r="P112" s="22">
        <v>2036</v>
      </c>
      <c r="Q112" s="41">
        <v>10</v>
      </c>
      <c r="R112" s="42">
        <f t="shared" si="122"/>
        <v>277880205.90383077</v>
      </c>
      <c r="S112" s="42">
        <f t="shared" si="123"/>
        <v>100221942.04208791</v>
      </c>
      <c r="T112" s="42">
        <f t="shared" si="124"/>
        <v>177658263.86174285</v>
      </c>
      <c r="U112" s="42">
        <f t="shared" si="125"/>
        <v>445612519.98208749</v>
      </c>
      <c r="V112" s="22">
        <v>2037</v>
      </c>
      <c r="W112" s="41">
        <v>10</v>
      </c>
      <c r="X112" s="42">
        <f t="shared" si="126"/>
        <v>277880205.90383077</v>
      </c>
      <c r="Y112" s="42">
        <f t="shared" si="127"/>
        <v>100221942.04208791</v>
      </c>
      <c r="Z112" s="42">
        <f t="shared" si="128"/>
        <v>177658263.86174285</v>
      </c>
      <c r="AA112" s="42">
        <f t="shared" si="129"/>
        <v>445612519.98208749</v>
      </c>
      <c r="AB112" s="22">
        <v>2038</v>
      </c>
      <c r="AC112" s="41">
        <v>10</v>
      </c>
      <c r="AD112" s="42">
        <f t="shared" si="130"/>
        <v>277880205.90383077</v>
      </c>
      <c r="AE112" s="42">
        <f t="shared" si="131"/>
        <v>100221942.04208791</v>
      </c>
      <c r="AF112" s="42">
        <f t="shared" si="132"/>
        <v>177658263.86174285</v>
      </c>
      <c r="AG112" s="43">
        <f t="shared" si="133"/>
        <v>445612519.98208749</v>
      </c>
    </row>
    <row r="113" spans="2:33" x14ac:dyDescent="0.3">
      <c r="B113" s="25"/>
      <c r="D113" s="22">
        <v>2035</v>
      </c>
      <c r="E113" s="41">
        <v>11</v>
      </c>
      <c r="F113" s="42">
        <f t="shared" si="114"/>
        <v>277880205.90383077</v>
      </c>
      <c r="G113" s="42">
        <f t="shared" si="115"/>
        <v>71654493.213119671</v>
      </c>
      <c r="H113" s="42">
        <f t="shared" si="116"/>
        <v>206225712.69071108</v>
      </c>
      <c r="I113" s="43">
        <f t="shared" si="117"/>
        <v>239386807.29137641</v>
      </c>
      <c r="J113" s="22">
        <v>2036</v>
      </c>
      <c r="K113" s="41">
        <v>11</v>
      </c>
      <c r="L113" s="42">
        <f t="shared" si="118"/>
        <v>277880205.90383077</v>
      </c>
      <c r="M113" s="42">
        <f t="shared" si="119"/>
        <v>71654493.213119671</v>
      </c>
      <c r="N113" s="42">
        <f t="shared" si="120"/>
        <v>206225712.69071108</v>
      </c>
      <c r="O113" s="42">
        <f t="shared" si="121"/>
        <v>239386807.29137641</v>
      </c>
      <c r="P113" s="22">
        <v>2037</v>
      </c>
      <c r="Q113" s="41">
        <v>11</v>
      </c>
      <c r="R113" s="42">
        <f t="shared" si="122"/>
        <v>277880205.90383077</v>
      </c>
      <c r="S113" s="42">
        <f t="shared" si="123"/>
        <v>71654493.213119671</v>
      </c>
      <c r="T113" s="42">
        <f t="shared" si="124"/>
        <v>206225712.69071108</v>
      </c>
      <c r="U113" s="42">
        <f t="shared" si="125"/>
        <v>239386807.29137641</v>
      </c>
      <c r="V113" s="22">
        <v>2038</v>
      </c>
      <c r="W113" s="41">
        <v>11</v>
      </c>
      <c r="X113" s="42">
        <f t="shared" si="126"/>
        <v>277880205.90383077</v>
      </c>
      <c r="Y113" s="42">
        <f t="shared" si="127"/>
        <v>71654493.213119671</v>
      </c>
      <c r="Z113" s="42">
        <f t="shared" si="128"/>
        <v>206225712.69071108</v>
      </c>
      <c r="AA113" s="42">
        <f t="shared" si="129"/>
        <v>239386807.29137641</v>
      </c>
      <c r="AB113" s="22">
        <v>2039</v>
      </c>
      <c r="AC113" s="41">
        <v>11</v>
      </c>
      <c r="AD113" s="42">
        <f t="shared" si="130"/>
        <v>277880205.90383077</v>
      </c>
      <c r="AE113" s="42">
        <f t="shared" si="131"/>
        <v>71654493.213119671</v>
      </c>
      <c r="AF113" s="42">
        <f t="shared" si="132"/>
        <v>206225712.69071108</v>
      </c>
      <c r="AG113" s="43">
        <f t="shared" si="133"/>
        <v>239386807.29137641</v>
      </c>
    </row>
    <row r="114" spans="2:33" ht="15" thickBot="1" x14ac:dyDescent="0.35">
      <c r="B114" s="27"/>
      <c r="C114" s="47"/>
      <c r="D114" s="47">
        <v>2036</v>
      </c>
      <c r="E114" s="50">
        <v>12</v>
      </c>
      <c r="F114" s="52">
        <f t="shared" si="114"/>
        <v>277880205.90383077</v>
      </c>
      <c r="G114" s="52">
        <f t="shared" si="115"/>
        <v>38493398.612453327</v>
      </c>
      <c r="H114" s="52">
        <f t="shared" si="116"/>
        <v>239386807.29137743</v>
      </c>
      <c r="I114" s="53">
        <f t="shared" si="117"/>
        <v>-1.0132789611816406E-6</v>
      </c>
      <c r="J114" s="22">
        <v>2037</v>
      </c>
      <c r="K114" s="41">
        <v>12</v>
      </c>
      <c r="L114" s="42">
        <f t="shared" si="118"/>
        <v>277880205.90383077</v>
      </c>
      <c r="M114" s="42">
        <f t="shared" si="119"/>
        <v>38493398.612453327</v>
      </c>
      <c r="N114" s="42">
        <f t="shared" si="120"/>
        <v>239386807.29137743</v>
      </c>
      <c r="O114" s="42">
        <f t="shared" si="121"/>
        <v>-1.0132789611816406E-6</v>
      </c>
      <c r="P114" s="22">
        <v>2038</v>
      </c>
      <c r="Q114" s="41">
        <v>12</v>
      </c>
      <c r="R114" s="42">
        <f t="shared" si="122"/>
        <v>277880205.90383077</v>
      </c>
      <c r="S114" s="42">
        <f t="shared" si="123"/>
        <v>38493398.612453327</v>
      </c>
      <c r="T114" s="42">
        <f t="shared" si="124"/>
        <v>239386807.29137743</v>
      </c>
      <c r="U114" s="42">
        <f t="shared" si="125"/>
        <v>-1.0132789611816406E-6</v>
      </c>
      <c r="V114" s="22">
        <v>2039</v>
      </c>
      <c r="W114" s="41">
        <v>12</v>
      </c>
      <c r="X114" s="42">
        <f t="shared" si="126"/>
        <v>277880205.90383077</v>
      </c>
      <c r="Y114" s="42">
        <f t="shared" si="127"/>
        <v>38493398.612453327</v>
      </c>
      <c r="Z114" s="42">
        <f t="shared" si="128"/>
        <v>239386807.29137743</v>
      </c>
      <c r="AA114" s="42">
        <f t="shared" si="129"/>
        <v>-1.0132789611816406E-6</v>
      </c>
      <c r="AB114" s="22">
        <v>2040</v>
      </c>
      <c r="AC114" s="41">
        <v>12</v>
      </c>
      <c r="AD114" s="42">
        <f t="shared" si="130"/>
        <v>277880205.90383077</v>
      </c>
      <c r="AE114" s="42">
        <f t="shared" si="131"/>
        <v>38493398.612453327</v>
      </c>
      <c r="AF114" s="42">
        <f t="shared" si="132"/>
        <v>239386807.29137743</v>
      </c>
      <c r="AG114" s="43">
        <f t="shared" si="133"/>
        <v>-1.0132789611816406E-6</v>
      </c>
    </row>
    <row r="115" spans="2:33" ht="15" thickBot="1" x14ac:dyDescent="0.35">
      <c r="B115" s="25"/>
      <c r="I115" s="41"/>
      <c r="U115" s="65">
        <f>+C101*5</f>
        <v>6000000000</v>
      </c>
      <c r="AG115" s="46"/>
    </row>
    <row r="116" spans="2:33" x14ac:dyDescent="0.3">
      <c r="B116" s="62"/>
      <c r="C116" s="36" t="s">
        <v>87</v>
      </c>
      <c r="D116" s="36">
        <v>2024</v>
      </c>
      <c r="E116" s="36">
        <v>2025</v>
      </c>
      <c r="F116" s="36">
        <v>2026</v>
      </c>
      <c r="G116" s="36">
        <v>2027</v>
      </c>
      <c r="H116" s="36">
        <v>2028</v>
      </c>
      <c r="I116" s="36">
        <v>2029</v>
      </c>
      <c r="J116" s="36">
        <v>2030</v>
      </c>
      <c r="K116" s="36">
        <v>2031</v>
      </c>
      <c r="L116" s="36">
        <v>2032</v>
      </c>
      <c r="M116" s="36">
        <v>2033</v>
      </c>
      <c r="N116" s="36">
        <v>2034</v>
      </c>
      <c r="O116" s="36">
        <v>2035</v>
      </c>
      <c r="P116" s="36">
        <v>2036</v>
      </c>
      <c r="Q116" s="36">
        <v>2037</v>
      </c>
      <c r="R116" s="36">
        <v>2038</v>
      </c>
      <c r="S116" s="36">
        <v>2039</v>
      </c>
      <c r="T116" s="36">
        <v>2040</v>
      </c>
      <c r="U116" s="63" t="s">
        <v>86</v>
      </c>
      <c r="V116" s="68">
        <f>+U117/U115</f>
        <v>2.5472352207851157</v>
      </c>
      <c r="AG116" s="46"/>
    </row>
    <row r="117" spans="2:33" ht="15" thickBot="1" x14ac:dyDescent="0.35">
      <c r="B117" s="98" t="s">
        <v>98</v>
      </c>
      <c r="C117" s="99"/>
      <c r="D117" s="47">
        <f>+F102</f>
        <v>0</v>
      </c>
      <c r="E117" s="48">
        <f>+F103+L102</f>
        <v>0</v>
      </c>
      <c r="F117" s="48">
        <f>+F104+L103+R102</f>
        <v>277880205.90383077</v>
      </c>
      <c r="G117" s="48">
        <f>+F105+L104+R103+X102</f>
        <v>555760411.80766153</v>
      </c>
      <c r="H117" s="48">
        <f>+F106+L105+R104+X103+AD102</f>
        <v>833640617.7114923</v>
      </c>
      <c r="I117" s="48">
        <f>+F107+L106+R105+X104+AD103</f>
        <v>1111520823.6153231</v>
      </c>
      <c r="J117" s="48">
        <f>+F108+L107+R106+X105+AD104</f>
        <v>1389401029.5191538</v>
      </c>
      <c r="K117" s="48">
        <f>+F109+L108+R107+X106+AD105</f>
        <v>1389401029.5191538</v>
      </c>
      <c r="L117" s="48">
        <f>+F110+L109+R108+X107+AD106</f>
        <v>1389401029.5191538</v>
      </c>
      <c r="M117" s="48">
        <f>+F111+L110+R109+X108+AD107</f>
        <v>1389401029.5191538</v>
      </c>
      <c r="N117" s="48">
        <f>+F112+L111+R110+X109+AD108</f>
        <v>1389401029.5191538</v>
      </c>
      <c r="O117" s="48">
        <f>+F113+L112+R111+X110+AD109</f>
        <v>1389401029.5191538</v>
      </c>
      <c r="P117" s="48">
        <f>+F114+L113+R112+X111+AD110</f>
        <v>1389401029.5191538</v>
      </c>
      <c r="Q117" s="48">
        <f>+L114+R113+X112+AD111</f>
        <v>1111520823.6153231</v>
      </c>
      <c r="R117" s="48">
        <f>+R114+X113+AD112</f>
        <v>833640617.7114923</v>
      </c>
      <c r="S117" s="48">
        <f>+X114+AD113</f>
        <v>555760411.80766153</v>
      </c>
      <c r="T117" s="48">
        <f>+AD114</f>
        <v>277880205.90383077</v>
      </c>
      <c r="U117" s="60">
        <f>SUM(D117:T117)</f>
        <v>15283411324.710693</v>
      </c>
      <c r="V117" s="66">
        <f>+U115/U117</f>
        <v>0.39258251135981753</v>
      </c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9"/>
    </row>
    <row r="119" spans="2:33" ht="15" thickBot="1" x14ac:dyDescent="0.35"/>
    <row r="120" spans="2:33" s="23" customFormat="1" ht="15" thickBot="1" x14ac:dyDescent="0.35">
      <c r="B120" s="95" t="s">
        <v>99</v>
      </c>
      <c r="C120" s="97"/>
      <c r="D120" s="54"/>
      <c r="E120" s="95">
        <v>2024</v>
      </c>
      <c r="F120" s="96"/>
      <c r="G120" s="96"/>
      <c r="H120" s="96"/>
      <c r="I120" s="97"/>
      <c r="J120" s="54"/>
      <c r="K120" s="95">
        <v>2025</v>
      </c>
      <c r="L120" s="96"/>
      <c r="M120" s="96"/>
      <c r="N120" s="96"/>
      <c r="O120" s="97"/>
      <c r="P120" s="54"/>
      <c r="Q120" s="95">
        <v>2026</v>
      </c>
      <c r="R120" s="96"/>
      <c r="S120" s="96"/>
      <c r="T120" s="96"/>
      <c r="U120" s="97"/>
      <c r="V120" s="54"/>
      <c r="W120" s="95">
        <v>2027</v>
      </c>
      <c r="X120" s="96"/>
      <c r="Y120" s="96"/>
      <c r="Z120" s="96"/>
      <c r="AA120" s="97"/>
      <c r="AB120" s="54"/>
      <c r="AC120" s="95">
        <v>2028</v>
      </c>
      <c r="AD120" s="96"/>
      <c r="AE120" s="96"/>
      <c r="AF120" s="96"/>
      <c r="AG120" s="97"/>
    </row>
    <row r="121" spans="2:33" x14ac:dyDescent="0.3">
      <c r="B121" s="25" t="s">
        <v>1</v>
      </c>
      <c r="C121" s="37">
        <v>800000000</v>
      </c>
      <c r="D121" s="37"/>
      <c r="E121" s="38" t="s">
        <v>0</v>
      </c>
      <c r="F121" s="38" t="s">
        <v>23</v>
      </c>
      <c r="G121" s="38" t="s">
        <v>24</v>
      </c>
      <c r="H121" s="38" t="s">
        <v>25</v>
      </c>
      <c r="I121" s="39" t="s">
        <v>26</v>
      </c>
      <c r="K121" s="38" t="s">
        <v>0</v>
      </c>
      <c r="L121" s="38" t="s">
        <v>23</v>
      </c>
      <c r="M121" s="38" t="s">
        <v>24</v>
      </c>
      <c r="N121" s="38" t="s">
        <v>25</v>
      </c>
      <c r="O121" s="38" t="s">
        <v>26</v>
      </c>
      <c r="Q121" s="38" t="s">
        <v>0</v>
      </c>
      <c r="R121" s="38" t="s">
        <v>23</v>
      </c>
      <c r="S121" s="38" t="s">
        <v>24</v>
      </c>
      <c r="T121" s="38" t="s">
        <v>25</v>
      </c>
      <c r="U121" s="38" t="s">
        <v>26</v>
      </c>
      <c r="W121" s="38" t="s">
        <v>0</v>
      </c>
      <c r="X121" s="38" t="s">
        <v>23</v>
      </c>
      <c r="Y121" s="38" t="s">
        <v>24</v>
      </c>
      <c r="Z121" s="38" t="s">
        <v>25</v>
      </c>
      <c r="AA121" s="38" t="s">
        <v>26</v>
      </c>
      <c r="AC121" s="38" t="s">
        <v>0</v>
      </c>
      <c r="AD121" s="38" t="s">
        <v>23</v>
      </c>
      <c r="AE121" s="38" t="s">
        <v>24</v>
      </c>
      <c r="AF121" s="38" t="s">
        <v>25</v>
      </c>
      <c r="AG121" s="39" t="s">
        <v>26</v>
      </c>
    </row>
    <row r="122" spans="2:33" x14ac:dyDescent="0.3">
      <c r="B122" s="25" t="s">
        <v>22</v>
      </c>
      <c r="C122" s="40">
        <v>0.1608</v>
      </c>
      <c r="D122" s="22">
        <v>2024</v>
      </c>
      <c r="E122" s="41">
        <v>0</v>
      </c>
      <c r="F122" s="41"/>
      <c r="G122" s="41"/>
      <c r="H122" s="41"/>
      <c r="I122" s="43">
        <f>+C121</f>
        <v>800000000</v>
      </c>
      <c r="J122" s="22">
        <v>2025</v>
      </c>
      <c r="K122" s="41">
        <v>0</v>
      </c>
      <c r="L122" s="41"/>
      <c r="M122" s="41"/>
      <c r="N122" s="41"/>
      <c r="O122" s="42">
        <f>+I122</f>
        <v>800000000</v>
      </c>
      <c r="P122" s="22">
        <v>2026</v>
      </c>
      <c r="Q122" s="41">
        <v>0</v>
      </c>
      <c r="R122" s="41"/>
      <c r="S122" s="41"/>
      <c r="T122" s="41"/>
      <c r="U122" s="42">
        <f>+O122</f>
        <v>800000000</v>
      </c>
      <c r="V122" s="22">
        <v>2027</v>
      </c>
      <c r="W122" s="41">
        <v>0</v>
      </c>
      <c r="X122" s="41"/>
      <c r="Y122" s="41"/>
      <c r="Z122" s="41"/>
      <c r="AA122" s="42">
        <f>+U122</f>
        <v>800000000</v>
      </c>
      <c r="AB122" s="22">
        <v>2028</v>
      </c>
      <c r="AC122" s="41">
        <v>0</v>
      </c>
      <c r="AD122" s="41"/>
      <c r="AE122" s="41"/>
      <c r="AF122" s="41"/>
      <c r="AG122" s="43">
        <f>+AA122</f>
        <v>800000000</v>
      </c>
    </row>
    <row r="123" spans="2:33" x14ac:dyDescent="0.3">
      <c r="B123" s="25" t="s">
        <v>4</v>
      </c>
      <c r="C123" s="22">
        <v>1</v>
      </c>
      <c r="D123" s="22">
        <v>2025</v>
      </c>
      <c r="E123" s="41">
        <v>1</v>
      </c>
      <c r="F123" s="42">
        <v>0</v>
      </c>
      <c r="G123" s="42">
        <f>I122*$C$82</f>
        <v>128640000</v>
      </c>
      <c r="H123" s="42">
        <f>F123-G123</f>
        <v>-128640000</v>
      </c>
      <c r="I123" s="43">
        <f>I122-H123</f>
        <v>928640000</v>
      </c>
      <c r="J123" s="22">
        <v>2026</v>
      </c>
      <c r="K123" s="41">
        <v>1</v>
      </c>
      <c r="L123" s="42">
        <v>0</v>
      </c>
      <c r="M123" s="42">
        <f>O122*$C$82</f>
        <v>128640000</v>
      </c>
      <c r="N123" s="42">
        <f>L123-M123</f>
        <v>-128640000</v>
      </c>
      <c r="O123" s="42">
        <f>O122-N123</f>
        <v>928640000</v>
      </c>
      <c r="P123" s="22">
        <v>2027</v>
      </c>
      <c r="Q123" s="41">
        <v>1</v>
      </c>
      <c r="R123" s="42">
        <v>0</v>
      </c>
      <c r="S123" s="42">
        <f>U122*$C$82</f>
        <v>128640000</v>
      </c>
      <c r="T123" s="42">
        <f>R123-S123</f>
        <v>-128640000</v>
      </c>
      <c r="U123" s="42">
        <f>U122-T123</f>
        <v>928640000</v>
      </c>
      <c r="V123" s="22">
        <v>2028</v>
      </c>
      <c r="W123" s="41">
        <v>1</v>
      </c>
      <c r="X123" s="42">
        <v>0</v>
      </c>
      <c r="Y123" s="42">
        <f>AA122*$C$82</f>
        <v>128640000</v>
      </c>
      <c r="Z123" s="42">
        <f>X123-Y123</f>
        <v>-128640000</v>
      </c>
      <c r="AA123" s="42">
        <f>AA122-Z123</f>
        <v>928640000</v>
      </c>
      <c r="AB123" s="22">
        <v>2029</v>
      </c>
      <c r="AC123" s="41">
        <v>1</v>
      </c>
      <c r="AD123" s="42">
        <v>0</v>
      </c>
      <c r="AE123" s="42">
        <f>AG122*$C$82</f>
        <v>128640000</v>
      </c>
      <c r="AF123" s="42">
        <f>AD123-AE123</f>
        <v>-128640000</v>
      </c>
      <c r="AG123" s="43">
        <f>AG122-AF123</f>
        <v>928640000</v>
      </c>
    </row>
    <row r="124" spans="2:33" x14ac:dyDescent="0.3">
      <c r="B124" s="44" t="s">
        <v>85</v>
      </c>
      <c r="C124" s="45">
        <f>FV(C122,C123,,-C121)</f>
        <v>928640000</v>
      </c>
      <c r="D124" s="22">
        <v>2026</v>
      </c>
      <c r="E124" s="41">
        <v>2</v>
      </c>
      <c r="F124" s="42">
        <f>+$C$126</f>
        <v>185253470.60255381</v>
      </c>
      <c r="G124" s="42">
        <f>I123*$C$82</f>
        <v>149325312</v>
      </c>
      <c r="H124" s="42">
        <f>F124-G124</f>
        <v>35928158.602553815</v>
      </c>
      <c r="I124" s="43">
        <f>I123-H124</f>
        <v>892711841.39744616</v>
      </c>
      <c r="J124" s="22">
        <v>2027</v>
      </c>
      <c r="K124" s="41">
        <v>2</v>
      </c>
      <c r="L124" s="42">
        <f>+$C$126</f>
        <v>185253470.60255381</v>
      </c>
      <c r="M124" s="42">
        <f>O123*$C$82</f>
        <v>149325312</v>
      </c>
      <c r="N124" s="42">
        <f>L124-M124</f>
        <v>35928158.602553815</v>
      </c>
      <c r="O124" s="42">
        <f>O123-N124</f>
        <v>892711841.39744616</v>
      </c>
      <c r="P124" s="22">
        <v>2028</v>
      </c>
      <c r="Q124" s="41">
        <v>2</v>
      </c>
      <c r="R124" s="42">
        <f>+$C$126</f>
        <v>185253470.60255381</v>
      </c>
      <c r="S124" s="42">
        <f>U123*$C$82</f>
        <v>149325312</v>
      </c>
      <c r="T124" s="42">
        <f>R124-S124</f>
        <v>35928158.602553815</v>
      </c>
      <c r="U124" s="42">
        <f>U123-T124</f>
        <v>892711841.39744616</v>
      </c>
      <c r="V124" s="22">
        <v>2029</v>
      </c>
      <c r="W124" s="41">
        <v>2</v>
      </c>
      <c r="X124" s="42">
        <f>+$C$126</f>
        <v>185253470.60255381</v>
      </c>
      <c r="Y124" s="42">
        <f>AA123*$C$82</f>
        <v>149325312</v>
      </c>
      <c r="Z124" s="42">
        <f>X124-Y124</f>
        <v>35928158.602553815</v>
      </c>
      <c r="AA124" s="42">
        <f>AA123-Z124</f>
        <v>892711841.39744616</v>
      </c>
      <c r="AB124" s="22">
        <v>2030</v>
      </c>
      <c r="AC124" s="41">
        <v>2</v>
      </c>
      <c r="AD124" s="42">
        <f>+$C$126</f>
        <v>185253470.60255381</v>
      </c>
      <c r="AE124" s="42">
        <f>AG123*$C$82</f>
        <v>149325312</v>
      </c>
      <c r="AF124" s="42">
        <f>AD124-AE124</f>
        <v>35928158.602553815</v>
      </c>
      <c r="AG124" s="43">
        <f>AG123-AF124</f>
        <v>892711841.39744616</v>
      </c>
    </row>
    <row r="125" spans="2:33" x14ac:dyDescent="0.3">
      <c r="B125" s="25" t="s">
        <v>4</v>
      </c>
      <c r="C125" s="22">
        <v>11</v>
      </c>
      <c r="D125" s="22">
        <v>2027</v>
      </c>
      <c r="E125" s="41">
        <v>3</v>
      </c>
      <c r="F125" s="42">
        <f t="shared" ref="F125:F134" si="134">+$C$126</f>
        <v>185253470.60255381</v>
      </c>
      <c r="G125" s="42">
        <f t="shared" ref="G125:G134" si="135">I124*$C$82</f>
        <v>143548064.09670934</v>
      </c>
      <c r="H125" s="42">
        <f t="shared" ref="H125:H134" si="136">F125-G125</f>
        <v>41705406.505844474</v>
      </c>
      <c r="I125" s="43">
        <f t="shared" ref="I125:I134" si="137">I124-H125</f>
        <v>851006434.89160168</v>
      </c>
      <c r="J125" s="22">
        <v>2028</v>
      </c>
      <c r="K125" s="41">
        <v>3</v>
      </c>
      <c r="L125" s="42">
        <f t="shared" ref="L125:L134" si="138">+$C$126</f>
        <v>185253470.60255381</v>
      </c>
      <c r="M125" s="42">
        <f t="shared" ref="M125:M134" si="139">O124*$C$82</f>
        <v>143548064.09670934</v>
      </c>
      <c r="N125" s="42">
        <f t="shared" ref="N125:N134" si="140">L125-M125</f>
        <v>41705406.505844474</v>
      </c>
      <c r="O125" s="42">
        <f t="shared" ref="O125:O134" si="141">O124-N125</f>
        <v>851006434.89160168</v>
      </c>
      <c r="P125" s="22">
        <v>2029</v>
      </c>
      <c r="Q125" s="41">
        <v>3</v>
      </c>
      <c r="R125" s="42">
        <f t="shared" ref="R125:R134" si="142">+$C$126</f>
        <v>185253470.60255381</v>
      </c>
      <c r="S125" s="42">
        <f t="shared" ref="S125:S134" si="143">U124*$C$82</f>
        <v>143548064.09670934</v>
      </c>
      <c r="T125" s="42">
        <f t="shared" ref="T125:T134" si="144">R125-S125</f>
        <v>41705406.505844474</v>
      </c>
      <c r="U125" s="42">
        <f t="shared" ref="U125:U134" si="145">U124-T125</f>
        <v>851006434.89160168</v>
      </c>
      <c r="V125" s="22">
        <v>2030</v>
      </c>
      <c r="W125" s="41">
        <v>3</v>
      </c>
      <c r="X125" s="42">
        <f t="shared" ref="X125:X134" si="146">+$C$126</f>
        <v>185253470.60255381</v>
      </c>
      <c r="Y125" s="42">
        <f t="shared" ref="Y125:Y134" si="147">AA124*$C$82</f>
        <v>143548064.09670934</v>
      </c>
      <c r="Z125" s="42">
        <f t="shared" ref="Z125:Z134" si="148">X125-Y125</f>
        <v>41705406.505844474</v>
      </c>
      <c r="AA125" s="42">
        <f t="shared" ref="AA125:AA134" si="149">AA124-Z125</f>
        <v>851006434.89160168</v>
      </c>
      <c r="AB125" s="22">
        <v>2031</v>
      </c>
      <c r="AC125" s="41">
        <v>3</v>
      </c>
      <c r="AD125" s="42">
        <f t="shared" ref="AD125:AD134" si="150">+$C$126</f>
        <v>185253470.60255381</v>
      </c>
      <c r="AE125" s="42">
        <f t="shared" ref="AE125:AE134" si="151">AG124*$C$82</f>
        <v>143548064.09670934</v>
      </c>
      <c r="AF125" s="42">
        <f t="shared" ref="AF125:AF134" si="152">AD125-AE125</f>
        <v>41705406.505844474</v>
      </c>
      <c r="AG125" s="43">
        <f t="shared" ref="AG125:AG134" si="153">AG124-AF125</f>
        <v>851006434.89160168</v>
      </c>
    </row>
    <row r="126" spans="2:33" x14ac:dyDescent="0.3">
      <c r="B126" s="44" t="s">
        <v>5</v>
      </c>
      <c r="C126" s="45">
        <f>PMT(C122,C125,-C124)</f>
        <v>185253470.60255381</v>
      </c>
      <c r="D126" s="22">
        <v>2028</v>
      </c>
      <c r="E126" s="41">
        <v>4</v>
      </c>
      <c r="F126" s="42">
        <f t="shared" si="134"/>
        <v>185253470.60255381</v>
      </c>
      <c r="G126" s="42">
        <f t="shared" si="135"/>
        <v>136841834.73056954</v>
      </c>
      <c r="H126" s="42">
        <f t="shared" si="136"/>
        <v>48411635.871984273</v>
      </c>
      <c r="I126" s="43">
        <f t="shared" si="137"/>
        <v>802594799.01961744</v>
      </c>
      <c r="J126" s="22">
        <v>2029</v>
      </c>
      <c r="K126" s="41">
        <v>4</v>
      </c>
      <c r="L126" s="42">
        <f t="shared" si="138"/>
        <v>185253470.60255381</v>
      </c>
      <c r="M126" s="42">
        <f t="shared" si="139"/>
        <v>136841834.73056954</v>
      </c>
      <c r="N126" s="42">
        <f t="shared" si="140"/>
        <v>48411635.871984273</v>
      </c>
      <c r="O126" s="42">
        <f t="shared" si="141"/>
        <v>802594799.01961744</v>
      </c>
      <c r="P126" s="22">
        <v>2030</v>
      </c>
      <c r="Q126" s="41">
        <v>4</v>
      </c>
      <c r="R126" s="42">
        <f t="shared" si="142"/>
        <v>185253470.60255381</v>
      </c>
      <c r="S126" s="42">
        <f t="shared" si="143"/>
        <v>136841834.73056954</v>
      </c>
      <c r="T126" s="42">
        <f t="shared" si="144"/>
        <v>48411635.871984273</v>
      </c>
      <c r="U126" s="42">
        <f t="shared" si="145"/>
        <v>802594799.01961744</v>
      </c>
      <c r="V126" s="22">
        <v>2031</v>
      </c>
      <c r="W126" s="41">
        <v>4</v>
      </c>
      <c r="X126" s="42">
        <f t="shared" si="146"/>
        <v>185253470.60255381</v>
      </c>
      <c r="Y126" s="42">
        <f t="shared" si="147"/>
        <v>136841834.73056954</v>
      </c>
      <c r="Z126" s="42">
        <f t="shared" si="148"/>
        <v>48411635.871984273</v>
      </c>
      <c r="AA126" s="42">
        <f t="shared" si="149"/>
        <v>802594799.01961744</v>
      </c>
      <c r="AB126" s="22">
        <v>2032</v>
      </c>
      <c r="AC126" s="41">
        <v>4</v>
      </c>
      <c r="AD126" s="42">
        <f t="shared" si="150"/>
        <v>185253470.60255381</v>
      </c>
      <c r="AE126" s="42">
        <f t="shared" si="151"/>
        <v>136841834.73056954</v>
      </c>
      <c r="AF126" s="42">
        <f t="shared" si="152"/>
        <v>48411635.871984273</v>
      </c>
      <c r="AG126" s="43">
        <f t="shared" si="153"/>
        <v>802594799.01961744</v>
      </c>
    </row>
    <row r="127" spans="2:33" x14ac:dyDescent="0.3">
      <c r="B127" s="25"/>
      <c r="D127" s="22">
        <v>2029</v>
      </c>
      <c r="E127" s="41">
        <v>5</v>
      </c>
      <c r="F127" s="42">
        <f t="shared" si="134"/>
        <v>185253470.60255381</v>
      </c>
      <c r="G127" s="42">
        <f t="shared" si="135"/>
        <v>129057243.68235448</v>
      </c>
      <c r="H127" s="42">
        <f t="shared" si="136"/>
        <v>56196226.920199335</v>
      </c>
      <c r="I127" s="43">
        <f t="shared" si="137"/>
        <v>746398572.09941816</v>
      </c>
      <c r="J127" s="22">
        <v>2030</v>
      </c>
      <c r="K127" s="41">
        <v>5</v>
      </c>
      <c r="L127" s="42">
        <f t="shared" si="138"/>
        <v>185253470.60255381</v>
      </c>
      <c r="M127" s="42">
        <f t="shared" si="139"/>
        <v>129057243.68235448</v>
      </c>
      <c r="N127" s="42">
        <f t="shared" si="140"/>
        <v>56196226.920199335</v>
      </c>
      <c r="O127" s="42">
        <f t="shared" si="141"/>
        <v>746398572.09941816</v>
      </c>
      <c r="P127" s="22">
        <v>2031</v>
      </c>
      <c r="Q127" s="41">
        <v>5</v>
      </c>
      <c r="R127" s="42">
        <f t="shared" si="142"/>
        <v>185253470.60255381</v>
      </c>
      <c r="S127" s="42">
        <f t="shared" si="143"/>
        <v>129057243.68235448</v>
      </c>
      <c r="T127" s="42">
        <f t="shared" si="144"/>
        <v>56196226.920199335</v>
      </c>
      <c r="U127" s="42">
        <f t="shared" si="145"/>
        <v>746398572.09941816</v>
      </c>
      <c r="V127" s="22">
        <v>2032</v>
      </c>
      <c r="W127" s="41">
        <v>5</v>
      </c>
      <c r="X127" s="42">
        <f t="shared" si="146"/>
        <v>185253470.60255381</v>
      </c>
      <c r="Y127" s="42">
        <f t="shared" si="147"/>
        <v>129057243.68235448</v>
      </c>
      <c r="Z127" s="42">
        <f t="shared" si="148"/>
        <v>56196226.920199335</v>
      </c>
      <c r="AA127" s="42">
        <f t="shared" si="149"/>
        <v>746398572.09941816</v>
      </c>
      <c r="AB127" s="22">
        <v>2033</v>
      </c>
      <c r="AC127" s="41">
        <v>5</v>
      </c>
      <c r="AD127" s="42">
        <f t="shared" si="150"/>
        <v>185253470.60255381</v>
      </c>
      <c r="AE127" s="42">
        <f t="shared" si="151"/>
        <v>129057243.68235448</v>
      </c>
      <c r="AF127" s="42">
        <f t="shared" si="152"/>
        <v>56196226.920199335</v>
      </c>
      <c r="AG127" s="43">
        <f t="shared" si="153"/>
        <v>746398572.09941816</v>
      </c>
    </row>
    <row r="128" spans="2:33" x14ac:dyDescent="0.3">
      <c r="B128" s="25"/>
      <c r="D128" s="22">
        <v>2030</v>
      </c>
      <c r="E128" s="41">
        <v>6</v>
      </c>
      <c r="F128" s="42">
        <f t="shared" si="134"/>
        <v>185253470.60255381</v>
      </c>
      <c r="G128" s="42">
        <f t="shared" si="135"/>
        <v>120020890.39358644</v>
      </c>
      <c r="H128" s="42">
        <f t="shared" si="136"/>
        <v>65232580.208967373</v>
      </c>
      <c r="I128" s="43">
        <f t="shared" si="137"/>
        <v>681165991.89045084</v>
      </c>
      <c r="J128" s="22">
        <v>2031</v>
      </c>
      <c r="K128" s="41">
        <v>6</v>
      </c>
      <c r="L128" s="42">
        <f t="shared" si="138"/>
        <v>185253470.60255381</v>
      </c>
      <c r="M128" s="42">
        <f t="shared" si="139"/>
        <v>120020890.39358644</v>
      </c>
      <c r="N128" s="42">
        <f t="shared" si="140"/>
        <v>65232580.208967373</v>
      </c>
      <c r="O128" s="42">
        <f t="shared" si="141"/>
        <v>681165991.89045084</v>
      </c>
      <c r="P128" s="22">
        <v>2032</v>
      </c>
      <c r="Q128" s="41">
        <v>6</v>
      </c>
      <c r="R128" s="42">
        <f t="shared" si="142"/>
        <v>185253470.60255381</v>
      </c>
      <c r="S128" s="42">
        <f t="shared" si="143"/>
        <v>120020890.39358644</v>
      </c>
      <c r="T128" s="42">
        <f t="shared" si="144"/>
        <v>65232580.208967373</v>
      </c>
      <c r="U128" s="42">
        <f t="shared" si="145"/>
        <v>681165991.89045084</v>
      </c>
      <c r="V128" s="22">
        <v>2033</v>
      </c>
      <c r="W128" s="41">
        <v>6</v>
      </c>
      <c r="X128" s="42">
        <f t="shared" si="146"/>
        <v>185253470.60255381</v>
      </c>
      <c r="Y128" s="42">
        <f t="shared" si="147"/>
        <v>120020890.39358644</v>
      </c>
      <c r="Z128" s="42">
        <f t="shared" si="148"/>
        <v>65232580.208967373</v>
      </c>
      <c r="AA128" s="42">
        <f t="shared" si="149"/>
        <v>681165991.89045084</v>
      </c>
      <c r="AB128" s="22">
        <v>2034</v>
      </c>
      <c r="AC128" s="41">
        <v>6</v>
      </c>
      <c r="AD128" s="42">
        <f t="shared" si="150"/>
        <v>185253470.60255381</v>
      </c>
      <c r="AE128" s="42">
        <f t="shared" si="151"/>
        <v>120020890.39358644</v>
      </c>
      <c r="AF128" s="42">
        <f t="shared" si="152"/>
        <v>65232580.208967373</v>
      </c>
      <c r="AG128" s="43">
        <f t="shared" si="153"/>
        <v>681165991.89045084</v>
      </c>
    </row>
    <row r="129" spans="2:33" x14ac:dyDescent="0.3">
      <c r="B129" s="25"/>
      <c r="D129" s="22">
        <v>2031</v>
      </c>
      <c r="E129" s="41">
        <v>7</v>
      </c>
      <c r="F129" s="42">
        <f t="shared" si="134"/>
        <v>185253470.60255381</v>
      </c>
      <c r="G129" s="42">
        <f t="shared" si="135"/>
        <v>109531491.49598449</v>
      </c>
      <c r="H129" s="42">
        <f t="shared" si="136"/>
        <v>75721979.10656932</v>
      </c>
      <c r="I129" s="43">
        <f t="shared" si="137"/>
        <v>605444012.78388155</v>
      </c>
      <c r="J129" s="22">
        <v>2032</v>
      </c>
      <c r="K129" s="41">
        <v>7</v>
      </c>
      <c r="L129" s="42">
        <f t="shared" si="138"/>
        <v>185253470.60255381</v>
      </c>
      <c r="M129" s="42">
        <f t="shared" si="139"/>
        <v>109531491.49598449</v>
      </c>
      <c r="N129" s="42">
        <f t="shared" si="140"/>
        <v>75721979.10656932</v>
      </c>
      <c r="O129" s="42">
        <f t="shared" si="141"/>
        <v>605444012.78388155</v>
      </c>
      <c r="P129" s="22">
        <v>2033</v>
      </c>
      <c r="Q129" s="41">
        <v>7</v>
      </c>
      <c r="R129" s="42">
        <f t="shared" si="142"/>
        <v>185253470.60255381</v>
      </c>
      <c r="S129" s="42">
        <f t="shared" si="143"/>
        <v>109531491.49598449</v>
      </c>
      <c r="T129" s="42">
        <f t="shared" si="144"/>
        <v>75721979.10656932</v>
      </c>
      <c r="U129" s="42">
        <f t="shared" si="145"/>
        <v>605444012.78388155</v>
      </c>
      <c r="V129" s="22">
        <v>2034</v>
      </c>
      <c r="W129" s="41">
        <v>7</v>
      </c>
      <c r="X129" s="42">
        <f t="shared" si="146"/>
        <v>185253470.60255381</v>
      </c>
      <c r="Y129" s="42">
        <f t="shared" si="147"/>
        <v>109531491.49598449</v>
      </c>
      <c r="Z129" s="42">
        <f t="shared" si="148"/>
        <v>75721979.10656932</v>
      </c>
      <c r="AA129" s="42">
        <f t="shared" si="149"/>
        <v>605444012.78388155</v>
      </c>
      <c r="AB129" s="22">
        <v>2035</v>
      </c>
      <c r="AC129" s="41">
        <v>7</v>
      </c>
      <c r="AD129" s="42">
        <f t="shared" si="150"/>
        <v>185253470.60255381</v>
      </c>
      <c r="AE129" s="42">
        <f t="shared" si="151"/>
        <v>109531491.49598449</v>
      </c>
      <c r="AF129" s="42">
        <f t="shared" si="152"/>
        <v>75721979.10656932</v>
      </c>
      <c r="AG129" s="43">
        <f t="shared" si="153"/>
        <v>605444012.78388155</v>
      </c>
    </row>
    <row r="130" spans="2:33" x14ac:dyDescent="0.3">
      <c r="B130" s="25"/>
      <c r="D130" s="22">
        <v>2032</v>
      </c>
      <c r="E130" s="41">
        <v>8</v>
      </c>
      <c r="F130" s="42">
        <f t="shared" si="134"/>
        <v>185253470.60255381</v>
      </c>
      <c r="G130" s="42">
        <f t="shared" si="135"/>
        <v>97355397.255648151</v>
      </c>
      <c r="H130" s="42">
        <f t="shared" si="136"/>
        <v>87898073.346905664</v>
      </c>
      <c r="I130" s="43">
        <f t="shared" si="137"/>
        <v>517545939.4369759</v>
      </c>
      <c r="J130" s="22">
        <v>2033</v>
      </c>
      <c r="K130" s="41">
        <v>8</v>
      </c>
      <c r="L130" s="42">
        <f t="shared" si="138"/>
        <v>185253470.60255381</v>
      </c>
      <c r="M130" s="42">
        <f t="shared" si="139"/>
        <v>97355397.255648151</v>
      </c>
      <c r="N130" s="42">
        <f t="shared" si="140"/>
        <v>87898073.346905664</v>
      </c>
      <c r="O130" s="42">
        <f t="shared" si="141"/>
        <v>517545939.4369759</v>
      </c>
      <c r="P130" s="22">
        <v>2034</v>
      </c>
      <c r="Q130" s="41">
        <v>8</v>
      </c>
      <c r="R130" s="42">
        <f t="shared" si="142"/>
        <v>185253470.60255381</v>
      </c>
      <c r="S130" s="42">
        <f t="shared" si="143"/>
        <v>97355397.255648151</v>
      </c>
      <c r="T130" s="42">
        <f t="shared" si="144"/>
        <v>87898073.346905664</v>
      </c>
      <c r="U130" s="42">
        <f t="shared" si="145"/>
        <v>517545939.4369759</v>
      </c>
      <c r="V130" s="22">
        <v>2035</v>
      </c>
      <c r="W130" s="41">
        <v>8</v>
      </c>
      <c r="X130" s="42">
        <f t="shared" si="146"/>
        <v>185253470.60255381</v>
      </c>
      <c r="Y130" s="42">
        <f t="shared" si="147"/>
        <v>97355397.255648151</v>
      </c>
      <c r="Z130" s="42">
        <f t="shared" si="148"/>
        <v>87898073.346905664</v>
      </c>
      <c r="AA130" s="42">
        <f t="shared" si="149"/>
        <v>517545939.4369759</v>
      </c>
      <c r="AB130" s="22">
        <v>2036</v>
      </c>
      <c r="AC130" s="41">
        <v>8</v>
      </c>
      <c r="AD130" s="42">
        <f t="shared" si="150"/>
        <v>185253470.60255381</v>
      </c>
      <c r="AE130" s="42">
        <f t="shared" si="151"/>
        <v>97355397.255648151</v>
      </c>
      <c r="AF130" s="42">
        <f t="shared" si="152"/>
        <v>87898073.346905664</v>
      </c>
      <c r="AG130" s="43">
        <f t="shared" si="153"/>
        <v>517545939.4369759</v>
      </c>
    </row>
    <row r="131" spans="2:33" x14ac:dyDescent="0.3">
      <c r="B131" s="25"/>
      <c r="D131" s="22">
        <v>2033</v>
      </c>
      <c r="E131" s="41">
        <v>9</v>
      </c>
      <c r="F131" s="42">
        <f t="shared" si="134"/>
        <v>185253470.60255381</v>
      </c>
      <c r="G131" s="42">
        <f t="shared" si="135"/>
        <v>83221387.061465725</v>
      </c>
      <c r="H131" s="42">
        <f t="shared" si="136"/>
        <v>102032083.54108809</v>
      </c>
      <c r="I131" s="43">
        <f t="shared" si="137"/>
        <v>415513855.89588779</v>
      </c>
      <c r="J131" s="22">
        <v>2034</v>
      </c>
      <c r="K131" s="41">
        <v>9</v>
      </c>
      <c r="L131" s="42">
        <f t="shared" si="138"/>
        <v>185253470.60255381</v>
      </c>
      <c r="M131" s="42">
        <f t="shared" si="139"/>
        <v>83221387.061465725</v>
      </c>
      <c r="N131" s="42">
        <f t="shared" si="140"/>
        <v>102032083.54108809</v>
      </c>
      <c r="O131" s="42">
        <f t="shared" si="141"/>
        <v>415513855.89588779</v>
      </c>
      <c r="P131" s="22">
        <v>2035</v>
      </c>
      <c r="Q131" s="41">
        <v>9</v>
      </c>
      <c r="R131" s="42">
        <f t="shared" si="142"/>
        <v>185253470.60255381</v>
      </c>
      <c r="S131" s="42">
        <f t="shared" si="143"/>
        <v>83221387.061465725</v>
      </c>
      <c r="T131" s="42">
        <f t="shared" si="144"/>
        <v>102032083.54108809</v>
      </c>
      <c r="U131" s="42">
        <f t="shared" si="145"/>
        <v>415513855.89588779</v>
      </c>
      <c r="V131" s="22">
        <v>2036</v>
      </c>
      <c r="W131" s="41">
        <v>9</v>
      </c>
      <c r="X131" s="42">
        <f t="shared" si="146"/>
        <v>185253470.60255381</v>
      </c>
      <c r="Y131" s="42">
        <f t="shared" si="147"/>
        <v>83221387.061465725</v>
      </c>
      <c r="Z131" s="42">
        <f t="shared" si="148"/>
        <v>102032083.54108809</v>
      </c>
      <c r="AA131" s="42">
        <f t="shared" si="149"/>
        <v>415513855.89588779</v>
      </c>
      <c r="AB131" s="22">
        <v>2037</v>
      </c>
      <c r="AC131" s="41">
        <v>9</v>
      </c>
      <c r="AD131" s="42">
        <f t="shared" si="150"/>
        <v>185253470.60255381</v>
      </c>
      <c r="AE131" s="42">
        <f t="shared" si="151"/>
        <v>83221387.061465725</v>
      </c>
      <c r="AF131" s="42">
        <f t="shared" si="152"/>
        <v>102032083.54108809</v>
      </c>
      <c r="AG131" s="43">
        <f t="shared" si="153"/>
        <v>415513855.89588779</v>
      </c>
    </row>
    <row r="132" spans="2:33" x14ac:dyDescent="0.3">
      <c r="B132" s="25"/>
      <c r="D132" s="22">
        <v>2034</v>
      </c>
      <c r="E132" s="41">
        <v>10</v>
      </c>
      <c r="F132" s="42">
        <f t="shared" si="134"/>
        <v>185253470.60255381</v>
      </c>
      <c r="G132" s="42">
        <f t="shared" si="135"/>
        <v>66814628.02805876</v>
      </c>
      <c r="H132" s="42">
        <f t="shared" si="136"/>
        <v>118438842.57449505</v>
      </c>
      <c r="I132" s="43">
        <f t="shared" si="137"/>
        <v>297075013.32139277</v>
      </c>
      <c r="J132" s="22">
        <v>2035</v>
      </c>
      <c r="K132" s="41">
        <v>10</v>
      </c>
      <c r="L132" s="42">
        <f t="shared" si="138"/>
        <v>185253470.60255381</v>
      </c>
      <c r="M132" s="42">
        <f t="shared" si="139"/>
        <v>66814628.02805876</v>
      </c>
      <c r="N132" s="42">
        <f t="shared" si="140"/>
        <v>118438842.57449505</v>
      </c>
      <c r="O132" s="42">
        <f t="shared" si="141"/>
        <v>297075013.32139277</v>
      </c>
      <c r="P132" s="22">
        <v>2036</v>
      </c>
      <c r="Q132" s="41">
        <v>10</v>
      </c>
      <c r="R132" s="42">
        <f t="shared" si="142"/>
        <v>185253470.60255381</v>
      </c>
      <c r="S132" s="42">
        <f t="shared" si="143"/>
        <v>66814628.02805876</v>
      </c>
      <c r="T132" s="42">
        <f t="shared" si="144"/>
        <v>118438842.57449505</v>
      </c>
      <c r="U132" s="42">
        <f t="shared" si="145"/>
        <v>297075013.32139277</v>
      </c>
      <c r="V132" s="22">
        <v>2037</v>
      </c>
      <c r="W132" s="41">
        <v>10</v>
      </c>
      <c r="X132" s="42">
        <f t="shared" si="146"/>
        <v>185253470.60255381</v>
      </c>
      <c r="Y132" s="42">
        <f t="shared" si="147"/>
        <v>66814628.02805876</v>
      </c>
      <c r="Z132" s="42">
        <f t="shared" si="148"/>
        <v>118438842.57449505</v>
      </c>
      <c r="AA132" s="42">
        <f t="shared" si="149"/>
        <v>297075013.32139277</v>
      </c>
      <c r="AB132" s="22">
        <v>2038</v>
      </c>
      <c r="AC132" s="41">
        <v>10</v>
      </c>
      <c r="AD132" s="42">
        <f t="shared" si="150"/>
        <v>185253470.60255381</v>
      </c>
      <c r="AE132" s="42">
        <f t="shared" si="151"/>
        <v>66814628.02805876</v>
      </c>
      <c r="AF132" s="42">
        <f t="shared" si="152"/>
        <v>118438842.57449505</v>
      </c>
      <c r="AG132" s="43">
        <f t="shared" si="153"/>
        <v>297075013.32139277</v>
      </c>
    </row>
    <row r="133" spans="2:33" x14ac:dyDescent="0.3">
      <c r="B133" s="25"/>
      <c r="D133" s="22">
        <v>2035</v>
      </c>
      <c r="E133" s="41">
        <v>11</v>
      </c>
      <c r="F133" s="42">
        <f t="shared" si="134"/>
        <v>185253470.60255381</v>
      </c>
      <c r="G133" s="42">
        <f t="shared" si="135"/>
        <v>47769662.142079957</v>
      </c>
      <c r="H133" s="42">
        <f t="shared" si="136"/>
        <v>137483808.46047387</v>
      </c>
      <c r="I133" s="43">
        <f t="shared" si="137"/>
        <v>159591204.86091891</v>
      </c>
      <c r="J133" s="22">
        <v>2036</v>
      </c>
      <c r="K133" s="41">
        <v>11</v>
      </c>
      <c r="L133" s="42">
        <f t="shared" si="138"/>
        <v>185253470.60255381</v>
      </c>
      <c r="M133" s="42">
        <f t="shared" si="139"/>
        <v>47769662.142079957</v>
      </c>
      <c r="N133" s="42">
        <f t="shared" si="140"/>
        <v>137483808.46047387</v>
      </c>
      <c r="O133" s="42">
        <f t="shared" si="141"/>
        <v>159591204.86091891</v>
      </c>
      <c r="P133" s="22">
        <v>2037</v>
      </c>
      <c r="Q133" s="41">
        <v>11</v>
      </c>
      <c r="R133" s="42">
        <f t="shared" si="142"/>
        <v>185253470.60255381</v>
      </c>
      <c r="S133" s="42">
        <f t="shared" si="143"/>
        <v>47769662.142079957</v>
      </c>
      <c r="T133" s="42">
        <f t="shared" si="144"/>
        <v>137483808.46047387</v>
      </c>
      <c r="U133" s="42">
        <f t="shared" si="145"/>
        <v>159591204.86091891</v>
      </c>
      <c r="V133" s="22">
        <v>2038</v>
      </c>
      <c r="W133" s="41">
        <v>11</v>
      </c>
      <c r="X133" s="42">
        <f t="shared" si="146"/>
        <v>185253470.60255381</v>
      </c>
      <c r="Y133" s="42">
        <f t="shared" si="147"/>
        <v>47769662.142079957</v>
      </c>
      <c r="Z133" s="42">
        <f t="shared" si="148"/>
        <v>137483808.46047387</v>
      </c>
      <c r="AA133" s="42">
        <f t="shared" si="149"/>
        <v>159591204.86091891</v>
      </c>
      <c r="AB133" s="22">
        <v>2039</v>
      </c>
      <c r="AC133" s="41">
        <v>11</v>
      </c>
      <c r="AD133" s="42">
        <f t="shared" si="150"/>
        <v>185253470.60255381</v>
      </c>
      <c r="AE133" s="42">
        <f t="shared" si="151"/>
        <v>47769662.142079957</v>
      </c>
      <c r="AF133" s="42">
        <f t="shared" si="152"/>
        <v>137483808.46047387</v>
      </c>
      <c r="AG133" s="43">
        <f t="shared" si="153"/>
        <v>159591204.86091891</v>
      </c>
    </row>
    <row r="134" spans="2:33" ht="15" thickBot="1" x14ac:dyDescent="0.35">
      <c r="B134" s="27"/>
      <c r="C134" s="47"/>
      <c r="D134" s="47">
        <v>2036</v>
      </c>
      <c r="E134" s="50">
        <v>12</v>
      </c>
      <c r="F134" s="52">
        <f t="shared" si="134"/>
        <v>185253470.60255381</v>
      </c>
      <c r="G134" s="52">
        <f t="shared" si="135"/>
        <v>25662265.741635762</v>
      </c>
      <c r="H134" s="52">
        <f t="shared" si="136"/>
        <v>159591204.86091805</v>
      </c>
      <c r="I134" s="53">
        <f t="shared" si="137"/>
        <v>8.6426734924316406E-7</v>
      </c>
      <c r="J134" s="22">
        <v>2037</v>
      </c>
      <c r="K134" s="41">
        <v>12</v>
      </c>
      <c r="L134" s="42">
        <f t="shared" si="138"/>
        <v>185253470.60255381</v>
      </c>
      <c r="M134" s="42">
        <f t="shared" si="139"/>
        <v>25662265.741635762</v>
      </c>
      <c r="N134" s="42">
        <f t="shared" si="140"/>
        <v>159591204.86091805</v>
      </c>
      <c r="O134" s="42">
        <f t="shared" si="141"/>
        <v>8.6426734924316406E-7</v>
      </c>
      <c r="P134" s="22">
        <v>2038</v>
      </c>
      <c r="Q134" s="41">
        <v>12</v>
      </c>
      <c r="R134" s="42">
        <f t="shared" si="142"/>
        <v>185253470.60255381</v>
      </c>
      <c r="S134" s="42">
        <f t="shared" si="143"/>
        <v>25662265.741635762</v>
      </c>
      <c r="T134" s="42">
        <f t="shared" si="144"/>
        <v>159591204.86091805</v>
      </c>
      <c r="U134" s="42">
        <f t="shared" si="145"/>
        <v>8.6426734924316406E-7</v>
      </c>
      <c r="V134" s="22">
        <v>2039</v>
      </c>
      <c r="W134" s="41">
        <v>12</v>
      </c>
      <c r="X134" s="42">
        <f t="shared" si="146"/>
        <v>185253470.60255381</v>
      </c>
      <c r="Y134" s="42">
        <f t="shared" si="147"/>
        <v>25662265.741635762</v>
      </c>
      <c r="Z134" s="42">
        <f t="shared" si="148"/>
        <v>159591204.86091805</v>
      </c>
      <c r="AA134" s="42">
        <f t="shared" si="149"/>
        <v>8.6426734924316406E-7</v>
      </c>
      <c r="AB134" s="22">
        <v>2040</v>
      </c>
      <c r="AC134" s="41">
        <v>12</v>
      </c>
      <c r="AD134" s="42">
        <f t="shared" si="150"/>
        <v>185253470.60255381</v>
      </c>
      <c r="AE134" s="42">
        <f t="shared" si="151"/>
        <v>25662265.741635762</v>
      </c>
      <c r="AF134" s="42">
        <f t="shared" si="152"/>
        <v>159591204.86091805</v>
      </c>
      <c r="AG134" s="43">
        <f t="shared" si="153"/>
        <v>8.6426734924316406E-7</v>
      </c>
    </row>
    <row r="135" spans="2:33" ht="15" thickBot="1" x14ac:dyDescent="0.35">
      <c r="B135" s="25"/>
      <c r="I135" s="41"/>
      <c r="U135" s="65">
        <f>+C121*5</f>
        <v>4000000000</v>
      </c>
      <c r="AG135" s="46"/>
    </row>
    <row r="136" spans="2:33" x14ac:dyDescent="0.3">
      <c r="B136" s="62"/>
      <c r="C136" s="36" t="s">
        <v>87</v>
      </c>
      <c r="D136" s="36">
        <v>2024</v>
      </c>
      <c r="E136" s="36">
        <v>2025</v>
      </c>
      <c r="F136" s="36">
        <v>2026</v>
      </c>
      <c r="G136" s="36">
        <v>2027</v>
      </c>
      <c r="H136" s="36">
        <v>2028</v>
      </c>
      <c r="I136" s="36">
        <v>2029</v>
      </c>
      <c r="J136" s="36">
        <v>2030</v>
      </c>
      <c r="K136" s="36">
        <v>2031</v>
      </c>
      <c r="L136" s="36">
        <v>2032</v>
      </c>
      <c r="M136" s="36">
        <v>2033</v>
      </c>
      <c r="N136" s="36">
        <v>2034</v>
      </c>
      <c r="O136" s="36">
        <v>2035</v>
      </c>
      <c r="P136" s="36">
        <v>2036</v>
      </c>
      <c r="Q136" s="36">
        <v>2037</v>
      </c>
      <c r="R136" s="36">
        <v>2038</v>
      </c>
      <c r="S136" s="36">
        <v>2039</v>
      </c>
      <c r="T136" s="36">
        <v>2040</v>
      </c>
      <c r="U136" s="63" t="s">
        <v>86</v>
      </c>
      <c r="V136" s="68">
        <f>+U137/U135</f>
        <v>2.5472352207851143</v>
      </c>
      <c r="AG136" s="46"/>
    </row>
    <row r="137" spans="2:33" ht="15" thickBot="1" x14ac:dyDescent="0.35">
      <c r="B137" s="98" t="s">
        <v>100</v>
      </c>
      <c r="C137" s="99"/>
      <c r="D137" s="47">
        <f>+F122</f>
        <v>0</v>
      </c>
      <c r="E137" s="48">
        <f>+F123+L122</f>
        <v>0</v>
      </c>
      <c r="F137" s="48">
        <f>+F124+L123+R122</f>
        <v>185253470.60255381</v>
      </c>
      <c r="G137" s="48">
        <f>+F125+L124+R123+X122</f>
        <v>370506941.20510763</v>
      </c>
      <c r="H137" s="48">
        <f>+F126+L125+R124+X123+AD122</f>
        <v>555760411.80766141</v>
      </c>
      <c r="I137" s="48">
        <f>+F127+L126+R125+X124+AD123</f>
        <v>741013882.41021526</v>
      </c>
      <c r="J137" s="48">
        <f>+F128+L127+R126+X125+AD124</f>
        <v>926267353.0127691</v>
      </c>
      <c r="K137" s="48">
        <f>+F129+L128+R127+X126+AD125</f>
        <v>926267353.0127691</v>
      </c>
      <c r="L137" s="48">
        <f>+F130+L129+R128+X127+AD126</f>
        <v>926267353.0127691</v>
      </c>
      <c r="M137" s="48">
        <f>+F131+L130+R129+X128+AD127</f>
        <v>926267353.0127691</v>
      </c>
      <c r="N137" s="48">
        <f>+F132+L131+R130+X129+AD128</f>
        <v>926267353.0127691</v>
      </c>
      <c r="O137" s="48">
        <f>+F133+L132+R131+X130+AD129</f>
        <v>926267353.0127691</v>
      </c>
      <c r="P137" s="48">
        <f>+F134+L133+R132+X131+AD130</f>
        <v>926267353.0127691</v>
      </c>
      <c r="Q137" s="48">
        <f>+L134+R133+X132+AD131</f>
        <v>741013882.41021526</v>
      </c>
      <c r="R137" s="48">
        <f>+R134+X133+AD132</f>
        <v>555760411.80766141</v>
      </c>
      <c r="S137" s="48">
        <f>+X134+AD133</f>
        <v>370506941.20510763</v>
      </c>
      <c r="T137" s="48">
        <f>+AD134</f>
        <v>185253470.60255381</v>
      </c>
      <c r="U137" s="60">
        <f>SUM(D137:T137)</f>
        <v>10188940883.140457</v>
      </c>
      <c r="V137" s="66">
        <f>+U135/U137</f>
        <v>0.39258251135981775</v>
      </c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9"/>
    </row>
    <row r="139" spans="2:33" ht="15" thickBot="1" x14ac:dyDescent="0.35"/>
    <row r="140" spans="2:33" x14ac:dyDescent="0.3">
      <c r="B140" s="100" t="s">
        <v>87</v>
      </c>
      <c r="C140" s="101"/>
      <c r="D140" s="55">
        <v>2024</v>
      </c>
      <c r="E140" s="55">
        <v>2025</v>
      </c>
      <c r="F140" s="55">
        <v>2026</v>
      </c>
      <c r="G140" s="55">
        <v>2027</v>
      </c>
      <c r="H140" s="55">
        <v>2028</v>
      </c>
      <c r="I140" s="55">
        <v>2029</v>
      </c>
      <c r="J140" s="55">
        <v>2030</v>
      </c>
      <c r="K140" s="55">
        <v>2031</v>
      </c>
      <c r="L140" s="55">
        <v>2032</v>
      </c>
      <c r="M140" s="55">
        <v>2033</v>
      </c>
      <c r="N140" s="55">
        <v>2034</v>
      </c>
      <c r="O140" s="55">
        <v>2035</v>
      </c>
      <c r="P140" s="55">
        <v>2036</v>
      </c>
      <c r="Q140" s="55">
        <v>2037</v>
      </c>
      <c r="R140" s="55">
        <v>2038</v>
      </c>
      <c r="S140" s="55">
        <v>2039</v>
      </c>
      <c r="T140" s="55">
        <v>2040</v>
      </c>
      <c r="U140" s="56" t="s">
        <v>86</v>
      </c>
    </row>
    <row r="141" spans="2:33" ht="15" thickBot="1" x14ac:dyDescent="0.35">
      <c r="B141" s="57" t="s">
        <v>101</v>
      </c>
      <c r="C141" s="58"/>
      <c r="D141" s="59">
        <f>+D137+D117+D97+D77+D57+D38+D19</f>
        <v>0</v>
      </c>
      <c r="E141" s="59">
        <f t="shared" ref="E141:S141" si="154">+E137+E117+E97+E77+E57+E38+E19</f>
        <v>0</v>
      </c>
      <c r="F141" s="59">
        <f>+F137+F117+F97+F77+F57+F38+F19</f>
        <v>935530026.54289699</v>
      </c>
      <c r="G141" s="59">
        <f t="shared" si="154"/>
        <v>5785754699.8822441</v>
      </c>
      <c r="H141" s="59">
        <f t="shared" si="154"/>
        <v>10635979373.22159</v>
      </c>
      <c r="I141" s="59">
        <f t="shared" si="154"/>
        <v>15486204046.560936</v>
      </c>
      <c r="J141" s="59">
        <f t="shared" si="154"/>
        <v>20336428719.900284</v>
      </c>
      <c r="K141" s="59">
        <f t="shared" si="154"/>
        <v>24251123366.696732</v>
      </c>
      <c r="L141" s="59">
        <f t="shared" si="154"/>
        <v>24251123366.696732</v>
      </c>
      <c r="M141" s="59">
        <f t="shared" si="154"/>
        <v>24251123366.696732</v>
      </c>
      <c r="N141" s="59">
        <f t="shared" si="154"/>
        <v>24251123366.696732</v>
      </c>
      <c r="O141" s="59">
        <f t="shared" si="154"/>
        <v>24251123366.696732</v>
      </c>
      <c r="P141" s="59">
        <f t="shared" si="154"/>
        <v>24251123366.696732</v>
      </c>
      <c r="Q141" s="59">
        <f t="shared" si="154"/>
        <v>19400898693.357384</v>
      </c>
      <c r="R141" s="59">
        <f t="shared" si="154"/>
        <v>14550674020.018038</v>
      </c>
      <c r="S141" s="59">
        <f t="shared" si="154"/>
        <v>9700449346.6786919</v>
      </c>
      <c r="T141" s="59">
        <f>+T137+T117+T97+T77+T57+T38+T19</f>
        <v>4850224673.3393459</v>
      </c>
      <c r="U141" s="60">
        <f>+U137+U117+U97+U77+U57+U38+U19</f>
        <v>247188883799.68179</v>
      </c>
    </row>
    <row r="142" spans="2:33" x14ac:dyDescent="0.3">
      <c r="U142" s="65">
        <f>+FC!D8</f>
        <v>90200000000</v>
      </c>
      <c r="V142" s="67">
        <f>+U142/U141</f>
        <v>0.36490314051944484</v>
      </c>
    </row>
  </sheetData>
  <mergeCells count="49">
    <mergeCell ref="B117:C117"/>
    <mergeCell ref="B120:C120"/>
    <mergeCell ref="E120:I120"/>
    <mergeCell ref="K120:O120"/>
    <mergeCell ref="Q120:U120"/>
    <mergeCell ref="W120:AA120"/>
    <mergeCell ref="AC120:AG120"/>
    <mergeCell ref="B137:C137"/>
    <mergeCell ref="B140:C140"/>
    <mergeCell ref="B77:C77"/>
    <mergeCell ref="B80:C80"/>
    <mergeCell ref="E80:I80"/>
    <mergeCell ref="K80:O80"/>
    <mergeCell ref="Q80:U80"/>
    <mergeCell ref="W80:AA80"/>
    <mergeCell ref="AC80:AG80"/>
    <mergeCell ref="B97:C97"/>
    <mergeCell ref="B100:C100"/>
    <mergeCell ref="E100:I100"/>
    <mergeCell ref="K100:O100"/>
    <mergeCell ref="Q100:U100"/>
    <mergeCell ref="W100:AA100"/>
    <mergeCell ref="AC100:AG100"/>
    <mergeCell ref="B38:C38"/>
    <mergeCell ref="B40:C40"/>
    <mergeCell ref="E40:I40"/>
    <mergeCell ref="K40:O40"/>
    <mergeCell ref="Q40:U40"/>
    <mergeCell ref="W40:AA40"/>
    <mergeCell ref="AC40:AG40"/>
    <mergeCell ref="B57:C57"/>
    <mergeCell ref="B60:C60"/>
    <mergeCell ref="E60:I60"/>
    <mergeCell ref="K60:O60"/>
    <mergeCell ref="Q60:U60"/>
    <mergeCell ref="W60:AA60"/>
    <mergeCell ref="AC60:AG60"/>
    <mergeCell ref="W21:AA21"/>
    <mergeCell ref="AC21:AG21"/>
    <mergeCell ref="B2:C2"/>
    <mergeCell ref="B21:C21"/>
    <mergeCell ref="E21:I21"/>
    <mergeCell ref="K21:O21"/>
    <mergeCell ref="Q21:U21"/>
    <mergeCell ref="E2:I2"/>
    <mergeCell ref="K2:O2"/>
    <mergeCell ref="Q2:U2"/>
    <mergeCell ref="W2:AA2"/>
    <mergeCell ref="AC2:A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8C7E8-F4C8-4292-A856-00145C59F478}">
  <dimension ref="A1:AT110"/>
  <sheetViews>
    <sheetView showGridLines="0" tabSelected="1" zoomScale="85" zoomScaleNormal="85" workbookViewId="0">
      <selection activeCell="E98" sqref="E98"/>
    </sheetView>
  </sheetViews>
  <sheetFormatPr baseColWidth="10" defaultRowHeight="14.4" x14ac:dyDescent="0.3"/>
  <cols>
    <col min="1" max="1" width="4.33203125" customWidth="1"/>
    <col min="2" max="2" width="26.5546875" customWidth="1"/>
    <col min="3" max="3" width="18" bestFit="1" customWidth="1"/>
    <col min="4" max="4" width="14.88671875" customWidth="1"/>
    <col min="5" max="5" width="8.44140625" bestFit="1" customWidth="1"/>
    <col min="6" max="7" width="5.109375" bestFit="1" customWidth="1"/>
    <col min="8" max="8" width="12.88671875" bestFit="1" customWidth="1"/>
    <col min="9" max="9" width="3" customWidth="1"/>
    <col min="10" max="10" width="24.44140625" customWidth="1"/>
    <col min="11" max="11" width="15.6640625" customWidth="1"/>
    <col min="12" max="15" width="16" customWidth="1"/>
    <col min="16" max="18" width="17.109375" customWidth="1"/>
    <col min="19" max="19" width="16" customWidth="1"/>
    <col min="20" max="27" width="17.44140625" bestFit="1" customWidth="1"/>
    <col min="28" max="28" width="5" customWidth="1"/>
    <col min="29" max="29" width="24.33203125" bestFit="1" customWidth="1"/>
    <col min="30" max="30" width="13.6640625" bestFit="1" customWidth="1"/>
    <col min="31" max="31" width="15.88671875" customWidth="1"/>
    <col min="32" max="32" width="14" bestFit="1" customWidth="1"/>
    <col min="33" max="33" width="12.88671875" bestFit="1" customWidth="1"/>
    <col min="34" max="44" width="14" bestFit="1" customWidth="1"/>
    <col min="45" max="45" width="12.88671875" bestFit="1" customWidth="1"/>
    <col min="46" max="46" width="14" bestFit="1" customWidth="1"/>
  </cols>
  <sheetData>
    <row r="1" spans="2:46" x14ac:dyDescent="0.3">
      <c r="K1">
        <v>2024</v>
      </c>
      <c r="L1">
        <v>2025</v>
      </c>
      <c r="M1">
        <v>2026</v>
      </c>
      <c r="N1">
        <v>2027</v>
      </c>
      <c r="O1">
        <v>2028</v>
      </c>
      <c r="P1">
        <v>2029</v>
      </c>
      <c r="Q1">
        <v>2030</v>
      </c>
      <c r="R1">
        <v>2031</v>
      </c>
      <c r="S1">
        <v>2032</v>
      </c>
      <c r="T1">
        <v>2033</v>
      </c>
      <c r="U1">
        <v>2034</v>
      </c>
      <c r="V1">
        <v>2035</v>
      </c>
      <c r="W1">
        <v>2036</v>
      </c>
      <c r="X1">
        <v>2037</v>
      </c>
      <c r="Y1">
        <v>2038</v>
      </c>
      <c r="Z1">
        <v>2039</v>
      </c>
      <c r="AA1">
        <v>2040</v>
      </c>
    </row>
    <row r="2" spans="2:46" x14ac:dyDescent="0.3">
      <c r="B2" s="12" t="s">
        <v>2</v>
      </c>
      <c r="C2" s="14">
        <v>0</v>
      </c>
      <c r="D2" s="12"/>
      <c r="E2" s="16" t="s">
        <v>68</v>
      </c>
      <c r="F2" s="16"/>
      <c r="G2" s="16"/>
      <c r="H2" s="16" t="s">
        <v>69</v>
      </c>
      <c r="J2" s="3" t="s">
        <v>7</v>
      </c>
      <c r="K2" s="3">
        <v>0</v>
      </c>
      <c r="L2" s="3">
        <v>1</v>
      </c>
      <c r="M2" s="3">
        <v>2</v>
      </c>
      <c r="N2" s="3">
        <v>3</v>
      </c>
      <c r="O2" s="3">
        <v>4</v>
      </c>
      <c r="P2" s="3">
        <v>5</v>
      </c>
      <c r="Q2" s="3">
        <v>6</v>
      </c>
      <c r="R2" s="3">
        <v>7</v>
      </c>
      <c r="S2" s="3">
        <v>8</v>
      </c>
      <c r="T2" s="3">
        <v>9</v>
      </c>
      <c r="U2" s="3">
        <v>10</v>
      </c>
      <c r="V2" s="3">
        <v>11</v>
      </c>
      <c r="W2" s="3">
        <v>12</v>
      </c>
      <c r="X2" s="3">
        <v>13</v>
      </c>
      <c r="Y2" s="3">
        <v>14</v>
      </c>
      <c r="Z2" s="3">
        <v>15</v>
      </c>
      <c r="AA2" s="3">
        <v>16</v>
      </c>
      <c r="AC2" s="3" t="s">
        <v>7</v>
      </c>
      <c r="AD2" s="3">
        <v>0</v>
      </c>
      <c r="AE2" s="3">
        <v>1</v>
      </c>
      <c r="AF2" s="3">
        <v>2</v>
      </c>
      <c r="AG2" s="3">
        <v>3</v>
      </c>
      <c r="AH2" s="3">
        <v>4</v>
      </c>
      <c r="AI2" s="3">
        <v>5</v>
      </c>
      <c r="AJ2" s="3">
        <v>6</v>
      </c>
      <c r="AK2" s="3">
        <v>7</v>
      </c>
      <c r="AL2" s="3">
        <v>8</v>
      </c>
      <c r="AM2" s="3">
        <v>9</v>
      </c>
      <c r="AN2" s="3">
        <v>10</v>
      </c>
      <c r="AO2" s="3">
        <v>11</v>
      </c>
      <c r="AP2" s="3">
        <v>12</v>
      </c>
      <c r="AQ2" s="3">
        <v>13</v>
      </c>
      <c r="AR2" s="3">
        <v>14</v>
      </c>
      <c r="AS2" s="3">
        <v>15</v>
      </c>
      <c r="AT2" s="3">
        <v>16</v>
      </c>
    </row>
    <row r="3" spans="2:46" x14ac:dyDescent="0.3">
      <c r="B3" s="12" t="s">
        <v>3</v>
      </c>
      <c r="C3" s="14">
        <f>+C29</f>
        <v>357360000</v>
      </c>
      <c r="D3" s="12"/>
      <c r="E3" s="12"/>
      <c r="F3" s="12"/>
      <c r="G3" s="12"/>
      <c r="H3" s="12"/>
      <c r="J3" s="3" t="s">
        <v>8</v>
      </c>
      <c r="K3" s="24">
        <f ca="1">+OFFSET(ESCENARIOS!E46,FC!$C$39-1,0)</f>
        <v>0</v>
      </c>
      <c r="L3" s="24">
        <f ca="1">+OFFSET(ESCENARIOS!F46,FC!$C$39-1,0)</f>
        <v>0</v>
      </c>
      <c r="M3" s="24">
        <f ca="1">+OFFSET(ESCENARIOS!G46,FC!$C$39-1,0)</f>
        <v>935530026.54289699</v>
      </c>
      <c r="N3" s="24">
        <f ca="1">+OFFSET(ESCENARIOS!H46,FC!$C$39-1,0)</f>
        <v>5785754699.8822441</v>
      </c>
      <c r="O3" s="24">
        <f ca="1">+OFFSET(ESCENARIOS!I46,FC!$C$39-1,0)</f>
        <v>10635979373.22159</v>
      </c>
      <c r="P3" s="24">
        <f ca="1">+OFFSET(ESCENARIOS!J46,FC!$C$39-1,0)</f>
        <v>15486204046.560936</v>
      </c>
      <c r="Q3" s="24">
        <f ca="1">+OFFSET(ESCENARIOS!K46,FC!$C$39-1,0)</f>
        <v>20336428719.900284</v>
      </c>
      <c r="R3" s="24">
        <f ca="1">+OFFSET(ESCENARIOS!L46,FC!$C$39-1,0)</f>
        <v>24251123366.696732</v>
      </c>
      <c r="S3" s="24">
        <f ca="1">+OFFSET(ESCENARIOS!M46,FC!$C$39-1,0)</f>
        <v>24251123366.696732</v>
      </c>
      <c r="T3" s="24">
        <f ca="1">+OFFSET(ESCENARIOS!N46,FC!$C$39-1,0)</f>
        <v>24251123366.696732</v>
      </c>
      <c r="U3" s="24">
        <f ca="1">+OFFSET(ESCENARIOS!O46,FC!$C$39-1,0)</f>
        <v>24251123366.696732</v>
      </c>
      <c r="V3" s="24">
        <f ca="1">+OFFSET(ESCENARIOS!P46,FC!$C$39-1,0)</f>
        <v>24251123366.696732</v>
      </c>
      <c r="W3" s="24">
        <f ca="1">+OFFSET(ESCENARIOS!Q46,FC!$C$39-1,0)</f>
        <v>24251123366.696732</v>
      </c>
      <c r="X3" s="24">
        <f ca="1">+OFFSET(ESCENARIOS!R46,FC!$C$39-1,0)</f>
        <v>19400898693.357384</v>
      </c>
      <c r="Y3" s="24">
        <f ca="1">+OFFSET(ESCENARIOS!S46,FC!$C$39-1,0)</f>
        <v>14550674020.018038</v>
      </c>
      <c r="Z3" s="24">
        <f ca="1">+OFFSET(ESCENARIOS!T46,FC!$C$39-1,0)</f>
        <v>9700449346.6786919</v>
      </c>
      <c r="AA3" s="24">
        <f ca="1">+OFFSET(ESCENARIOS!U46,FC!$C$39-1,0)</f>
        <v>4850224673.3393459</v>
      </c>
      <c r="AC3" t="str">
        <f>J3</f>
        <v>Ingresos operacionales</v>
      </c>
      <c r="AD3" s="1">
        <f ca="1">+K3</f>
        <v>0</v>
      </c>
      <c r="AE3" s="1">
        <f t="shared" ref="AE3:AT3" ca="1" si="0">+L3</f>
        <v>0</v>
      </c>
      <c r="AF3" s="1">
        <f t="shared" ca="1" si="0"/>
        <v>935530026.54289699</v>
      </c>
      <c r="AG3" s="1">
        <f t="shared" ca="1" si="0"/>
        <v>5785754699.8822441</v>
      </c>
      <c r="AH3" s="1">
        <f t="shared" ca="1" si="0"/>
        <v>10635979373.22159</v>
      </c>
      <c r="AI3" s="1">
        <f t="shared" ca="1" si="0"/>
        <v>15486204046.560936</v>
      </c>
      <c r="AJ3" s="1">
        <f t="shared" ca="1" si="0"/>
        <v>20336428719.900284</v>
      </c>
      <c r="AK3" s="1">
        <f t="shared" ca="1" si="0"/>
        <v>24251123366.696732</v>
      </c>
      <c r="AL3" s="1">
        <f t="shared" ca="1" si="0"/>
        <v>24251123366.696732</v>
      </c>
      <c r="AM3" s="1">
        <f t="shared" ca="1" si="0"/>
        <v>24251123366.696732</v>
      </c>
      <c r="AN3" s="1">
        <f t="shared" ca="1" si="0"/>
        <v>24251123366.696732</v>
      </c>
      <c r="AO3" s="1">
        <f t="shared" ca="1" si="0"/>
        <v>24251123366.696732</v>
      </c>
      <c r="AP3" s="1">
        <f t="shared" ca="1" si="0"/>
        <v>24251123366.696732</v>
      </c>
      <c r="AQ3" s="1">
        <f t="shared" ca="1" si="0"/>
        <v>19400898693.357384</v>
      </c>
      <c r="AR3" s="1">
        <f t="shared" ca="1" si="0"/>
        <v>14550674020.018038</v>
      </c>
      <c r="AS3" s="1">
        <f t="shared" ca="1" si="0"/>
        <v>9700449346.6786919</v>
      </c>
      <c r="AT3" s="1">
        <f t="shared" ca="1" si="0"/>
        <v>4850224673.3393459</v>
      </c>
    </row>
    <row r="4" spans="2:46" x14ac:dyDescent="0.3">
      <c r="B4" s="12"/>
      <c r="C4" s="12"/>
      <c r="D4" s="12"/>
      <c r="E4" s="12"/>
      <c r="F4" s="12"/>
      <c r="G4" s="12"/>
      <c r="H4" s="12"/>
      <c r="I4" s="1"/>
      <c r="J4" s="3" t="s">
        <v>51</v>
      </c>
      <c r="U4" s="1"/>
      <c r="V4" s="1"/>
      <c r="W4" s="1"/>
      <c r="X4" s="1"/>
      <c r="Y4" s="1"/>
      <c r="Z4" s="1"/>
      <c r="AA4" s="1"/>
      <c r="AC4" t="str">
        <f>J4</f>
        <v>Ingresos no operacionales</v>
      </c>
      <c r="AD4" s="1">
        <f t="shared" ref="AD4:AM4" si="1">K4</f>
        <v>0</v>
      </c>
      <c r="AE4" s="1">
        <f t="shared" si="1"/>
        <v>0</v>
      </c>
      <c r="AF4" s="1">
        <f t="shared" si="1"/>
        <v>0</v>
      </c>
      <c r="AG4" s="1">
        <f t="shared" si="1"/>
        <v>0</v>
      </c>
      <c r="AH4" s="1">
        <f t="shared" si="1"/>
        <v>0</v>
      </c>
      <c r="AI4" s="1">
        <f t="shared" si="1"/>
        <v>0</v>
      </c>
      <c r="AJ4" s="1">
        <f t="shared" si="1"/>
        <v>0</v>
      </c>
      <c r="AK4" s="1">
        <f t="shared" si="1"/>
        <v>0</v>
      </c>
      <c r="AL4" s="1">
        <f t="shared" si="1"/>
        <v>0</v>
      </c>
      <c r="AM4" s="1">
        <f t="shared" si="1"/>
        <v>0</v>
      </c>
      <c r="AN4" s="1">
        <f>U4</f>
        <v>0</v>
      </c>
      <c r="AO4" s="1">
        <f t="shared" ref="AO4:AT4" si="2">V4</f>
        <v>0</v>
      </c>
      <c r="AP4" s="1">
        <f t="shared" si="2"/>
        <v>0</v>
      </c>
      <c r="AQ4" s="1">
        <f t="shared" si="2"/>
        <v>0</v>
      </c>
      <c r="AR4" s="1">
        <f t="shared" si="2"/>
        <v>0</v>
      </c>
      <c r="AS4" s="1">
        <f t="shared" si="2"/>
        <v>0</v>
      </c>
      <c r="AT4" s="1">
        <f t="shared" si="2"/>
        <v>0</v>
      </c>
    </row>
    <row r="5" spans="2:46" x14ac:dyDescent="0.3">
      <c r="B5" s="12" t="s">
        <v>9</v>
      </c>
      <c r="C5" s="18" t="s">
        <v>14</v>
      </c>
      <c r="D5" s="14">
        <v>0</v>
      </c>
      <c r="E5" s="17">
        <v>20</v>
      </c>
      <c r="F5" s="12" t="s">
        <v>65</v>
      </c>
      <c r="G5" s="12"/>
      <c r="H5" s="14">
        <v>0</v>
      </c>
      <c r="I5" s="1"/>
      <c r="J5" s="3" t="s">
        <v>52</v>
      </c>
      <c r="L5" s="4">
        <f ca="1">L3+L4</f>
        <v>0</v>
      </c>
      <c r="M5" s="4">
        <f t="shared" ref="M5:U5" ca="1" si="3">M3+M4</f>
        <v>935530026.54289699</v>
      </c>
      <c r="N5" s="4">
        <f t="shared" ca="1" si="3"/>
        <v>5785754699.8822441</v>
      </c>
      <c r="O5" s="4">
        <f t="shared" ca="1" si="3"/>
        <v>10635979373.22159</v>
      </c>
      <c r="P5" s="4">
        <f t="shared" ca="1" si="3"/>
        <v>15486204046.560936</v>
      </c>
      <c r="Q5" s="4">
        <f t="shared" ca="1" si="3"/>
        <v>20336428719.900284</v>
      </c>
      <c r="R5" s="4">
        <f t="shared" ca="1" si="3"/>
        <v>24251123366.696732</v>
      </c>
      <c r="S5" s="4">
        <f t="shared" ca="1" si="3"/>
        <v>24251123366.696732</v>
      </c>
      <c r="T5" s="4">
        <f t="shared" ca="1" si="3"/>
        <v>24251123366.696732</v>
      </c>
      <c r="U5" s="4">
        <f t="shared" ca="1" si="3"/>
        <v>24251123366.696732</v>
      </c>
      <c r="V5" s="4">
        <f ca="1">V3+V4</f>
        <v>24251123366.696732</v>
      </c>
      <c r="W5" s="4">
        <f ca="1">W3+W4</f>
        <v>24251123366.696732</v>
      </c>
      <c r="X5" s="4">
        <f t="shared" ref="X5:Z5" ca="1" si="4">X3+X4</f>
        <v>19400898693.357384</v>
      </c>
      <c r="Y5" s="4">
        <f t="shared" ca="1" si="4"/>
        <v>14550674020.018038</v>
      </c>
      <c r="Z5" s="4">
        <f t="shared" ca="1" si="4"/>
        <v>9700449346.6786919</v>
      </c>
      <c r="AA5" s="4">
        <f ca="1">AA3+AA4</f>
        <v>4850224673.3393459</v>
      </c>
      <c r="AC5" s="1" t="str">
        <f>J28</f>
        <v>Recuperación K de Wjo</v>
      </c>
      <c r="AD5" s="1">
        <f t="shared" ref="AD5:AM5" si="5">K28</f>
        <v>0</v>
      </c>
      <c r="AE5" s="1">
        <f t="shared" si="5"/>
        <v>0</v>
      </c>
      <c r="AF5" s="1">
        <f t="shared" si="5"/>
        <v>0</v>
      </c>
      <c r="AG5" s="1">
        <f t="shared" si="5"/>
        <v>0</v>
      </c>
      <c r="AH5" s="1">
        <f t="shared" si="5"/>
        <v>0</v>
      </c>
      <c r="AI5" s="1">
        <f t="shared" si="5"/>
        <v>0</v>
      </c>
      <c r="AJ5" s="1">
        <f t="shared" si="5"/>
        <v>0</v>
      </c>
      <c r="AK5" s="1">
        <f t="shared" si="5"/>
        <v>0</v>
      </c>
      <c r="AL5" s="1">
        <f t="shared" si="5"/>
        <v>0</v>
      </c>
      <c r="AM5" s="1">
        <f t="shared" si="5"/>
        <v>0</v>
      </c>
      <c r="AN5" s="1">
        <f>U28</f>
        <v>0</v>
      </c>
      <c r="AO5" s="1">
        <f t="shared" ref="AO5:AS6" si="6">V28</f>
        <v>0</v>
      </c>
      <c r="AP5" s="1">
        <f t="shared" si="6"/>
        <v>0</v>
      </c>
      <c r="AQ5" s="1">
        <f t="shared" si="6"/>
        <v>0</v>
      </c>
      <c r="AR5" s="1">
        <f t="shared" si="6"/>
        <v>0</v>
      </c>
      <c r="AS5" s="1">
        <f t="shared" si="6"/>
        <v>0</v>
      </c>
      <c r="AT5" s="1">
        <f>AA28</f>
        <v>90200000000</v>
      </c>
    </row>
    <row r="6" spans="2:46" x14ac:dyDescent="0.3">
      <c r="B6" s="12"/>
      <c r="C6" s="18" t="s">
        <v>10</v>
      </c>
      <c r="D6" s="14">
        <v>0</v>
      </c>
      <c r="E6" s="17">
        <v>5</v>
      </c>
      <c r="F6" s="12" t="s">
        <v>65</v>
      </c>
      <c r="G6" s="12"/>
      <c r="H6" s="14">
        <v>0</v>
      </c>
      <c r="I6" s="1"/>
      <c r="J6" s="3" t="s">
        <v>12</v>
      </c>
      <c r="L6" s="4">
        <f>$C$3</f>
        <v>357360000</v>
      </c>
      <c r="M6" s="4">
        <f t="shared" ref="M6:AA6" si="7">$C$3</f>
        <v>357360000</v>
      </c>
      <c r="N6" s="4">
        <f t="shared" si="7"/>
        <v>357360000</v>
      </c>
      <c r="O6" s="4">
        <f t="shared" si="7"/>
        <v>357360000</v>
      </c>
      <c r="P6" s="4">
        <f t="shared" si="7"/>
        <v>357360000</v>
      </c>
      <c r="Q6" s="4">
        <f t="shared" si="7"/>
        <v>357360000</v>
      </c>
      <c r="R6" s="4">
        <f t="shared" si="7"/>
        <v>357360000</v>
      </c>
      <c r="S6" s="4">
        <f t="shared" si="7"/>
        <v>357360000</v>
      </c>
      <c r="T6" s="4">
        <f t="shared" si="7"/>
        <v>357360000</v>
      </c>
      <c r="U6" s="4">
        <f t="shared" si="7"/>
        <v>357360000</v>
      </c>
      <c r="V6" s="4">
        <f t="shared" si="7"/>
        <v>357360000</v>
      </c>
      <c r="W6" s="4">
        <f t="shared" si="7"/>
        <v>357360000</v>
      </c>
      <c r="X6" s="4">
        <f t="shared" si="7"/>
        <v>357360000</v>
      </c>
      <c r="Y6" s="4">
        <f t="shared" si="7"/>
        <v>357360000</v>
      </c>
      <c r="Z6" s="4">
        <f t="shared" si="7"/>
        <v>357360000</v>
      </c>
      <c r="AA6" s="4">
        <f t="shared" si="7"/>
        <v>357360000</v>
      </c>
      <c r="AC6" s="1" t="str">
        <f>J29</f>
        <v>Préstamo</v>
      </c>
      <c r="AD6" s="1">
        <f>K29</f>
        <v>0</v>
      </c>
      <c r="AE6" s="1">
        <f t="shared" ref="AE6:AN6" si="8">L29</f>
        <v>0</v>
      </c>
      <c r="AF6" s="1">
        <f t="shared" si="8"/>
        <v>0</v>
      </c>
      <c r="AG6" s="1">
        <f t="shared" si="8"/>
        <v>0</v>
      </c>
      <c r="AH6" s="1">
        <f t="shared" si="8"/>
        <v>0</v>
      </c>
      <c r="AI6" s="1">
        <f t="shared" si="8"/>
        <v>0</v>
      </c>
      <c r="AJ6" s="1">
        <f t="shared" si="8"/>
        <v>0</v>
      </c>
      <c r="AK6" s="1">
        <f t="shared" si="8"/>
        <v>0</v>
      </c>
      <c r="AL6" s="1">
        <f t="shared" si="8"/>
        <v>0</v>
      </c>
      <c r="AM6" s="1">
        <f t="shared" si="8"/>
        <v>0</v>
      </c>
      <c r="AN6" s="1">
        <f t="shared" si="8"/>
        <v>0</v>
      </c>
      <c r="AO6" s="1">
        <f t="shared" si="6"/>
        <v>0</v>
      </c>
      <c r="AP6" s="1">
        <f t="shared" si="6"/>
        <v>0</v>
      </c>
      <c r="AQ6" s="1">
        <f t="shared" si="6"/>
        <v>0</v>
      </c>
      <c r="AR6" s="1">
        <f t="shared" si="6"/>
        <v>0</v>
      </c>
      <c r="AS6" s="1">
        <f t="shared" si="6"/>
        <v>0</v>
      </c>
      <c r="AT6" s="1">
        <f t="shared" ref="AT6" si="9">AA29</f>
        <v>0</v>
      </c>
    </row>
    <row r="7" spans="2:46" x14ac:dyDescent="0.3">
      <c r="B7" s="12"/>
      <c r="C7" s="18" t="s">
        <v>67</v>
      </c>
      <c r="D7" s="14">
        <v>0</v>
      </c>
      <c r="E7" s="17">
        <v>5</v>
      </c>
      <c r="F7" s="12" t="s">
        <v>65</v>
      </c>
      <c r="G7" s="19" t="s">
        <v>11</v>
      </c>
      <c r="H7" s="20">
        <f>SUM(H5:H6)</f>
        <v>0</v>
      </c>
      <c r="I7" s="4"/>
      <c r="J7" s="3" t="s">
        <v>13</v>
      </c>
      <c r="K7" s="1"/>
      <c r="L7" s="4">
        <f ca="1">L5-L6</f>
        <v>-357360000</v>
      </c>
      <c r="M7" s="4">
        <f t="shared" ref="M7:U7" ca="1" si="10">M5-M6</f>
        <v>578170026.54289699</v>
      </c>
      <c r="N7" s="4">
        <f t="shared" ca="1" si="10"/>
        <v>5428394699.8822441</v>
      </c>
      <c r="O7" s="4">
        <f t="shared" ca="1" si="10"/>
        <v>10278619373.22159</v>
      </c>
      <c r="P7" s="4">
        <f t="shared" ca="1" si="10"/>
        <v>15128844046.560936</v>
      </c>
      <c r="Q7" s="4">
        <f t="shared" ca="1" si="10"/>
        <v>19979068719.900284</v>
      </c>
      <c r="R7" s="4">
        <f t="shared" ca="1" si="10"/>
        <v>23893763366.696732</v>
      </c>
      <c r="S7" s="4">
        <f t="shared" ca="1" si="10"/>
        <v>23893763366.696732</v>
      </c>
      <c r="T7" s="4">
        <f t="shared" ca="1" si="10"/>
        <v>23893763366.696732</v>
      </c>
      <c r="U7" s="4">
        <f t="shared" ca="1" si="10"/>
        <v>23893763366.696732</v>
      </c>
      <c r="V7" s="4">
        <f t="shared" ref="V7:Z7" ca="1" si="11">V5-V6</f>
        <v>23893763366.696732</v>
      </c>
      <c r="W7" s="4">
        <f t="shared" ca="1" si="11"/>
        <v>23893763366.696732</v>
      </c>
      <c r="X7" s="4">
        <f t="shared" ca="1" si="11"/>
        <v>19043538693.357384</v>
      </c>
      <c r="Y7" s="4">
        <f t="shared" ca="1" si="11"/>
        <v>14193314020.018038</v>
      </c>
      <c r="Z7" s="4">
        <f t="shared" ca="1" si="11"/>
        <v>9343089346.6786919</v>
      </c>
      <c r="AA7" s="4">
        <f t="shared" ref="AA7" ca="1" si="12">AA5-AA6</f>
        <v>4492864673.3393459</v>
      </c>
      <c r="AC7" s="3" t="s">
        <v>73</v>
      </c>
      <c r="AD7" s="4">
        <f ca="1">SUM(AD3:AD6)</f>
        <v>0</v>
      </c>
      <c r="AE7" s="4">
        <f t="shared" ref="AE7:AN7" ca="1" si="13">SUM(AE3:AE6)</f>
        <v>0</v>
      </c>
      <c r="AF7" s="4">
        <f t="shared" ca="1" si="13"/>
        <v>935530026.54289699</v>
      </c>
      <c r="AG7" s="4">
        <f t="shared" ca="1" si="13"/>
        <v>5785754699.8822441</v>
      </c>
      <c r="AH7" s="4">
        <f t="shared" ca="1" si="13"/>
        <v>10635979373.22159</v>
      </c>
      <c r="AI7" s="4">
        <f t="shared" ca="1" si="13"/>
        <v>15486204046.560936</v>
      </c>
      <c r="AJ7" s="4">
        <f t="shared" ca="1" si="13"/>
        <v>20336428719.900284</v>
      </c>
      <c r="AK7" s="4">
        <f t="shared" ca="1" si="13"/>
        <v>24251123366.696732</v>
      </c>
      <c r="AL7" s="4">
        <f t="shared" ca="1" si="13"/>
        <v>24251123366.696732</v>
      </c>
      <c r="AM7" s="4">
        <f t="shared" ca="1" si="13"/>
        <v>24251123366.696732</v>
      </c>
      <c r="AN7" s="4">
        <f t="shared" ca="1" si="13"/>
        <v>24251123366.696732</v>
      </c>
      <c r="AO7" s="4">
        <f t="shared" ref="AO7:AT7" ca="1" si="14">SUM(AO3:AO6)</f>
        <v>24251123366.696732</v>
      </c>
      <c r="AP7" s="4">
        <f t="shared" ca="1" si="14"/>
        <v>24251123366.696732</v>
      </c>
      <c r="AQ7" s="4">
        <f t="shared" ca="1" si="14"/>
        <v>19400898693.357384</v>
      </c>
      <c r="AR7" s="4">
        <f t="shared" ca="1" si="14"/>
        <v>14550674020.018038</v>
      </c>
      <c r="AS7" s="4">
        <f t="shared" ca="1" si="14"/>
        <v>9700449346.6786919</v>
      </c>
      <c r="AT7" s="4">
        <f t="shared" ca="1" si="14"/>
        <v>95050224673.33934</v>
      </c>
    </row>
    <row r="8" spans="2:46" x14ac:dyDescent="0.3">
      <c r="B8" s="12"/>
      <c r="C8" s="18" t="s">
        <v>70</v>
      </c>
      <c r="D8" s="14">
        <v>90200000000</v>
      </c>
      <c r="E8" s="13"/>
      <c r="F8" s="13"/>
      <c r="G8" s="13"/>
      <c r="H8" s="12"/>
      <c r="I8" s="1"/>
      <c r="J8" s="1" t="s">
        <v>15</v>
      </c>
      <c r="K8" s="1"/>
      <c r="L8" s="1">
        <f>$D$5/$E$5</f>
        <v>0</v>
      </c>
      <c r="M8" s="1">
        <f t="shared" ref="M8:AA8" si="15">$D$5/$E$5</f>
        <v>0</v>
      </c>
      <c r="N8" s="1">
        <f t="shared" si="15"/>
        <v>0</v>
      </c>
      <c r="O8" s="1">
        <f t="shared" si="15"/>
        <v>0</v>
      </c>
      <c r="P8" s="1">
        <f t="shared" si="15"/>
        <v>0</v>
      </c>
      <c r="Q8" s="1">
        <f t="shared" si="15"/>
        <v>0</v>
      </c>
      <c r="R8" s="1">
        <f t="shared" si="15"/>
        <v>0</v>
      </c>
      <c r="S8" s="1">
        <f t="shared" si="15"/>
        <v>0</v>
      </c>
      <c r="T8" s="1">
        <f t="shared" si="15"/>
        <v>0</v>
      </c>
      <c r="U8" s="1">
        <f t="shared" si="15"/>
        <v>0</v>
      </c>
      <c r="V8" s="1">
        <f t="shared" si="15"/>
        <v>0</v>
      </c>
      <c r="W8" s="1">
        <f t="shared" si="15"/>
        <v>0</v>
      </c>
      <c r="X8" s="1">
        <f t="shared" si="15"/>
        <v>0</v>
      </c>
      <c r="Y8" s="1">
        <f t="shared" si="15"/>
        <v>0</v>
      </c>
      <c r="Z8" s="1">
        <f t="shared" si="15"/>
        <v>0</v>
      </c>
      <c r="AA8" s="1">
        <f t="shared" si="15"/>
        <v>0</v>
      </c>
      <c r="AC8" t="str">
        <f>J6</f>
        <v>Egresos operacionales</v>
      </c>
      <c r="AE8" s="1">
        <f>$L$6</f>
        <v>357360000</v>
      </c>
      <c r="AF8" s="1">
        <f t="shared" ref="AF8:AT8" si="16">$L$6</f>
        <v>357360000</v>
      </c>
      <c r="AG8" s="1">
        <f t="shared" si="16"/>
        <v>357360000</v>
      </c>
      <c r="AH8" s="1">
        <f t="shared" si="16"/>
        <v>357360000</v>
      </c>
      <c r="AI8" s="1">
        <f t="shared" si="16"/>
        <v>357360000</v>
      </c>
      <c r="AJ8" s="1">
        <f t="shared" si="16"/>
        <v>357360000</v>
      </c>
      <c r="AK8" s="1">
        <f t="shared" si="16"/>
        <v>357360000</v>
      </c>
      <c r="AL8" s="1">
        <f t="shared" si="16"/>
        <v>357360000</v>
      </c>
      <c r="AM8" s="1">
        <f t="shared" si="16"/>
        <v>357360000</v>
      </c>
      <c r="AN8" s="1">
        <f t="shared" si="16"/>
        <v>357360000</v>
      </c>
      <c r="AO8" s="1">
        <f t="shared" si="16"/>
        <v>357360000</v>
      </c>
      <c r="AP8" s="1">
        <f t="shared" si="16"/>
        <v>357360000</v>
      </c>
      <c r="AQ8" s="1">
        <f t="shared" si="16"/>
        <v>357360000</v>
      </c>
      <c r="AR8" s="1">
        <f t="shared" si="16"/>
        <v>357360000</v>
      </c>
      <c r="AS8" s="1">
        <f t="shared" si="16"/>
        <v>357360000</v>
      </c>
      <c r="AT8" s="1">
        <f t="shared" si="16"/>
        <v>357360000</v>
      </c>
    </row>
    <row r="9" spans="2:46" x14ac:dyDescent="0.3">
      <c r="B9" s="12"/>
      <c r="C9" s="19" t="s">
        <v>11</v>
      </c>
      <c r="D9" s="20">
        <f>SUM(D5:D8)</f>
        <v>90200000000</v>
      </c>
      <c r="E9" s="14"/>
      <c r="F9" s="14"/>
      <c r="G9" s="14"/>
      <c r="H9" s="14"/>
      <c r="I9" s="1"/>
      <c r="J9" s="1" t="s">
        <v>16</v>
      </c>
      <c r="K9" s="1"/>
      <c r="L9" s="1">
        <f>$D$6/$E$6</f>
        <v>0</v>
      </c>
      <c r="M9" s="1">
        <f t="shared" ref="M9:AA9" si="17">$D$6/$E$6</f>
        <v>0</v>
      </c>
      <c r="N9" s="1">
        <f t="shared" si="17"/>
        <v>0</v>
      </c>
      <c r="O9" s="1">
        <f t="shared" si="17"/>
        <v>0</v>
      </c>
      <c r="P9" s="1">
        <f t="shared" si="17"/>
        <v>0</v>
      </c>
      <c r="Q9" s="1">
        <f t="shared" si="17"/>
        <v>0</v>
      </c>
      <c r="R9" s="1">
        <f t="shared" si="17"/>
        <v>0</v>
      </c>
      <c r="S9" s="1">
        <f t="shared" si="17"/>
        <v>0</v>
      </c>
      <c r="T9" s="1">
        <f t="shared" si="17"/>
        <v>0</v>
      </c>
      <c r="U9" s="1">
        <f t="shared" si="17"/>
        <v>0</v>
      </c>
      <c r="V9" s="1">
        <f t="shared" si="17"/>
        <v>0</v>
      </c>
      <c r="W9" s="1">
        <f t="shared" si="17"/>
        <v>0</v>
      </c>
      <c r="X9" s="1">
        <f t="shared" si="17"/>
        <v>0</v>
      </c>
      <c r="Y9" s="1">
        <f t="shared" si="17"/>
        <v>0</v>
      </c>
      <c r="Z9" s="1">
        <f t="shared" si="17"/>
        <v>0</v>
      </c>
      <c r="AA9" s="1">
        <f t="shared" si="17"/>
        <v>0</v>
      </c>
      <c r="AC9" s="1" t="str">
        <f>J13</f>
        <v>Intereses préstamo</v>
      </c>
      <c r="AD9" s="1">
        <f t="shared" ref="AD9:AL9" si="18">K13</f>
        <v>0</v>
      </c>
      <c r="AE9" s="1">
        <f t="shared" si="18"/>
        <v>0</v>
      </c>
      <c r="AF9" s="1">
        <f t="shared" si="18"/>
        <v>0</v>
      </c>
      <c r="AG9" s="1">
        <f t="shared" si="18"/>
        <v>0</v>
      </c>
      <c r="AH9" s="1">
        <f t="shared" si="18"/>
        <v>0</v>
      </c>
      <c r="AI9" s="1">
        <f t="shared" si="18"/>
        <v>0</v>
      </c>
      <c r="AJ9" s="1">
        <f t="shared" si="18"/>
        <v>0</v>
      </c>
      <c r="AK9" s="1">
        <f t="shared" si="18"/>
        <v>0</v>
      </c>
      <c r="AL9" s="1">
        <f t="shared" si="18"/>
        <v>0</v>
      </c>
      <c r="AM9" s="1"/>
      <c r="AN9" s="1"/>
      <c r="AO9" s="1"/>
      <c r="AP9" s="1"/>
      <c r="AQ9" s="1"/>
      <c r="AR9" s="1"/>
      <c r="AS9" s="1"/>
      <c r="AT9" s="1"/>
    </row>
    <row r="10" spans="2:46" x14ac:dyDescent="0.3">
      <c r="B10" s="14" t="s">
        <v>35</v>
      </c>
      <c r="C10" s="15">
        <v>0</v>
      </c>
      <c r="D10" s="14"/>
      <c r="E10" s="14"/>
      <c r="F10" s="14"/>
      <c r="G10" s="14"/>
      <c r="H10" s="12"/>
      <c r="I10" s="1"/>
      <c r="J10" s="1" t="s">
        <v>17</v>
      </c>
      <c r="K10" s="1"/>
      <c r="L10" s="1">
        <f>$D$7/$E$7</f>
        <v>0</v>
      </c>
      <c r="M10" s="1">
        <f t="shared" ref="M10:AA10" si="19">$D$7/$E$7</f>
        <v>0</v>
      </c>
      <c r="N10" s="1">
        <f t="shared" si="19"/>
        <v>0</v>
      </c>
      <c r="O10" s="1">
        <f t="shared" si="19"/>
        <v>0</v>
      </c>
      <c r="P10" s="1">
        <f t="shared" si="19"/>
        <v>0</v>
      </c>
      <c r="Q10" s="1">
        <f t="shared" si="19"/>
        <v>0</v>
      </c>
      <c r="R10" s="1">
        <f t="shared" si="19"/>
        <v>0</v>
      </c>
      <c r="S10" s="1">
        <f t="shared" si="19"/>
        <v>0</v>
      </c>
      <c r="T10" s="1">
        <f t="shared" si="19"/>
        <v>0</v>
      </c>
      <c r="U10" s="1">
        <f t="shared" si="19"/>
        <v>0</v>
      </c>
      <c r="V10" s="1">
        <f t="shared" si="19"/>
        <v>0</v>
      </c>
      <c r="W10" s="1">
        <f t="shared" si="19"/>
        <v>0</v>
      </c>
      <c r="X10" s="1">
        <f t="shared" si="19"/>
        <v>0</v>
      </c>
      <c r="Y10" s="1">
        <f t="shared" si="19"/>
        <v>0</v>
      </c>
      <c r="Z10" s="1">
        <f t="shared" si="19"/>
        <v>0</v>
      </c>
      <c r="AA10" s="1">
        <f t="shared" si="19"/>
        <v>0</v>
      </c>
      <c r="AC10" s="1" t="str">
        <f>J15</f>
        <v>Impuestos</v>
      </c>
      <c r="AD10" s="1">
        <f t="shared" ref="AD10:AN10" si="20">K15</f>
        <v>0</v>
      </c>
      <c r="AE10" s="1">
        <f t="shared" ca="1" si="20"/>
        <v>0</v>
      </c>
      <c r="AF10" s="1">
        <f t="shared" ca="1" si="20"/>
        <v>0</v>
      </c>
      <c r="AG10" s="1">
        <f t="shared" ca="1" si="20"/>
        <v>0</v>
      </c>
      <c r="AH10" s="1">
        <f t="shared" ca="1" si="20"/>
        <v>0</v>
      </c>
      <c r="AI10" s="1">
        <f t="shared" ca="1" si="20"/>
        <v>0</v>
      </c>
      <c r="AJ10" s="1">
        <f t="shared" ca="1" si="20"/>
        <v>0</v>
      </c>
      <c r="AK10" s="1">
        <f t="shared" ca="1" si="20"/>
        <v>0</v>
      </c>
      <c r="AL10" s="1">
        <f t="shared" ca="1" si="20"/>
        <v>0</v>
      </c>
      <c r="AM10" s="1">
        <f t="shared" ca="1" si="20"/>
        <v>0</v>
      </c>
      <c r="AN10" s="1">
        <f t="shared" ca="1" si="20"/>
        <v>0</v>
      </c>
      <c r="AO10" s="1">
        <f t="shared" ref="AO10:AT10" ca="1" si="21">V15</f>
        <v>0</v>
      </c>
      <c r="AP10" s="1">
        <f t="shared" ca="1" si="21"/>
        <v>0</v>
      </c>
      <c r="AQ10" s="1">
        <f t="shared" ca="1" si="21"/>
        <v>0</v>
      </c>
      <c r="AR10" s="1">
        <f t="shared" ca="1" si="21"/>
        <v>0</v>
      </c>
      <c r="AS10" s="1">
        <f t="shared" ca="1" si="21"/>
        <v>0</v>
      </c>
      <c r="AT10" s="1">
        <f t="shared" ca="1" si="21"/>
        <v>0</v>
      </c>
    </row>
    <row r="11" spans="2:46" x14ac:dyDescent="0.3">
      <c r="B11" s="12"/>
      <c r="C11" s="14"/>
      <c r="D11" s="14"/>
      <c r="E11" s="14"/>
      <c r="F11" s="14"/>
      <c r="G11" s="14"/>
      <c r="H11" s="14"/>
      <c r="I11" s="1"/>
      <c r="J11" s="1" t="s">
        <v>53</v>
      </c>
      <c r="U11" s="1">
        <f>U20</f>
        <v>0</v>
      </c>
      <c r="V11" s="1">
        <f t="shared" ref="V11:Y11" si="22">V20</f>
        <v>0</v>
      </c>
      <c r="W11" s="1">
        <f t="shared" si="22"/>
        <v>0</v>
      </c>
      <c r="X11" s="1">
        <f t="shared" si="22"/>
        <v>0</v>
      </c>
      <c r="Y11" s="1">
        <f t="shared" si="22"/>
        <v>0</v>
      </c>
      <c r="Z11" s="1">
        <f>Z20</f>
        <v>0</v>
      </c>
      <c r="AA11" s="1">
        <f>AA20</f>
        <v>0</v>
      </c>
      <c r="AC11" s="1" t="str">
        <f>J23</f>
        <v>Inversiones</v>
      </c>
      <c r="AD11" s="1">
        <f>K23</f>
        <v>90200000000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</row>
    <row r="12" spans="2:46" x14ac:dyDescent="0.3">
      <c r="B12" s="10" t="s">
        <v>61</v>
      </c>
      <c r="C12" s="11">
        <v>0</v>
      </c>
      <c r="D12" s="12" t="s">
        <v>62</v>
      </c>
      <c r="E12" s="14"/>
      <c r="F12" s="14"/>
      <c r="G12" s="14"/>
      <c r="H12" s="14"/>
      <c r="I12" s="1"/>
      <c r="J12" s="4" t="s">
        <v>18</v>
      </c>
      <c r="K12" s="4"/>
      <c r="L12" s="4">
        <f ca="1">L7-L8-L9-L10-L11</f>
        <v>-357360000</v>
      </c>
      <c r="M12" s="4">
        <f t="shared" ref="M12:U12" ca="1" si="23">M7-M8-M9-M10-M11</f>
        <v>578170026.54289699</v>
      </c>
      <c r="N12" s="4">
        <f t="shared" ca="1" si="23"/>
        <v>5428394699.8822441</v>
      </c>
      <c r="O12" s="4">
        <f t="shared" ca="1" si="23"/>
        <v>10278619373.22159</v>
      </c>
      <c r="P12" s="4">
        <f t="shared" ca="1" si="23"/>
        <v>15128844046.560936</v>
      </c>
      <c r="Q12" s="4">
        <f t="shared" ca="1" si="23"/>
        <v>19979068719.900284</v>
      </c>
      <c r="R12" s="4">
        <f t="shared" ca="1" si="23"/>
        <v>23893763366.696732</v>
      </c>
      <c r="S12" s="4">
        <f t="shared" ca="1" si="23"/>
        <v>23893763366.696732</v>
      </c>
      <c r="T12" s="4">
        <f t="shared" ca="1" si="23"/>
        <v>23893763366.696732</v>
      </c>
      <c r="U12" s="4">
        <f t="shared" ca="1" si="23"/>
        <v>23893763366.696732</v>
      </c>
      <c r="V12" s="4">
        <f t="shared" ref="V12:Z12" ca="1" si="24">V7-V8-V9-V10-V11</f>
        <v>23893763366.696732</v>
      </c>
      <c r="W12" s="4">
        <f t="shared" ca="1" si="24"/>
        <v>23893763366.696732</v>
      </c>
      <c r="X12" s="4">
        <f t="shared" ca="1" si="24"/>
        <v>19043538693.357384</v>
      </c>
      <c r="Y12" s="4">
        <f t="shared" ca="1" si="24"/>
        <v>14193314020.018038</v>
      </c>
      <c r="Z12" s="4">
        <f t="shared" ca="1" si="24"/>
        <v>9343089346.6786919</v>
      </c>
      <c r="AA12" s="4">
        <f t="shared" ref="AA12" ca="1" si="25">AA7-AA8-AA9-AA10-AA11</f>
        <v>4492864673.3393459</v>
      </c>
      <c r="AC12" t="str">
        <f>J30</f>
        <v>Abono de capital</v>
      </c>
      <c r="AD12" s="1">
        <f t="shared" ref="AD12:AL12" si="26">K30</f>
        <v>0</v>
      </c>
      <c r="AE12" s="1">
        <f t="shared" si="26"/>
        <v>0</v>
      </c>
      <c r="AF12" s="1">
        <f t="shared" si="26"/>
        <v>0</v>
      </c>
      <c r="AG12" s="1">
        <f t="shared" si="26"/>
        <v>0</v>
      </c>
      <c r="AH12" s="1">
        <f t="shared" si="26"/>
        <v>0</v>
      </c>
      <c r="AI12" s="1">
        <f t="shared" si="26"/>
        <v>0</v>
      </c>
      <c r="AJ12" s="1">
        <f t="shared" si="26"/>
        <v>0</v>
      </c>
      <c r="AK12" s="1">
        <f t="shared" si="26"/>
        <v>0</v>
      </c>
      <c r="AL12" s="1">
        <f t="shared" si="26"/>
        <v>0</v>
      </c>
      <c r="AM12" s="1">
        <f t="shared" ref="AM12" si="27">T30</f>
        <v>0</v>
      </c>
      <c r="AN12" s="1">
        <f t="shared" ref="AN12" si="28">U30</f>
        <v>0</v>
      </c>
      <c r="AO12" s="1">
        <f t="shared" ref="AO12" si="29">V30</f>
        <v>0</v>
      </c>
      <c r="AP12" s="1">
        <f t="shared" ref="AP12" si="30">W30</f>
        <v>0</v>
      </c>
      <c r="AQ12" s="1">
        <f t="shared" ref="AQ12" si="31">X30</f>
        <v>0</v>
      </c>
      <c r="AR12" s="1">
        <f t="shared" ref="AR12" si="32">Y30</f>
        <v>0</v>
      </c>
      <c r="AS12" s="1">
        <f t="shared" ref="AS12" si="33">Z30</f>
        <v>0</v>
      </c>
      <c r="AT12" s="1">
        <f t="shared" ref="AT12" si="34">AA30</f>
        <v>0</v>
      </c>
    </row>
    <row r="13" spans="2:46" x14ac:dyDescent="0.3">
      <c r="B13" s="10" t="s">
        <v>63</v>
      </c>
      <c r="C13" s="31">
        <v>0</v>
      </c>
      <c r="D13" s="12" t="s">
        <v>64</v>
      </c>
      <c r="E13" s="14"/>
      <c r="F13" s="14"/>
      <c r="G13" s="14"/>
      <c r="H13" s="14"/>
      <c r="I13" s="1"/>
      <c r="J13" s="1" t="s">
        <v>19</v>
      </c>
      <c r="K13" s="1"/>
      <c r="L13" s="1">
        <f>IF($K$42=1,L55,IF($K$42=2,L67,IF($K$42=3,L79,IF($K$42=4,L91,0))))</f>
        <v>0</v>
      </c>
      <c r="M13" s="1">
        <f t="shared" ref="M13:S13" si="35">IF($K$42=1,M55,IF($K$42=2,M67,IF($K$42=3,M79,IF($K$42=4,M91,0))))</f>
        <v>0</v>
      </c>
      <c r="N13" s="1">
        <f t="shared" si="35"/>
        <v>0</v>
      </c>
      <c r="O13" s="1">
        <f t="shared" si="35"/>
        <v>0</v>
      </c>
      <c r="P13" s="1">
        <f t="shared" si="35"/>
        <v>0</v>
      </c>
      <c r="Q13" s="1">
        <f t="shared" si="35"/>
        <v>0</v>
      </c>
      <c r="R13" s="1">
        <f t="shared" si="35"/>
        <v>0</v>
      </c>
      <c r="S13" s="1">
        <f t="shared" si="35"/>
        <v>0</v>
      </c>
      <c r="T13" s="1"/>
      <c r="U13" s="1"/>
      <c r="V13" s="1"/>
      <c r="W13" s="1"/>
      <c r="X13" s="1"/>
      <c r="Y13" s="1"/>
      <c r="Z13" s="1"/>
      <c r="AA13" s="1"/>
      <c r="AC13" s="3" t="s">
        <v>74</v>
      </c>
      <c r="AD13" s="4">
        <f>SUM(AD8:AD12)</f>
        <v>90200000000</v>
      </c>
      <c r="AE13" s="4">
        <f t="shared" ref="AE13:AN13" ca="1" si="36">SUM(AE8:AE12)</f>
        <v>357360000</v>
      </c>
      <c r="AF13" s="4">
        <f ca="1">SUM(AF8:AF12)</f>
        <v>357360000</v>
      </c>
      <c r="AG13" s="4">
        <f t="shared" ca="1" si="36"/>
        <v>357360000</v>
      </c>
      <c r="AH13" s="4">
        <f t="shared" ca="1" si="36"/>
        <v>357360000</v>
      </c>
      <c r="AI13" s="4">
        <f t="shared" ca="1" si="36"/>
        <v>357360000</v>
      </c>
      <c r="AJ13" s="4">
        <f t="shared" ca="1" si="36"/>
        <v>357360000</v>
      </c>
      <c r="AK13" s="4">
        <f t="shared" ca="1" si="36"/>
        <v>357360000</v>
      </c>
      <c r="AL13" s="4">
        <f t="shared" ca="1" si="36"/>
        <v>357360000</v>
      </c>
      <c r="AM13" s="4">
        <f t="shared" ca="1" si="36"/>
        <v>357360000</v>
      </c>
      <c r="AN13" s="4">
        <f t="shared" ca="1" si="36"/>
        <v>357360000</v>
      </c>
      <c r="AO13" s="4">
        <f t="shared" ref="AO13:AT13" ca="1" si="37">SUM(AO8:AO12)</f>
        <v>357360000</v>
      </c>
      <c r="AP13" s="4">
        <f t="shared" ca="1" si="37"/>
        <v>357360000</v>
      </c>
      <c r="AQ13" s="4">
        <f t="shared" ca="1" si="37"/>
        <v>357360000</v>
      </c>
      <c r="AR13" s="4">
        <f t="shared" ca="1" si="37"/>
        <v>357360000</v>
      </c>
      <c r="AS13" s="4">
        <f t="shared" ca="1" si="37"/>
        <v>357360000</v>
      </c>
      <c r="AT13" s="4">
        <f t="shared" ca="1" si="37"/>
        <v>357360000</v>
      </c>
    </row>
    <row r="14" spans="2:46" x14ac:dyDescent="0.3">
      <c r="B14" s="10" t="s">
        <v>4</v>
      </c>
      <c r="C14" s="12">
        <v>0</v>
      </c>
      <c r="D14" s="12" t="s">
        <v>65</v>
      </c>
      <c r="E14" s="14"/>
      <c r="F14" s="14"/>
      <c r="G14" s="14"/>
      <c r="H14" s="14"/>
      <c r="I14" s="1"/>
      <c r="J14" s="4" t="s">
        <v>34</v>
      </c>
      <c r="K14" s="1"/>
      <c r="L14" s="4">
        <f ca="1">L12-L13</f>
        <v>-357360000</v>
      </c>
      <c r="M14" s="4">
        <f t="shared" ref="M14:U14" ca="1" si="38">M12-M13</f>
        <v>578170026.54289699</v>
      </c>
      <c r="N14" s="4">
        <f t="shared" ca="1" si="38"/>
        <v>5428394699.8822441</v>
      </c>
      <c r="O14" s="4">
        <f t="shared" ca="1" si="38"/>
        <v>10278619373.22159</v>
      </c>
      <c r="P14" s="4">
        <f t="shared" ca="1" si="38"/>
        <v>15128844046.560936</v>
      </c>
      <c r="Q14" s="4">
        <f t="shared" ca="1" si="38"/>
        <v>19979068719.900284</v>
      </c>
      <c r="R14" s="4">
        <f t="shared" ca="1" si="38"/>
        <v>23893763366.696732</v>
      </c>
      <c r="S14" s="4">
        <f t="shared" ca="1" si="38"/>
        <v>23893763366.696732</v>
      </c>
      <c r="T14" s="4">
        <f t="shared" ca="1" si="38"/>
        <v>23893763366.696732</v>
      </c>
      <c r="U14" s="4">
        <f t="shared" ca="1" si="38"/>
        <v>23893763366.696732</v>
      </c>
      <c r="V14" s="4">
        <f t="shared" ref="V14:Z14" ca="1" si="39">V12-V13</f>
        <v>23893763366.696732</v>
      </c>
      <c r="W14" s="4">
        <f t="shared" ca="1" si="39"/>
        <v>23893763366.696732</v>
      </c>
      <c r="X14" s="4">
        <f t="shared" ca="1" si="39"/>
        <v>19043538693.357384</v>
      </c>
      <c r="Y14" s="4">
        <f t="shared" ca="1" si="39"/>
        <v>14193314020.018038</v>
      </c>
      <c r="Z14" s="4">
        <f t="shared" ca="1" si="39"/>
        <v>9343089346.6786919</v>
      </c>
      <c r="AA14" s="4">
        <f t="shared" ref="AA14" ca="1" si="40">AA12-AA13</f>
        <v>4492864673.3393459</v>
      </c>
    </row>
    <row r="15" spans="2:46" x14ac:dyDescent="0.3">
      <c r="B15" s="12"/>
      <c r="C15" s="12"/>
      <c r="D15" s="12"/>
      <c r="E15" s="14"/>
      <c r="F15" s="14"/>
      <c r="G15" s="14"/>
      <c r="H15" s="14"/>
      <c r="I15" s="1"/>
      <c r="J15" s="1" t="s">
        <v>35</v>
      </c>
      <c r="K15" s="1"/>
      <c r="L15" s="1">
        <f ca="1">$C$16*L14</f>
        <v>0</v>
      </c>
      <c r="M15" s="1">
        <f t="shared" ref="M15:U15" ca="1" si="41">$C$16*M14</f>
        <v>0</v>
      </c>
      <c r="N15" s="1">
        <f t="shared" ca="1" si="41"/>
        <v>0</v>
      </c>
      <c r="O15" s="1">
        <f t="shared" ca="1" si="41"/>
        <v>0</v>
      </c>
      <c r="P15" s="1">
        <f t="shared" ca="1" si="41"/>
        <v>0</v>
      </c>
      <c r="Q15" s="1">
        <f t="shared" ca="1" si="41"/>
        <v>0</v>
      </c>
      <c r="R15" s="1">
        <f t="shared" ca="1" si="41"/>
        <v>0</v>
      </c>
      <c r="S15" s="1">
        <f t="shared" ca="1" si="41"/>
        <v>0</v>
      </c>
      <c r="T15" s="1">
        <f t="shared" ca="1" si="41"/>
        <v>0</v>
      </c>
      <c r="U15" s="1">
        <f t="shared" ca="1" si="41"/>
        <v>0</v>
      </c>
      <c r="V15" s="1">
        <f t="shared" ref="V15:Z15" ca="1" si="42">$C$16*V14</f>
        <v>0</v>
      </c>
      <c r="W15" s="1">
        <f t="shared" ca="1" si="42"/>
        <v>0</v>
      </c>
      <c r="X15" s="1">
        <f t="shared" ca="1" si="42"/>
        <v>0</v>
      </c>
      <c r="Y15" s="1">
        <f t="shared" ca="1" si="42"/>
        <v>0</v>
      </c>
      <c r="Z15" s="1">
        <f t="shared" ca="1" si="42"/>
        <v>0</v>
      </c>
      <c r="AA15" s="1">
        <f t="shared" ref="AA15" ca="1" si="43">$C$16*AA14</f>
        <v>0</v>
      </c>
      <c r="AC15" s="3" t="s">
        <v>44</v>
      </c>
      <c r="AD15" s="61">
        <f>C18</f>
        <v>0.1</v>
      </c>
      <c r="AE15" s="3" t="s">
        <v>56</v>
      </c>
      <c r="AF15" s="3" t="s">
        <v>57</v>
      </c>
    </row>
    <row r="16" spans="2:46" x14ac:dyDescent="0.3">
      <c r="B16" s="13" t="s">
        <v>35</v>
      </c>
      <c r="C16" s="11">
        <v>0</v>
      </c>
      <c r="D16" s="12" t="s">
        <v>66</v>
      </c>
      <c r="E16" s="14"/>
      <c r="F16" s="14"/>
      <c r="G16" s="14"/>
      <c r="H16" s="14"/>
      <c r="I16" s="1"/>
      <c r="J16" s="4" t="s">
        <v>36</v>
      </c>
      <c r="K16" s="1"/>
      <c r="L16" s="4">
        <f ca="1">L14-L15</f>
        <v>-357360000</v>
      </c>
      <c r="M16" s="4">
        <f t="shared" ref="M16:U16" ca="1" si="44">M14-M15</f>
        <v>578170026.54289699</v>
      </c>
      <c r="N16" s="4">
        <f t="shared" ca="1" si="44"/>
        <v>5428394699.8822441</v>
      </c>
      <c r="O16" s="4">
        <f t="shared" ca="1" si="44"/>
        <v>10278619373.22159</v>
      </c>
      <c r="P16" s="4">
        <f t="shared" ca="1" si="44"/>
        <v>15128844046.560936</v>
      </c>
      <c r="Q16" s="4">
        <f t="shared" ca="1" si="44"/>
        <v>19979068719.900284</v>
      </c>
      <c r="R16" s="4">
        <f t="shared" ca="1" si="44"/>
        <v>23893763366.696732</v>
      </c>
      <c r="S16" s="4">
        <f t="shared" ca="1" si="44"/>
        <v>23893763366.696732</v>
      </c>
      <c r="T16" s="4">
        <f t="shared" ca="1" si="44"/>
        <v>23893763366.696732</v>
      </c>
      <c r="U16" s="4">
        <f t="shared" ca="1" si="44"/>
        <v>23893763366.696732</v>
      </c>
      <c r="V16" s="4">
        <f t="shared" ref="V16:Z16" ca="1" si="45">V14-V15</f>
        <v>23893763366.696732</v>
      </c>
      <c r="W16" s="4">
        <f t="shared" ca="1" si="45"/>
        <v>23893763366.696732</v>
      </c>
      <c r="X16" s="4">
        <f t="shared" ca="1" si="45"/>
        <v>19043538693.357384</v>
      </c>
      <c r="Y16" s="4">
        <f t="shared" ca="1" si="45"/>
        <v>14193314020.018038</v>
      </c>
      <c r="Z16" s="4">
        <f t="shared" ca="1" si="45"/>
        <v>9343089346.6786919</v>
      </c>
      <c r="AA16" s="4">
        <f t="shared" ref="AA16" ca="1" si="46">AA14-AA15</f>
        <v>4492864673.3393459</v>
      </c>
      <c r="AC16" s="3" t="s">
        <v>55</v>
      </c>
      <c r="AD16" s="9">
        <f ca="1">AE16/AF16</f>
        <v>1.3501536262862244</v>
      </c>
      <c r="AE16" s="1">
        <f ca="1">NPV(AD15,AE7:AT7)+AD7</f>
        <v>125558725314.21794</v>
      </c>
      <c r="AF16" s="1">
        <f ca="1">NPV(AD15,AE13:AT13)+AD13</f>
        <v>92995880520.340317</v>
      </c>
    </row>
    <row r="17" spans="2:29" x14ac:dyDescent="0.3">
      <c r="B17" s="12"/>
      <c r="C17" s="12"/>
      <c r="D17" s="12"/>
      <c r="E17" s="14"/>
      <c r="F17" s="14"/>
      <c r="G17" s="14"/>
      <c r="H17" s="14"/>
      <c r="I17" s="1"/>
      <c r="J17" s="1" t="s">
        <v>15</v>
      </c>
      <c r="K17" s="1"/>
      <c r="L17" s="1">
        <f>L8</f>
        <v>0</v>
      </c>
      <c r="M17" s="1">
        <f t="shared" ref="M17:U17" si="47">M8</f>
        <v>0</v>
      </c>
      <c r="N17" s="1">
        <f t="shared" si="47"/>
        <v>0</v>
      </c>
      <c r="O17" s="1">
        <f t="shared" si="47"/>
        <v>0</v>
      </c>
      <c r="P17" s="1">
        <f t="shared" si="47"/>
        <v>0</v>
      </c>
      <c r="Q17" s="1">
        <f t="shared" si="47"/>
        <v>0</v>
      </c>
      <c r="R17" s="1">
        <f t="shared" si="47"/>
        <v>0</v>
      </c>
      <c r="S17" s="1">
        <f t="shared" si="47"/>
        <v>0</v>
      </c>
      <c r="T17" s="1">
        <f t="shared" si="47"/>
        <v>0</v>
      </c>
      <c r="U17" s="1">
        <f t="shared" si="47"/>
        <v>0</v>
      </c>
      <c r="V17" s="1">
        <f t="shared" ref="V17:Z17" si="48">V8</f>
        <v>0</v>
      </c>
      <c r="W17" s="1">
        <f t="shared" si="48"/>
        <v>0</v>
      </c>
      <c r="X17" s="1">
        <f t="shared" si="48"/>
        <v>0</v>
      </c>
      <c r="Y17" s="1">
        <f t="shared" si="48"/>
        <v>0</v>
      </c>
      <c r="Z17" s="1">
        <f t="shared" si="48"/>
        <v>0</v>
      </c>
      <c r="AA17" s="1">
        <f t="shared" ref="AA17" si="49">AA8</f>
        <v>0</v>
      </c>
    </row>
    <row r="18" spans="2:29" x14ac:dyDescent="0.3">
      <c r="B18" s="10" t="s">
        <v>44</v>
      </c>
      <c r="C18" s="31">
        <v>0.1</v>
      </c>
      <c r="D18" s="12" t="s">
        <v>64</v>
      </c>
      <c r="E18" s="14"/>
      <c r="F18" s="14"/>
      <c r="G18" s="14"/>
      <c r="H18" s="14"/>
      <c r="I18" s="1"/>
      <c r="J18" s="1" t="s">
        <v>16</v>
      </c>
      <c r="K18" s="1"/>
      <c r="L18" s="1">
        <f t="shared" ref="L18:U18" si="50">L9</f>
        <v>0</v>
      </c>
      <c r="M18" s="1">
        <f t="shared" si="50"/>
        <v>0</v>
      </c>
      <c r="N18" s="1">
        <f t="shared" si="50"/>
        <v>0</v>
      </c>
      <c r="O18" s="1">
        <f t="shared" si="50"/>
        <v>0</v>
      </c>
      <c r="P18" s="1">
        <f t="shared" si="50"/>
        <v>0</v>
      </c>
      <c r="Q18" s="1">
        <f t="shared" si="50"/>
        <v>0</v>
      </c>
      <c r="R18" s="1">
        <f t="shared" si="50"/>
        <v>0</v>
      </c>
      <c r="S18" s="1">
        <f t="shared" si="50"/>
        <v>0</v>
      </c>
      <c r="T18" s="1">
        <f t="shared" si="50"/>
        <v>0</v>
      </c>
      <c r="U18" s="1">
        <f t="shared" si="50"/>
        <v>0</v>
      </c>
      <c r="V18" s="1">
        <f t="shared" ref="V18:Z18" si="51">V9</f>
        <v>0</v>
      </c>
      <c r="W18" s="1">
        <f t="shared" si="51"/>
        <v>0</v>
      </c>
      <c r="X18" s="1">
        <f t="shared" si="51"/>
        <v>0</v>
      </c>
      <c r="Y18" s="1">
        <f t="shared" si="51"/>
        <v>0</v>
      </c>
      <c r="Z18" s="1">
        <f t="shared" si="51"/>
        <v>0</v>
      </c>
      <c r="AA18" s="1">
        <f t="shared" ref="AA18" si="52">AA9</f>
        <v>0</v>
      </c>
    </row>
    <row r="19" spans="2:29" x14ac:dyDescent="0.3">
      <c r="C19" s="1"/>
      <c r="D19" s="1"/>
      <c r="E19" s="1"/>
      <c r="F19" s="1"/>
      <c r="G19" s="1"/>
      <c r="H19" s="1"/>
      <c r="I19" s="1"/>
      <c r="J19" s="1" t="s">
        <v>17</v>
      </c>
      <c r="K19" s="1"/>
      <c r="L19" s="1">
        <f t="shared" ref="L19:U19" si="53">L10</f>
        <v>0</v>
      </c>
      <c r="M19" s="1">
        <f t="shared" si="53"/>
        <v>0</v>
      </c>
      <c r="N19" s="1">
        <f t="shared" si="53"/>
        <v>0</v>
      </c>
      <c r="O19" s="1">
        <f t="shared" si="53"/>
        <v>0</v>
      </c>
      <c r="P19" s="1">
        <f t="shared" si="53"/>
        <v>0</v>
      </c>
      <c r="Q19" s="1">
        <f t="shared" si="53"/>
        <v>0</v>
      </c>
      <c r="R19" s="1">
        <f t="shared" si="53"/>
        <v>0</v>
      </c>
      <c r="S19" s="1">
        <f t="shared" si="53"/>
        <v>0</v>
      </c>
      <c r="T19" s="1">
        <f t="shared" si="53"/>
        <v>0</v>
      </c>
      <c r="U19" s="1">
        <f t="shared" si="53"/>
        <v>0</v>
      </c>
      <c r="V19" s="1">
        <f t="shared" ref="V19:Z19" si="54">V10</f>
        <v>0</v>
      </c>
      <c r="W19" s="1">
        <f t="shared" si="54"/>
        <v>0</v>
      </c>
      <c r="X19" s="1">
        <f t="shared" si="54"/>
        <v>0</v>
      </c>
      <c r="Y19" s="1">
        <f t="shared" si="54"/>
        <v>0</v>
      </c>
      <c r="Z19" s="1">
        <f t="shared" si="54"/>
        <v>0</v>
      </c>
      <c r="AA19" s="1">
        <f t="shared" ref="AA19" si="55">AA10</f>
        <v>0</v>
      </c>
    </row>
    <row r="20" spans="2:29" ht="15" thickBot="1" x14ac:dyDescent="0.35">
      <c r="C20" s="1"/>
      <c r="D20" s="1"/>
      <c r="E20" s="1"/>
      <c r="F20" s="35"/>
      <c r="G20" s="1"/>
      <c r="H20" s="1"/>
      <c r="I20" s="1"/>
      <c r="J20" s="4" t="s">
        <v>37</v>
      </c>
      <c r="K20" s="1"/>
      <c r="L20" s="4">
        <f t="shared" ref="L20:T20" si="56">SUM(L21:L22)</f>
        <v>0</v>
      </c>
      <c r="M20" s="4">
        <f t="shared" si="56"/>
        <v>0</v>
      </c>
      <c r="N20" s="4">
        <f t="shared" si="56"/>
        <v>0</v>
      </c>
      <c r="O20" s="4">
        <f t="shared" si="56"/>
        <v>0</v>
      </c>
      <c r="P20" s="4">
        <f t="shared" si="56"/>
        <v>0</v>
      </c>
      <c r="Q20" s="4">
        <f t="shared" si="56"/>
        <v>0</v>
      </c>
      <c r="R20" s="4">
        <f t="shared" si="56"/>
        <v>0</v>
      </c>
      <c r="S20" s="4">
        <f t="shared" si="56"/>
        <v>0</v>
      </c>
      <c r="T20" s="4">
        <f t="shared" si="56"/>
        <v>0</v>
      </c>
      <c r="U20" s="4">
        <f>SUM(U21:U22)</f>
        <v>0</v>
      </c>
      <c r="V20" s="4">
        <f>SUM(V21:V22)</f>
        <v>0</v>
      </c>
      <c r="W20" s="4">
        <f t="shared" ref="W20:Z20" si="57">SUM(W21:W22)</f>
        <v>0</v>
      </c>
      <c r="X20" s="4">
        <f t="shared" si="57"/>
        <v>0</v>
      </c>
      <c r="Y20" s="4">
        <f t="shared" si="57"/>
        <v>0</v>
      </c>
      <c r="Z20" s="4">
        <f t="shared" si="57"/>
        <v>0</v>
      </c>
      <c r="AA20" s="4">
        <f>SUM(AA21:AA22)</f>
        <v>0</v>
      </c>
    </row>
    <row r="21" spans="2:29" x14ac:dyDescent="0.3">
      <c r="B21" s="33" t="s">
        <v>81</v>
      </c>
      <c r="C21" s="34" t="s">
        <v>84</v>
      </c>
      <c r="D21" s="1"/>
      <c r="E21" s="1"/>
      <c r="F21" s="1"/>
      <c r="G21" s="1"/>
      <c r="H21" s="1"/>
      <c r="I21" s="1"/>
      <c r="J21" s="1" t="s">
        <v>38</v>
      </c>
      <c r="K21" s="1"/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2:29" x14ac:dyDescent="0.3">
      <c r="B22" s="25" t="s">
        <v>75</v>
      </c>
      <c r="C22" s="26">
        <f>1260000*12</f>
        <v>15120000</v>
      </c>
      <c r="D22" s="1"/>
      <c r="E22" s="1"/>
      <c r="F22" s="1"/>
      <c r="G22" s="1"/>
      <c r="H22" s="1"/>
      <c r="I22" s="1"/>
      <c r="J22" t="s">
        <v>39</v>
      </c>
      <c r="K22" s="1"/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2:29" x14ac:dyDescent="0.3">
      <c r="B23" s="25" t="s">
        <v>76</v>
      </c>
      <c r="C23" s="26">
        <f>2940000*12</f>
        <v>35280000</v>
      </c>
      <c r="D23" s="1"/>
      <c r="E23" s="1"/>
      <c r="F23" s="1"/>
      <c r="G23" s="1"/>
      <c r="H23" s="1"/>
      <c r="I23" s="1"/>
      <c r="J23" s="4" t="s">
        <v>9</v>
      </c>
      <c r="K23" s="4">
        <f>SUM(K24:K27)</f>
        <v>90200000000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9" hidden="1" x14ac:dyDescent="0.3">
      <c r="B24" s="25" t="s">
        <v>77</v>
      </c>
      <c r="C24" s="26">
        <f>780000*12</f>
        <v>9360000</v>
      </c>
      <c r="D24" s="1"/>
      <c r="E24" s="1"/>
      <c r="F24" s="1"/>
      <c r="G24" s="1"/>
      <c r="H24" s="1"/>
      <c r="I24" s="1"/>
      <c r="J24" s="5" t="s">
        <v>14</v>
      </c>
      <c r="K24" s="1">
        <f>D5</f>
        <v>0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9" hidden="1" x14ac:dyDescent="0.3">
      <c r="B25" s="25" t="s">
        <v>78</v>
      </c>
      <c r="C25" s="26">
        <f>9800000*12</f>
        <v>117600000</v>
      </c>
      <c r="D25" s="1"/>
      <c r="E25" s="1"/>
      <c r="F25" s="1"/>
      <c r="G25" s="1"/>
      <c r="H25" s="1"/>
      <c r="I25" s="1"/>
      <c r="J25" t="s">
        <v>10</v>
      </c>
      <c r="K25" s="1">
        <f>D6</f>
        <v>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9" hidden="1" x14ac:dyDescent="0.3">
      <c r="B26" s="25" t="s">
        <v>79</v>
      </c>
      <c r="C26" s="26">
        <f>7000000*12</f>
        <v>84000000</v>
      </c>
      <c r="D26" s="1"/>
      <c r="E26" s="1"/>
      <c r="F26" s="1"/>
      <c r="G26" s="1"/>
      <c r="H26" s="1"/>
      <c r="I26" s="1"/>
      <c r="J26" s="6" t="s">
        <v>71</v>
      </c>
      <c r="K26" s="1">
        <f>D7</f>
        <v>0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9" x14ac:dyDescent="0.3">
      <c r="B27" s="25" t="s">
        <v>80</v>
      </c>
      <c r="C27" s="26">
        <f>7000000*12</f>
        <v>84000000</v>
      </c>
      <c r="D27" s="1"/>
      <c r="E27" s="1"/>
      <c r="F27" s="1"/>
      <c r="G27" s="1"/>
      <c r="H27" s="1"/>
      <c r="I27" s="1"/>
      <c r="J27" s="6" t="s">
        <v>72</v>
      </c>
      <c r="K27" s="1">
        <f>D8</f>
        <v>90200000000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9" ht="15" thickBot="1" x14ac:dyDescent="0.35">
      <c r="B28" s="27" t="s">
        <v>82</v>
      </c>
      <c r="C28" s="28">
        <f>1000000*12</f>
        <v>12000000</v>
      </c>
      <c r="D28" s="1"/>
      <c r="E28" s="1"/>
      <c r="F28" s="1"/>
      <c r="G28" s="1"/>
      <c r="H28" s="1"/>
      <c r="I28" s="1"/>
      <c r="J28" s="4" t="s">
        <v>40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>
        <f>+K27</f>
        <v>90200000000</v>
      </c>
    </row>
    <row r="29" spans="2:29" ht="15" thickBot="1" x14ac:dyDescent="0.35">
      <c r="B29" s="29" t="s">
        <v>83</v>
      </c>
      <c r="C29" s="30">
        <f>SUM(C22:C28)</f>
        <v>357360000</v>
      </c>
      <c r="D29" s="1"/>
      <c r="E29" s="1"/>
      <c r="F29" s="1"/>
      <c r="G29" s="1"/>
      <c r="H29" s="1"/>
      <c r="I29" s="1"/>
      <c r="J29" t="s">
        <v>41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9" ht="15" customHeight="1" x14ac:dyDescent="0.3">
      <c r="D30" s="1"/>
      <c r="E30" s="1"/>
      <c r="F30" s="1"/>
      <c r="G30" s="1"/>
      <c r="H30" s="1"/>
      <c r="I30" s="1"/>
      <c r="J30" t="s">
        <v>42</v>
      </c>
      <c r="K30" s="1"/>
      <c r="L30" s="1">
        <f>IF($K$42=1,L56,IF($K$42=2,L68,IF($K$42=3,L80,IF($K$42=4,L92,0))))</f>
        <v>0</v>
      </c>
      <c r="M30" s="1">
        <f t="shared" ref="M30:AA30" si="58">IF($K$42=1,M56,IF($K$42=2,M68,IF($K$42=3,M80,IF($K$42=4,M92,0))))</f>
        <v>0</v>
      </c>
      <c r="N30" s="1">
        <f t="shared" si="58"/>
        <v>0</v>
      </c>
      <c r="O30" s="1">
        <f t="shared" si="58"/>
        <v>0</v>
      </c>
      <c r="P30" s="1">
        <f t="shared" si="58"/>
        <v>0</v>
      </c>
      <c r="Q30" s="1">
        <f t="shared" si="58"/>
        <v>0</v>
      </c>
      <c r="R30" s="1">
        <f t="shared" si="58"/>
        <v>0</v>
      </c>
      <c r="S30" s="1">
        <f t="shared" si="58"/>
        <v>0</v>
      </c>
      <c r="T30" s="1">
        <f>IF($K$42=1,T56,IF($K$42=2,T68,IF($K$42=3,T80,IF($K$42=4,T92,0))))</f>
        <v>0</v>
      </c>
      <c r="U30" s="1">
        <f>IF($K$42=1,U56,IF($K$42=2,U68,IF($K$42=3,U80,IF($K$42=4,U92,0))))</f>
        <v>0</v>
      </c>
      <c r="V30" s="1">
        <f t="shared" si="58"/>
        <v>0</v>
      </c>
      <c r="W30" s="1">
        <f t="shared" si="58"/>
        <v>0</v>
      </c>
      <c r="X30" s="1">
        <f t="shared" si="58"/>
        <v>0</v>
      </c>
      <c r="Y30" s="1">
        <f t="shared" si="58"/>
        <v>0</v>
      </c>
      <c r="Z30" s="1">
        <f t="shared" si="58"/>
        <v>0</v>
      </c>
      <c r="AA30" s="1">
        <f t="shared" si="58"/>
        <v>0</v>
      </c>
    </row>
    <row r="31" spans="2:29" x14ac:dyDescent="0.3">
      <c r="B31" s="22" t="s">
        <v>117</v>
      </c>
      <c r="C31" t="s">
        <v>121</v>
      </c>
      <c r="J31" s="3" t="s">
        <v>43</v>
      </c>
      <c r="K31" s="1">
        <f>K16+K17+K18+K19+K20-K23+K28+K29-K30</f>
        <v>-90200000000</v>
      </c>
      <c r="L31" s="1">
        <f ca="1">L16+L17+L18+L19+L20-L23+L28+L29-L30</f>
        <v>-357360000</v>
      </c>
      <c r="M31" s="1">
        <f t="shared" ref="M31:T31" ca="1" si="59">M16+M17+M18+M19+M20-M23+M28+M29-M30</f>
        <v>578170026.54289699</v>
      </c>
      <c r="N31" s="1">
        <f t="shared" ca="1" si="59"/>
        <v>5428394699.8822441</v>
      </c>
      <c r="O31" s="1">
        <f t="shared" ca="1" si="59"/>
        <v>10278619373.22159</v>
      </c>
      <c r="P31" s="1">
        <f t="shared" ca="1" si="59"/>
        <v>15128844046.560936</v>
      </c>
      <c r="Q31" s="1">
        <f t="shared" ca="1" si="59"/>
        <v>19979068719.900284</v>
      </c>
      <c r="R31" s="1">
        <f t="shared" ca="1" si="59"/>
        <v>23893763366.696732</v>
      </c>
      <c r="S31" s="1">
        <f ca="1">S16+S17+S18+S19+S20-S23+S28+S29-S30</f>
        <v>23893763366.696732</v>
      </c>
      <c r="T31" s="1">
        <f t="shared" ca="1" si="59"/>
        <v>23893763366.696732</v>
      </c>
      <c r="U31" s="1">
        <f ca="1">U16+U17+U18+U19+U20-U23+U28+U29-U30</f>
        <v>23893763366.696732</v>
      </c>
      <c r="V31" s="1">
        <f ca="1">V16+V17+V18+V19+V20-V23+V28+V29-V30</f>
        <v>23893763366.696732</v>
      </c>
      <c r="W31" s="1">
        <f t="shared" ref="W31:Z31" ca="1" si="60">W16+W17+W18+W19+W20-W23+W28+W29-W30</f>
        <v>23893763366.696732</v>
      </c>
      <c r="X31" s="1">
        <f t="shared" ca="1" si="60"/>
        <v>19043538693.357384</v>
      </c>
      <c r="Y31" s="1">
        <f t="shared" ca="1" si="60"/>
        <v>14193314020.018038</v>
      </c>
      <c r="Z31" s="1">
        <f t="shared" ca="1" si="60"/>
        <v>9343089346.6786919</v>
      </c>
      <c r="AA31" s="1">
        <f ca="1">AA16+AA17+AA18+AA19+AA20-AA23+AA28+AA29-AA30</f>
        <v>94692864673.33934</v>
      </c>
      <c r="AB31" s="1"/>
      <c r="AC31" s="1"/>
    </row>
    <row r="32" spans="2:29" x14ac:dyDescent="0.3">
      <c r="J32" s="3" t="s">
        <v>50</v>
      </c>
      <c r="K32" s="1">
        <f>K31</f>
        <v>-90200000000</v>
      </c>
      <c r="L32" s="1">
        <f ca="1">K32*(1+$K$34)+L31</f>
        <v>-99577360000.000015</v>
      </c>
      <c r="M32" s="1">
        <f ca="1">L32*(1+$K$34)+M31</f>
        <v>-108956925973.45714</v>
      </c>
      <c r="N32" s="1">
        <f ca="1">M32*(1+$K$34)+N31</f>
        <v>-114424223870.92061</v>
      </c>
      <c r="O32" s="1">
        <f t="shared" ref="O32:U32" ca="1" si="61">N32*(1+$K$34)+O31</f>
        <v>-115588026884.79109</v>
      </c>
      <c r="P32" s="1">
        <f t="shared" ca="1" si="61"/>
        <v>-112017985526.70929</v>
      </c>
      <c r="Q32" s="1">
        <f t="shared" ca="1" si="61"/>
        <v>-103240715359.47995</v>
      </c>
      <c r="R32" s="1">
        <f t="shared" ca="1" si="61"/>
        <v>-89671023528.731216</v>
      </c>
      <c r="S32" s="1">
        <f t="shared" ca="1" si="61"/>
        <v>-74744362514.907608</v>
      </c>
      <c r="T32" s="1">
        <f t="shared" ca="1" si="61"/>
        <v>-58325035399.701645</v>
      </c>
      <c r="U32" s="1">
        <f t="shared" ca="1" si="61"/>
        <v>-40263775572.975082</v>
      </c>
      <c r="V32" s="1">
        <f t="shared" ref="V32:AA32" ca="1" si="62">U32*(1+$K$34)+V31</f>
        <v>-20396389763.575859</v>
      </c>
      <c r="W32" s="1">
        <f t="shared" ca="1" si="62"/>
        <v>1457734626.7632866</v>
      </c>
      <c r="X32" s="1">
        <f t="shared" ca="1" si="62"/>
        <v>20647046782.797001</v>
      </c>
      <c r="Y32" s="1">
        <f t="shared" ca="1" si="62"/>
        <v>36905065481.094742</v>
      </c>
      <c r="Z32" s="1">
        <f t="shared" ca="1" si="62"/>
        <v>49938661375.882904</v>
      </c>
      <c r="AA32" s="1">
        <f t="shared" ca="1" si="62"/>
        <v>149625392186.81055</v>
      </c>
    </row>
    <row r="33" spans="1:16" x14ac:dyDescent="0.3">
      <c r="A33">
        <v>1</v>
      </c>
      <c r="B33" s="22" t="s">
        <v>120</v>
      </c>
      <c r="C33" s="21">
        <v>0.7</v>
      </c>
    </row>
    <row r="34" spans="1:16" x14ac:dyDescent="0.3">
      <c r="A34">
        <v>2</v>
      </c>
      <c r="B34" s="22" t="s">
        <v>118</v>
      </c>
      <c r="C34" s="21">
        <v>0.1</v>
      </c>
      <c r="J34" s="3" t="s">
        <v>44</v>
      </c>
      <c r="K34" s="32">
        <f>+C18</f>
        <v>0.1</v>
      </c>
    </row>
    <row r="35" spans="1:16" x14ac:dyDescent="0.3">
      <c r="A35">
        <v>3</v>
      </c>
      <c r="B35" s="22" t="s">
        <v>119</v>
      </c>
      <c r="C35" s="21">
        <v>0.1</v>
      </c>
      <c r="J35" s="3" t="s">
        <v>6</v>
      </c>
      <c r="K35" s="1">
        <f ca="1">NPV(TIO,L31:AA31)+FC_0</f>
        <v>32562844793.877594</v>
      </c>
    </row>
    <row r="36" spans="1:16" x14ac:dyDescent="0.3">
      <c r="A36">
        <v>4</v>
      </c>
      <c r="B36" s="22" t="s">
        <v>116</v>
      </c>
      <c r="C36" s="21">
        <v>0.1</v>
      </c>
      <c r="J36" s="3" t="s">
        <v>45</v>
      </c>
      <c r="K36" s="2">
        <f ca="1">IRR(K31:AB31)</f>
        <v>0.13670437696069704</v>
      </c>
    </row>
    <row r="37" spans="1:16" x14ac:dyDescent="0.3">
      <c r="B37" s="22" t="s">
        <v>86</v>
      </c>
      <c r="C37" s="2">
        <f>SUM(C33:C36)</f>
        <v>0.99999999999999989</v>
      </c>
      <c r="J37" s="3" t="s">
        <v>4</v>
      </c>
      <c r="K37">
        <v>16</v>
      </c>
      <c r="L37" t="s">
        <v>65</v>
      </c>
    </row>
    <row r="38" spans="1:16" x14ac:dyDescent="0.3">
      <c r="J38" s="3" t="s">
        <v>54</v>
      </c>
      <c r="K38" s="1">
        <f ca="1">PMT(K34,K37,-K35)</f>
        <v>4162072782.0384979</v>
      </c>
    </row>
    <row r="39" spans="1:16" x14ac:dyDescent="0.3">
      <c r="B39" t="s">
        <v>123</v>
      </c>
      <c r="C39">
        <v>1</v>
      </c>
      <c r="J39" s="3" t="s">
        <v>55</v>
      </c>
      <c r="K39" s="8">
        <f ca="1">AD16</f>
        <v>1.3501536262862244</v>
      </c>
    </row>
    <row r="40" spans="1:16" x14ac:dyDescent="0.3">
      <c r="J40" s="3" t="s">
        <v>49</v>
      </c>
      <c r="K40" s="8">
        <f ca="1">V2+ABS(V32/W31)</f>
        <v>11.853628181151425</v>
      </c>
    </row>
    <row r="41" spans="1:16" hidden="1" x14ac:dyDescent="0.3">
      <c r="J41" s="3"/>
    </row>
    <row r="42" spans="1:16" hidden="1" x14ac:dyDescent="0.3">
      <c r="J42" s="1" t="s">
        <v>33</v>
      </c>
      <c r="K42" s="1">
        <v>1</v>
      </c>
      <c r="O42" t="s">
        <v>48</v>
      </c>
      <c r="P42">
        <v>0</v>
      </c>
    </row>
    <row r="43" spans="1:16" hidden="1" x14ac:dyDescent="0.3">
      <c r="O43" s="1" t="s">
        <v>21</v>
      </c>
      <c r="P43">
        <v>1</v>
      </c>
    </row>
    <row r="44" spans="1:16" hidden="1" x14ac:dyDescent="0.3">
      <c r="O44" s="1" t="s">
        <v>47</v>
      </c>
      <c r="P44">
        <v>2</v>
      </c>
    </row>
    <row r="45" spans="1:16" hidden="1" x14ac:dyDescent="0.3">
      <c r="J45" s="3" t="s">
        <v>61</v>
      </c>
      <c r="K45" s="4">
        <f>C12*D9</f>
        <v>0</v>
      </c>
      <c r="O45" s="1" t="s">
        <v>46</v>
      </c>
      <c r="P45">
        <v>3</v>
      </c>
    </row>
    <row r="46" spans="1:16" hidden="1" x14ac:dyDescent="0.3">
      <c r="J46" s="3" t="s">
        <v>20</v>
      </c>
      <c r="K46" s="7" t="s">
        <v>21</v>
      </c>
      <c r="O46" s="1" t="s">
        <v>59</v>
      </c>
      <c r="P46">
        <v>4</v>
      </c>
    </row>
    <row r="47" spans="1:16" hidden="1" x14ac:dyDescent="0.3">
      <c r="J47" s="3" t="s">
        <v>1</v>
      </c>
      <c r="K47" s="1">
        <f>$K$45</f>
        <v>0</v>
      </c>
    </row>
    <row r="48" spans="1:16" hidden="1" x14ac:dyDescent="0.3">
      <c r="J48" s="3" t="s">
        <v>22</v>
      </c>
      <c r="K48" s="2">
        <f>$C$13</f>
        <v>0</v>
      </c>
    </row>
    <row r="49" spans="10:19" hidden="1" x14ac:dyDescent="0.3">
      <c r="J49" s="3" t="s">
        <v>4</v>
      </c>
      <c r="K49">
        <v>8</v>
      </c>
    </row>
    <row r="50" spans="10:19" hidden="1" x14ac:dyDescent="0.3">
      <c r="J50" s="3" t="s">
        <v>5</v>
      </c>
      <c r="K50" s="1">
        <f>PMT(K48,K49,-K47)</f>
        <v>0</v>
      </c>
    </row>
    <row r="51" spans="10:19" hidden="1" x14ac:dyDescent="0.3"/>
    <row r="52" spans="10:19" hidden="1" x14ac:dyDescent="0.3"/>
    <row r="53" spans="10:19" hidden="1" x14ac:dyDescent="0.3">
      <c r="J53" s="3" t="s">
        <v>0</v>
      </c>
      <c r="K53" s="3">
        <v>0</v>
      </c>
      <c r="L53" s="4">
        <v>1</v>
      </c>
      <c r="M53" s="3">
        <v>2</v>
      </c>
      <c r="N53" s="4">
        <v>3</v>
      </c>
      <c r="O53" s="3">
        <v>4</v>
      </c>
      <c r="P53" s="4">
        <v>5</v>
      </c>
      <c r="Q53" s="3">
        <v>6</v>
      </c>
      <c r="R53" s="4">
        <v>7</v>
      </c>
      <c r="S53" s="3">
        <v>8</v>
      </c>
    </row>
    <row r="54" spans="10:19" hidden="1" x14ac:dyDescent="0.3">
      <c r="J54" s="3" t="s">
        <v>23</v>
      </c>
      <c r="L54" s="1">
        <f>$K$50</f>
        <v>0</v>
      </c>
      <c r="M54" s="1">
        <f t="shared" ref="M54:S54" si="63">$K$50</f>
        <v>0</v>
      </c>
      <c r="N54" s="1">
        <f t="shared" si="63"/>
        <v>0</v>
      </c>
      <c r="O54" s="1">
        <f t="shared" si="63"/>
        <v>0</v>
      </c>
      <c r="P54" s="1">
        <f t="shared" si="63"/>
        <v>0</v>
      </c>
      <c r="Q54" s="1">
        <f t="shared" si="63"/>
        <v>0</v>
      </c>
      <c r="R54" s="1">
        <f t="shared" si="63"/>
        <v>0</v>
      </c>
      <c r="S54" s="1">
        <f t="shared" si="63"/>
        <v>0</v>
      </c>
    </row>
    <row r="55" spans="10:19" hidden="1" x14ac:dyDescent="0.3">
      <c r="J55" s="3" t="s">
        <v>24</v>
      </c>
      <c r="L55" s="1">
        <f>K57*$K$48</f>
        <v>0</v>
      </c>
      <c r="M55" s="1">
        <f t="shared" ref="M55:S55" si="64">L57*$K$48</f>
        <v>0</v>
      </c>
      <c r="N55" s="1">
        <f t="shared" si="64"/>
        <v>0</v>
      </c>
      <c r="O55" s="1">
        <f t="shared" si="64"/>
        <v>0</v>
      </c>
      <c r="P55" s="1">
        <f t="shared" si="64"/>
        <v>0</v>
      </c>
      <c r="Q55" s="1">
        <f t="shared" si="64"/>
        <v>0</v>
      </c>
      <c r="R55" s="1">
        <f t="shared" si="64"/>
        <v>0</v>
      </c>
      <c r="S55" s="1">
        <f t="shared" si="64"/>
        <v>0</v>
      </c>
    </row>
    <row r="56" spans="10:19" hidden="1" x14ac:dyDescent="0.3">
      <c r="J56" s="3" t="s">
        <v>25</v>
      </c>
      <c r="L56" s="1">
        <f>L54-L55</f>
        <v>0</v>
      </c>
      <c r="M56" s="1">
        <f t="shared" ref="M56:S56" si="65">M54-M55</f>
        <v>0</v>
      </c>
      <c r="N56" s="1">
        <f t="shared" si="65"/>
        <v>0</v>
      </c>
      <c r="O56" s="1">
        <f t="shared" si="65"/>
        <v>0</v>
      </c>
      <c r="P56" s="1">
        <f t="shared" si="65"/>
        <v>0</v>
      </c>
      <c r="Q56" s="1">
        <f t="shared" si="65"/>
        <v>0</v>
      </c>
      <c r="R56" s="1">
        <f t="shared" si="65"/>
        <v>0</v>
      </c>
      <c r="S56" s="1">
        <f t="shared" si="65"/>
        <v>0</v>
      </c>
    </row>
    <row r="57" spans="10:19" hidden="1" x14ac:dyDescent="0.3">
      <c r="J57" s="3" t="s">
        <v>26</v>
      </c>
      <c r="K57" s="1">
        <f>K47</f>
        <v>0</v>
      </c>
      <c r="L57" s="1">
        <f>K57-L56</f>
        <v>0</v>
      </c>
      <c r="M57" s="1">
        <f t="shared" ref="M57:S57" si="66">L57-M56</f>
        <v>0</v>
      </c>
      <c r="N57" s="1">
        <f t="shared" si="66"/>
        <v>0</v>
      </c>
      <c r="O57" s="1">
        <f t="shared" si="66"/>
        <v>0</v>
      </c>
      <c r="P57" s="1">
        <f t="shared" si="66"/>
        <v>0</v>
      </c>
      <c r="Q57" s="1">
        <f t="shared" si="66"/>
        <v>0</v>
      </c>
      <c r="R57" s="1">
        <f t="shared" si="66"/>
        <v>0</v>
      </c>
      <c r="S57" s="1">
        <f t="shared" si="66"/>
        <v>0</v>
      </c>
    </row>
    <row r="58" spans="10:19" hidden="1" x14ac:dyDescent="0.3">
      <c r="L58" s="1"/>
      <c r="M58" s="1"/>
      <c r="N58" s="1"/>
      <c r="O58" s="1"/>
      <c r="P58" s="1"/>
      <c r="Q58" s="1"/>
      <c r="R58" s="1"/>
      <c r="S58" s="1"/>
    </row>
    <row r="59" spans="10:19" hidden="1" x14ac:dyDescent="0.3">
      <c r="J59" s="3" t="s">
        <v>27</v>
      </c>
      <c r="K59" s="7" t="s">
        <v>28</v>
      </c>
      <c r="L59" s="1"/>
      <c r="M59" s="1"/>
      <c r="N59" s="1"/>
      <c r="O59" s="1"/>
      <c r="P59" s="1"/>
      <c r="Q59" s="1"/>
      <c r="R59" s="1"/>
      <c r="S59" s="1"/>
    </row>
    <row r="60" spans="10:19" hidden="1" x14ac:dyDescent="0.3">
      <c r="J60" s="3" t="s">
        <v>1</v>
      </c>
      <c r="K60" s="1">
        <f>$K$45</f>
        <v>0</v>
      </c>
      <c r="L60" s="1"/>
      <c r="M60" s="1"/>
      <c r="N60" s="1"/>
      <c r="O60" s="1"/>
      <c r="P60" s="1"/>
      <c r="Q60" s="1"/>
      <c r="R60" s="1"/>
      <c r="S60" s="1"/>
    </row>
    <row r="61" spans="10:19" hidden="1" x14ac:dyDescent="0.3">
      <c r="J61" s="3" t="s">
        <v>22</v>
      </c>
      <c r="K61" s="2">
        <f>$C$13</f>
        <v>0</v>
      </c>
      <c r="L61" s="1"/>
      <c r="M61" s="1"/>
      <c r="N61" s="1"/>
      <c r="O61" s="1"/>
      <c r="P61" s="1"/>
      <c r="Q61" s="1"/>
      <c r="R61" s="1"/>
      <c r="S61" s="1"/>
    </row>
    <row r="62" spans="10:19" hidden="1" x14ac:dyDescent="0.3">
      <c r="J62" s="3" t="s">
        <v>4</v>
      </c>
      <c r="K62">
        <v>8</v>
      </c>
      <c r="L62" s="1"/>
      <c r="M62" s="1"/>
      <c r="N62" s="1"/>
      <c r="O62" s="1"/>
      <c r="P62" s="1"/>
      <c r="Q62" s="1"/>
      <c r="R62" s="1"/>
      <c r="S62" s="1"/>
    </row>
    <row r="63" spans="10:19" hidden="1" x14ac:dyDescent="0.3">
      <c r="J63" s="3" t="s">
        <v>29</v>
      </c>
      <c r="K63" s="1">
        <f>K60/K62</f>
        <v>0</v>
      </c>
      <c r="L63" s="1"/>
      <c r="M63" s="1"/>
      <c r="N63" s="1"/>
      <c r="O63" s="1"/>
      <c r="P63" s="1"/>
      <c r="Q63" s="1"/>
      <c r="R63" s="1"/>
      <c r="S63" s="1"/>
    </row>
    <row r="64" spans="10:19" hidden="1" x14ac:dyDescent="0.3">
      <c r="L64" s="1"/>
      <c r="M64" s="1"/>
      <c r="N64" s="1"/>
      <c r="O64" s="1"/>
      <c r="P64" s="1"/>
      <c r="Q64" s="1"/>
      <c r="R64" s="1"/>
      <c r="S64" s="1"/>
    </row>
    <row r="65" spans="10:19" hidden="1" x14ac:dyDescent="0.3">
      <c r="J65" s="3" t="s">
        <v>0</v>
      </c>
      <c r="K65" s="3">
        <v>0</v>
      </c>
      <c r="L65" s="4">
        <v>1</v>
      </c>
      <c r="M65" s="3">
        <v>2</v>
      </c>
      <c r="N65" s="4">
        <v>3</v>
      </c>
      <c r="O65" s="3">
        <v>4</v>
      </c>
      <c r="P65" s="4">
        <v>5</v>
      </c>
      <c r="Q65" s="3">
        <v>6</v>
      </c>
      <c r="R65" s="4">
        <v>7</v>
      </c>
      <c r="S65" s="3">
        <v>8</v>
      </c>
    </row>
    <row r="66" spans="10:19" hidden="1" x14ac:dyDescent="0.3">
      <c r="J66" s="3" t="s">
        <v>23</v>
      </c>
      <c r="L66" s="1">
        <f>L67+L68</f>
        <v>0</v>
      </c>
      <c r="M66" s="1">
        <f t="shared" ref="M66:S66" si="67">M67+M68</f>
        <v>0</v>
      </c>
      <c r="N66" s="1">
        <f t="shared" si="67"/>
        <v>0</v>
      </c>
      <c r="O66" s="1">
        <f t="shared" si="67"/>
        <v>0</v>
      </c>
      <c r="P66" s="1">
        <f t="shared" si="67"/>
        <v>0</v>
      </c>
      <c r="Q66" s="1">
        <f t="shared" si="67"/>
        <v>0</v>
      </c>
      <c r="R66" s="1">
        <f t="shared" si="67"/>
        <v>0</v>
      </c>
      <c r="S66" s="1">
        <f t="shared" si="67"/>
        <v>0</v>
      </c>
    </row>
    <row r="67" spans="10:19" hidden="1" x14ac:dyDescent="0.3">
      <c r="J67" s="3" t="s">
        <v>24</v>
      </c>
      <c r="L67" s="1">
        <f>K69*$K$61</f>
        <v>0</v>
      </c>
      <c r="M67" s="1">
        <f t="shared" ref="M67:S67" si="68">L69*$K$61</f>
        <v>0</v>
      </c>
      <c r="N67" s="1">
        <f t="shared" si="68"/>
        <v>0</v>
      </c>
      <c r="O67" s="1">
        <f t="shared" si="68"/>
        <v>0</v>
      </c>
      <c r="P67" s="1">
        <f t="shared" si="68"/>
        <v>0</v>
      </c>
      <c r="Q67" s="1">
        <f t="shared" si="68"/>
        <v>0</v>
      </c>
      <c r="R67" s="1">
        <f t="shared" si="68"/>
        <v>0</v>
      </c>
      <c r="S67" s="1">
        <f t="shared" si="68"/>
        <v>0</v>
      </c>
    </row>
    <row r="68" spans="10:19" hidden="1" x14ac:dyDescent="0.3">
      <c r="J68" s="3" t="s">
        <v>25</v>
      </c>
      <c r="L68" s="1">
        <f>$K$63</f>
        <v>0</v>
      </c>
      <c r="M68" s="1">
        <f t="shared" ref="M68:S68" si="69">$K$63</f>
        <v>0</v>
      </c>
      <c r="N68" s="1">
        <f t="shared" si="69"/>
        <v>0</v>
      </c>
      <c r="O68" s="1">
        <f t="shared" si="69"/>
        <v>0</v>
      </c>
      <c r="P68" s="1">
        <f t="shared" si="69"/>
        <v>0</v>
      </c>
      <c r="Q68" s="1">
        <f t="shared" si="69"/>
        <v>0</v>
      </c>
      <c r="R68" s="1">
        <f t="shared" si="69"/>
        <v>0</v>
      </c>
      <c r="S68" s="1">
        <f t="shared" si="69"/>
        <v>0</v>
      </c>
    </row>
    <row r="69" spans="10:19" hidden="1" x14ac:dyDescent="0.3">
      <c r="J69" s="3" t="s">
        <v>26</v>
      </c>
      <c r="K69" s="1">
        <f>K60</f>
        <v>0</v>
      </c>
      <c r="L69" s="1">
        <f>K69-L68</f>
        <v>0</v>
      </c>
      <c r="M69" s="1">
        <f t="shared" ref="M69:S69" si="70">L69-M68</f>
        <v>0</v>
      </c>
      <c r="N69" s="1">
        <f t="shared" si="70"/>
        <v>0</v>
      </c>
      <c r="O69" s="1">
        <f t="shared" si="70"/>
        <v>0</v>
      </c>
      <c r="P69" s="1">
        <f t="shared" si="70"/>
        <v>0</v>
      </c>
      <c r="Q69" s="1">
        <f t="shared" si="70"/>
        <v>0</v>
      </c>
      <c r="R69" s="1">
        <f t="shared" si="70"/>
        <v>0</v>
      </c>
      <c r="S69" s="1">
        <f t="shared" si="70"/>
        <v>0</v>
      </c>
    </row>
    <row r="70" spans="10:19" hidden="1" x14ac:dyDescent="0.3">
      <c r="L70" s="1"/>
      <c r="M70" s="1"/>
      <c r="N70" s="1"/>
      <c r="O70" s="1"/>
      <c r="P70" s="1"/>
      <c r="Q70" s="1"/>
      <c r="R70" s="1"/>
      <c r="S70" s="1"/>
    </row>
    <row r="71" spans="10:19" hidden="1" x14ac:dyDescent="0.3">
      <c r="J71" s="3" t="s">
        <v>30</v>
      </c>
      <c r="K71" s="7" t="s">
        <v>31</v>
      </c>
      <c r="L71" s="1"/>
      <c r="M71" s="1"/>
      <c r="N71" s="1"/>
      <c r="O71" s="1"/>
      <c r="P71" s="1"/>
      <c r="Q71" s="1"/>
      <c r="R71" s="1"/>
      <c r="S71" s="1"/>
    </row>
    <row r="72" spans="10:19" hidden="1" x14ac:dyDescent="0.3">
      <c r="J72" s="3" t="s">
        <v>1</v>
      </c>
      <c r="K72" s="1">
        <f>$K$45</f>
        <v>0</v>
      </c>
      <c r="L72" s="1"/>
      <c r="M72" s="1"/>
      <c r="N72" s="1"/>
      <c r="O72" s="1"/>
      <c r="P72" s="1"/>
      <c r="Q72" s="1"/>
      <c r="R72" s="1"/>
      <c r="S72" s="1"/>
    </row>
    <row r="73" spans="10:19" hidden="1" x14ac:dyDescent="0.3">
      <c r="J73" s="3" t="s">
        <v>22</v>
      </c>
      <c r="K73" s="2">
        <f>$C$13</f>
        <v>0</v>
      </c>
      <c r="L73" s="1"/>
      <c r="M73" s="1"/>
      <c r="N73" s="1"/>
      <c r="O73" s="1"/>
      <c r="P73" s="1"/>
      <c r="Q73" s="1"/>
      <c r="R73" s="1"/>
      <c r="S73" s="1"/>
    </row>
    <row r="74" spans="10:19" hidden="1" x14ac:dyDescent="0.3">
      <c r="J74" s="3" t="s">
        <v>4</v>
      </c>
      <c r="K74">
        <v>8</v>
      </c>
      <c r="L74" s="1"/>
      <c r="M74" s="1"/>
      <c r="N74" s="1"/>
      <c r="O74" s="1"/>
      <c r="P74" s="1"/>
      <c r="Q74" s="1"/>
      <c r="R74" s="1"/>
      <c r="S74" s="1"/>
    </row>
    <row r="75" spans="10:19" hidden="1" x14ac:dyDescent="0.3">
      <c r="J75" s="3" t="s">
        <v>32</v>
      </c>
      <c r="K75" s="1">
        <f>K72*K73</f>
        <v>0</v>
      </c>
      <c r="L75" s="1"/>
      <c r="M75" s="1"/>
      <c r="N75" s="1"/>
      <c r="O75" s="1"/>
      <c r="P75" s="1"/>
      <c r="Q75" s="1"/>
      <c r="R75" s="1"/>
      <c r="S75" s="1"/>
    </row>
    <row r="76" spans="10:19" hidden="1" x14ac:dyDescent="0.3">
      <c r="L76" s="1"/>
      <c r="M76" s="1"/>
      <c r="N76" s="1"/>
      <c r="O76" s="1"/>
      <c r="P76" s="1"/>
      <c r="Q76" s="1"/>
      <c r="R76" s="1"/>
      <c r="S76" s="1"/>
    </row>
    <row r="77" spans="10:19" hidden="1" x14ac:dyDescent="0.3">
      <c r="J77" s="3" t="s">
        <v>0</v>
      </c>
      <c r="K77" s="3">
        <v>0</v>
      </c>
      <c r="L77" s="4">
        <v>1</v>
      </c>
      <c r="M77" s="3">
        <v>2</v>
      </c>
      <c r="N77" s="4">
        <v>3</v>
      </c>
      <c r="O77" s="3">
        <v>4</v>
      </c>
      <c r="P77" s="4">
        <v>5</v>
      </c>
      <c r="Q77" s="3">
        <v>6</v>
      </c>
      <c r="R77" s="4">
        <v>7</v>
      </c>
      <c r="S77" s="3">
        <v>8</v>
      </c>
    </row>
    <row r="78" spans="10:19" hidden="1" x14ac:dyDescent="0.3">
      <c r="J78" s="3" t="s">
        <v>23</v>
      </c>
      <c r="L78" s="1">
        <f>L79+L80</f>
        <v>0</v>
      </c>
      <c r="M78" s="1">
        <f t="shared" ref="M78:S78" si="71">M79+M80</f>
        <v>0</v>
      </c>
      <c r="N78" s="1">
        <f t="shared" si="71"/>
        <v>0</v>
      </c>
      <c r="O78" s="1">
        <f t="shared" si="71"/>
        <v>0</v>
      </c>
      <c r="P78" s="1">
        <f t="shared" si="71"/>
        <v>0</v>
      </c>
      <c r="Q78" s="1">
        <f t="shared" si="71"/>
        <v>0</v>
      </c>
      <c r="R78" s="1">
        <f t="shared" si="71"/>
        <v>0</v>
      </c>
      <c r="S78" s="1">
        <f t="shared" si="71"/>
        <v>0</v>
      </c>
    </row>
    <row r="79" spans="10:19" hidden="1" x14ac:dyDescent="0.3">
      <c r="J79" s="3" t="s">
        <v>24</v>
      </c>
      <c r="L79" s="1">
        <f>$K$75</f>
        <v>0</v>
      </c>
      <c r="M79" s="1">
        <f t="shared" ref="M79:S79" si="72">$K$75</f>
        <v>0</v>
      </c>
      <c r="N79" s="1">
        <f t="shared" si="72"/>
        <v>0</v>
      </c>
      <c r="O79" s="1">
        <f t="shared" si="72"/>
        <v>0</v>
      </c>
      <c r="P79" s="1">
        <f t="shared" si="72"/>
        <v>0</v>
      </c>
      <c r="Q79" s="1">
        <f t="shared" si="72"/>
        <v>0</v>
      </c>
      <c r="R79" s="1">
        <f t="shared" si="72"/>
        <v>0</v>
      </c>
      <c r="S79" s="1">
        <f t="shared" si="72"/>
        <v>0</v>
      </c>
    </row>
    <row r="80" spans="10:19" hidden="1" x14ac:dyDescent="0.3">
      <c r="J80" s="3" t="s">
        <v>25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 s="1">
        <f>K72</f>
        <v>0</v>
      </c>
    </row>
    <row r="81" spans="10:20" hidden="1" x14ac:dyDescent="0.3">
      <c r="J81" s="3" t="s">
        <v>26</v>
      </c>
      <c r="K81" s="1">
        <f>K72</f>
        <v>0</v>
      </c>
      <c r="L81" s="1">
        <f>K81-L80</f>
        <v>0</v>
      </c>
      <c r="M81" s="1">
        <f t="shared" ref="M81:S81" si="73">L81-M80</f>
        <v>0</v>
      </c>
      <c r="N81" s="1">
        <f t="shared" si="73"/>
        <v>0</v>
      </c>
      <c r="O81" s="1">
        <f t="shared" si="73"/>
        <v>0</v>
      </c>
      <c r="P81" s="1">
        <f t="shared" si="73"/>
        <v>0</v>
      </c>
      <c r="Q81" s="1">
        <f t="shared" si="73"/>
        <v>0</v>
      </c>
      <c r="R81" s="1">
        <f t="shared" si="73"/>
        <v>0</v>
      </c>
      <c r="S81" s="1">
        <f t="shared" si="73"/>
        <v>0</v>
      </c>
    </row>
    <row r="82" spans="10:20" hidden="1" x14ac:dyDescent="0.3"/>
    <row r="83" spans="10:20" hidden="1" x14ac:dyDescent="0.3">
      <c r="J83" s="3" t="s">
        <v>58</v>
      </c>
      <c r="K83" s="7" t="s">
        <v>59</v>
      </c>
    </row>
    <row r="84" spans="10:20" hidden="1" x14ac:dyDescent="0.3">
      <c r="J84" s="3" t="s">
        <v>1</v>
      </c>
      <c r="K84" s="1">
        <f>$K$45</f>
        <v>0</v>
      </c>
    </row>
    <row r="85" spans="10:20" hidden="1" x14ac:dyDescent="0.3">
      <c r="J85" s="3" t="s">
        <v>22</v>
      </c>
      <c r="K85" s="2">
        <f>$C$13</f>
        <v>0</v>
      </c>
    </row>
    <row r="86" spans="10:20" hidden="1" x14ac:dyDescent="0.3">
      <c r="J86" s="3" t="s">
        <v>4</v>
      </c>
      <c r="K86">
        <v>8</v>
      </c>
    </row>
    <row r="87" spans="10:20" hidden="1" x14ac:dyDescent="0.3">
      <c r="J87" s="3" t="s">
        <v>60</v>
      </c>
      <c r="K87" s="1">
        <f>FV(K85,K86,,-K84)</f>
        <v>0</v>
      </c>
      <c r="L87" s="1"/>
    </row>
    <row r="88" spans="10:20" hidden="1" x14ac:dyDescent="0.3"/>
    <row r="89" spans="10:20" hidden="1" x14ac:dyDescent="0.3">
      <c r="J89" s="3" t="s">
        <v>0</v>
      </c>
      <c r="K89" s="3">
        <v>0</v>
      </c>
      <c r="L89" s="4">
        <v>1</v>
      </c>
      <c r="M89" s="3">
        <v>2</v>
      </c>
      <c r="N89" s="4">
        <v>3</v>
      </c>
      <c r="O89" s="3">
        <v>4</v>
      </c>
      <c r="P89" s="4">
        <v>5</v>
      </c>
      <c r="Q89" s="3">
        <v>6</v>
      </c>
      <c r="R89" s="4">
        <v>7</v>
      </c>
      <c r="S89" s="3">
        <v>8</v>
      </c>
    </row>
    <row r="90" spans="10:20" hidden="1" x14ac:dyDescent="0.3">
      <c r="J90" s="3" t="s">
        <v>23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 s="1">
        <f>K87</f>
        <v>0</v>
      </c>
    </row>
    <row r="91" spans="10:20" hidden="1" x14ac:dyDescent="0.3">
      <c r="J91" s="3" t="s">
        <v>24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 s="1">
        <f>R93*K85</f>
        <v>0</v>
      </c>
    </row>
    <row r="92" spans="10:20" hidden="1" x14ac:dyDescent="0.3">
      <c r="J92" s="3" t="s">
        <v>25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 s="1">
        <f>K87-S91</f>
        <v>0</v>
      </c>
    </row>
    <row r="93" spans="10:20" hidden="1" x14ac:dyDescent="0.3">
      <c r="J93" s="3" t="s">
        <v>26</v>
      </c>
      <c r="K93" s="1">
        <f>K84</f>
        <v>0</v>
      </c>
      <c r="L93" s="1">
        <f>K93*(1+$K$85)</f>
        <v>0</v>
      </c>
      <c r="M93" s="1">
        <f t="shared" ref="M93:R93" si="74">L93*(1+$K$85)</f>
        <v>0</v>
      </c>
      <c r="N93" s="1">
        <f t="shared" si="74"/>
        <v>0</v>
      </c>
      <c r="O93" s="1">
        <f t="shared" si="74"/>
        <v>0</v>
      </c>
      <c r="P93" s="1">
        <f t="shared" si="74"/>
        <v>0</v>
      </c>
      <c r="Q93" s="1">
        <f t="shared" si="74"/>
        <v>0</v>
      </c>
      <c r="R93" s="1">
        <f t="shared" si="74"/>
        <v>0</v>
      </c>
      <c r="S93" s="1">
        <f>S92-R93</f>
        <v>0</v>
      </c>
    </row>
    <row r="94" spans="10:20" hidden="1" x14ac:dyDescent="0.3"/>
    <row r="95" spans="10:20" hidden="1" x14ac:dyDescent="0.3"/>
    <row r="96" spans="10:20" hidden="1" x14ac:dyDescent="0.3">
      <c r="K96" s="1"/>
      <c r="L96" s="2"/>
      <c r="M96" s="2"/>
      <c r="N96" s="2"/>
      <c r="O96" s="2"/>
      <c r="P96" s="2"/>
      <c r="Q96" s="2"/>
      <c r="R96" s="2"/>
      <c r="S96" s="2"/>
      <c r="T96" s="2"/>
    </row>
    <row r="97" spans="3:11" hidden="1" x14ac:dyDescent="0.3">
      <c r="K97" s="21"/>
    </row>
    <row r="98" spans="3:11" x14ac:dyDescent="0.3">
      <c r="K98" s="2"/>
    </row>
    <row r="99" spans="3:11" x14ac:dyDescent="0.3">
      <c r="K99" s="2"/>
    </row>
    <row r="100" spans="3:11" x14ac:dyDescent="0.3">
      <c r="K100" s="2"/>
    </row>
    <row r="101" spans="3:11" x14ac:dyDescent="0.3">
      <c r="K101" s="2"/>
    </row>
    <row r="102" spans="3:11" x14ac:dyDescent="0.3">
      <c r="K102" s="2"/>
    </row>
    <row r="103" spans="3:11" x14ac:dyDescent="0.3">
      <c r="K103" s="2"/>
    </row>
    <row r="104" spans="3:11" x14ac:dyDescent="0.3">
      <c r="K104" s="2"/>
    </row>
    <row r="106" spans="3:11" x14ac:dyDescent="0.3">
      <c r="E106" t="s">
        <v>124</v>
      </c>
    </row>
    <row r="107" spans="3:11" x14ac:dyDescent="0.3">
      <c r="C107" s="21">
        <v>0.7</v>
      </c>
      <c r="D107" t="s">
        <v>120</v>
      </c>
    </row>
    <row r="108" spans="3:11" x14ac:dyDescent="0.3">
      <c r="C108" s="21">
        <v>0.1</v>
      </c>
      <c r="D108" t="s">
        <v>118</v>
      </c>
    </row>
    <row r="109" spans="3:11" x14ac:dyDescent="0.3">
      <c r="C109" s="21">
        <v>0.1</v>
      </c>
      <c r="D109" t="s">
        <v>119</v>
      </c>
    </row>
    <row r="110" spans="3:11" x14ac:dyDescent="0.3">
      <c r="C110" s="21">
        <v>0.1</v>
      </c>
      <c r="D110" t="s">
        <v>116</v>
      </c>
    </row>
  </sheetData>
  <scenarios current="0" sqref="J30:T30 J33 J34 J35 J37 J38 J39">
    <scenario name="Flujo de caja del proyecto" locked="1" count="1" user="Jose Mauricio Tobar Guinand" comment="Creado por Jose Mauricio Tobar Guinand el 6/11/2023_x000a_Modificado por Jose Mauricio Tobar Guinand el 6/11/2023">
      <inputCells r="K42" val="0" numFmtId="3"/>
    </scenario>
    <scenario name="Cuotas fijas" locked="1" count="1" user="Jose Mauricio Tobar Guinand" comment="Creado por Jose Mauricio Tobar Guinand el 6/11/2023_x000a_Modificado por Jose Mauricio Tobar Guinand el 6/11/2023">
      <inputCells r="K42" val="1" numFmtId="3"/>
    </scenario>
    <scenario name="Abono constante de K" locked="1" count="1" user="Jose Mauricio Tobar Guinand" comment="Creado por Jose Mauricio Tobar Guinand el 6/11/2023_x000a_Modificado por Jose Mauricio Tobar Guinand el 6/11/2023">
      <inputCells r="K42" val="2" numFmtId="3"/>
    </scenario>
    <scenario name="Intereses constantes" locked="1" count="1" user="Jose Mauricio Tobar Guinand" comment="Creado por Jose Mauricio Tobar Guinand el 6/11/2023">
      <inputCells r="K42" val="3" numFmtId="3"/>
    </scenario>
    <scenario name="Pago total al final" locked="1" count="1" user="Jose Mauricio Tobar Guinand" comment="Creado por Jose Mauricio Tobar Guinand el 6/11/2023">
      <inputCells r="K42" val="4" numFmtId="3"/>
    </scenario>
  </scenarios>
  <pageMargins left="0.7" right="0.7" top="0.75" bottom="0.75" header="0.3" footer="0.3"/>
  <ignoredErrors>
    <ignoredError sqref="M15:U15" formula="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Spinner 1">
              <controlPr defaultSize="0" autoPict="0">
                <anchor moveWithCells="1" sizeWithCells="1">
                  <from>
                    <xdr:col>12</xdr:col>
                    <xdr:colOff>22860</xdr:colOff>
                    <xdr:row>40</xdr:row>
                    <xdr:rowOff>160020</xdr:rowOff>
                  </from>
                  <to>
                    <xdr:col>12</xdr:col>
                    <xdr:colOff>381000</xdr:colOff>
                    <xdr:row>42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0FE7-56D6-4877-94EB-0363ACBD2988}">
  <dimension ref="B1:V56"/>
  <sheetViews>
    <sheetView showGridLines="0" zoomScaleNormal="100" workbookViewId="0">
      <selection activeCell="K4" sqref="K4"/>
    </sheetView>
  </sheetViews>
  <sheetFormatPr baseColWidth="10" defaultRowHeight="14.4" x14ac:dyDescent="0.3"/>
  <cols>
    <col min="2" max="2" width="14.109375" customWidth="1"/>
    <col min="3" max="3" width="7.21875" customWidth="1"/>
    <col min="4" max="4" width="10.6640625" customWidth="1"/>
    <col min="5" max="5" width="7.5546875" bestFit="1" customWidth="1"/>
    <col min="6" max="6" width="9.33203125" bestFit="1" customWidth="1"/>
    <col min="7" max="7" width="13.88671875" bestFit="1" customWidth="1"/>
    <col min="8" max="8" width="15.44140625" bestFit="1" customWidth="1"/>
    <col min="9" max="19" width="16.5546875" bestFit="1" customWidth="1"/>
    <col min="20" max="21" width="15.44140625" bestFit="1" customWidth="1"/>
    <col min="22" max="22" width="17.5546875" bestFit="1" customWidth="1"/>
  </cols>
  <sheetData>
    <row r="1" spans="2:22" ht="15" thickBot="1" x14ac:dyDescent="0.35"/>
    <row r="2" spans="2:22" ht="15" thickBot="1" x14ac:dyDescent="0.35">
      <c r="B2" s="71"/>
      <c r="C2" s="104" t="str">
        <f>+B11</f>
        <v>Café</v>
      </c>
      <c r="D2" s="104" t="str">
        <f>+B16</f>
        <v>Cardamomo</v>
      </c>
      <c r="E2" s="104" t="str">
        <f>+B22</f>
        <v xml:space="preserve">Citricos </v>
      </c>
      <c r="F2" s="104" t="str">
        <f>+B27</f>
        <v xml:space="preserve">Aguacate </v>
      </c>
      <c r="G2" s="104" t="str">
        <f>+B32</f>
        <v>Platano</v>
      </c>
      <c r="H2" s="104" t="str">
        <f>+B37</f>
        <v xml:space="preserve">Gulupa </v>
      </c>
      <c r="I2" s="105" t="str">
        <f>+B42</f>
        <v>Hortalizas</v>
      </c>
    </row>
    <row r="3" spans="2:22" x14ac:dyDescent="0.3">
      <c r="B3" s="84" t="s">
        <v>122</v>
      </c>
      <c r="C3" s="110">
        <f>+D10</f>
        <v>0</v>
      </c>
      <c r="D3" s="111">
        <f>+D15</f>
        <v>0</v>
      </c>
      <c r="E3" s="111">
        <f>+D21</f>
        <v>0</v>
      </c>
      <c r="F3" s="111">
        <f>+D26</f>
        <v>0</v>
      </c>
      <c r="G3" s="111">
        <f>+D31</f>
        <v>0</v>
      </c>
      <c r="H3" s="111">
        <f>+D36</f>
        <v>0</v>
      </c>
      <c r="I3" s="112">
        <f>+D41</f>
        <v>0</v>
      </c>
    </row>
    <row r="4" spans="2:22" x14ac:dyDescent="0.3">
      <c r="B4" s="84" t="s">
        <v>105</v>
      </c>
      <c r="C4" s="113">
        <f t="shared" ref="C4:C6" si="0">+D11</f>
        <v>0.1</v>
      </c>
      <c r="D4" s="106">
        <f t="shared" ref="D4:D6" si="1">+D16</f>
        <v>0.1</v>
      </c>
      <c r="E4" s="106">
        <f t="shared" ref="E4:E6" si="2">+D22</f>
        <v>0.1</v>
      </c>
      <c r="F4" s="106">
        <f t="shared" ref="F4:F6" si="3">+D27</f>
        <v>0.2</v>
      </c>
      <c r="G4" s="106">
        <f t="shared" ref="G4:G6" si="4">+D32</f>
        <v>0.1</v>
      </c>
      <c r="H4" s="106">
        <f t="shared" ref="H4:H6" si="5">+D37</f>
        <v>0.1</v>
      </c>
      <c r="I4" s="107">
        <f t="shared" ref="I4:I6" si="6">+D42</f>
        <v>0.2</v>
      </c>
    </row>
    <row r="5" spans="2:22" x14ac:dyDescent="0.3">
      <c r="B5" s="84" t="s">
        <v>104</v>
      </c>
      <c r="C5" s="113">
        <f t="shared" si="0"/>
        <v>0.3</v>
      </c>
      <c r="D5" s="106">
        <f t="shared" si="1"/>
        <v>0.3</v>
      </c>
      <c r="E5" s="106">
        <f t="shared" si="2"/>
        <v>0.1</v>
      </c>
      <c r="F5" s="106">
        <f t="shared" si="3"/>
        <v>0.15</v>
      </c>
      <c r="G5" s="106">
        <f t="shared" si="4"/>
        <v>0.1</v>
      </c>
      <c r="H5" s="106">
        <f t="shared" si="5"/>
        <v>0.1</v>
      </c>
      <c r="I5" s="107">
        <f t="shared" si="6"/>
        <v>0.2</v>
      </c>
    </row>
    <row r="6" spans="2:22" ht="15" thickBot="1" x14ac:dyDescent="0.35">
      <c r="B6" s="87" t="s">
        <v>103</v>
      </c>
      <c r="C6" s="114">
        <f t="shared" si="0"/>
        <v>0.1</v>
      </c>
      <c r="D6" s="108">
        <f t="shared" si="1"/>
        <v>0.1</v>
      </c>
      <c r="E6" s="108">
        <f t="shared" si="2"/>
        <v>0.2</v>
      </c>
      <c r="F6" s="108">
        <f t="shared" si="3"/>
        <v>0.2</v>
      </c>
      <c r="G6" s="108">
        <f t="shared" si="4"/>
        <v>0.2</v>
      </c>
      <c r="H6" s="108">
        <f t="shared" si="5"/>
        <v>0.2</v>
      </c>
      <c r="I6" s="109">
        <f t="shared" si="6"/>
        <v>0.2</v>
      </c>
    </row>
    <row r="8" spans="2:22" ht="15" thickBot="1" x14ac:dyDescent="0.35"/>
    <row r="9" spans="2:22" x14ac:dyDescent="0.3">
      <c r="B9" s="71"/>
      <c r="C9" s="72"/>
      <c r="D9" s="72"/>
      <c r="E9" s="54">
        <v>2024</v>
      </c>
      <c r="F9" s="54">
        <v>2025</v>
      </c>
      <c r="G9" s="54">
        <v>2026</v>
      </c>
      <c r="H9" s="54">
        <v>2027</v>
      </c>
      <c r="I9" s="54">
        <v>2028</v>
      </c>
      <c r="J9" s="54">
        <v>2029</v>
      </c>
      <c r="K9" s="54">
        <v>2030</v>
      </c>
      <c r="L9" s="54">
        <v>2031</v>
      </c>
      <c r="M9" s="54">
        <v>2032</v>
      </c>
      <c r="N9" s="54">
        <v>2033</v>
      </c>
      <c r="O9" s="54">
        <v>2034</v>
      </c>
      <c r="P9" s="54">
        <v>2035</v>
      </c>
      <c r="Q9" s="54">
        <v>2036</v>
      </c>
      <c r="R9" s="54">
        <v>2037</v>
      </c>
      <c r="S9" s="54">
        <v>2038</v>
      </c>
      <c r="T9" s="54">
        <v>2039</v>
      </c>
      <c r="U9" s="54">
        <v>2040</v>
      </c>
      <c r="V9" s="63" t="s">
        <v>86</v>
      </c>
    </row>
    <row r="10" spans="2:22" x14ac:dyDescent="0.3">
      <c r="B10" s="73"/>
      <c r="C10" s="3" t="s">
        <v>122</v>
      </c>
      <c r="D10" s="86">
        <v>0</v>
      </c>
      <c r="E10" s="69">
        <v>0</v>
      </c>
      <c r="F10" s="69">
        <v>0</v>
      </c>
      <c r="G10" s="69">
        <v>0</v>
      </c>
      <c r="H10" s="69">
        <v>2236968369.597971</v>
      </c>
      <c r="I10" s="69">
        <v>4473936739.1959419</v>
      </c>
      <c r="J10" s="69">
        <v>6710905108.7939129</v>
      </c>
      <c r="K10" s="69">
        <v>8947873478.3918839</v>
      </c>
      <c r="L10" s="69">
        <v>11184841847.989855</v>
      </c>
      <c r="M10" s="69">
        <v>11184841847.989855</v>
      </c>
      <c r="N10" s="69">
        <v>11184841847.989855</v>
      </c>
      <c r="O10" s="69">
        <v>11184841847.989855</v>
      </c>
      <c r="P10" s="69">
        <v>11184841847.989855</v>
      </c>
      <c r="Q10" s="69">
        <v>11184841847.989855</v>
      </c>
      <c r="R10" s="69">
        <v>8947873478.3918839</v>
      </c>
      <c r="S10" s="69">
        <v>6710905108.7939129</v>
      </c>
      <c r="T10" s="69">
        <v>4473936739.1959419</v>
      </c>
      <c r="U10" s="69">
        <v>2236968369.597971</v>
      </c>
      <c r="V10" s="74">
        <f>SUM(E10:U10)</f>
        <v>111848418479.89856</v>
      </c>
    </row>
    <row r="11" spans="2:22" x14ac:dyDescent="0.3">
      <c r="B11" s="84" t="s">
        <v>112</v>
      </c>
      <c r="C11" s="3" t="s">
        <v>105</v>
      </c>
      <c r="D11" s="85">
        <v>0.1</v>
      </c>
      <c r="E11" s="70">
        <f t="shared" ref="E11" si="7">+E10-(E10*A11)</f>
        <v>0</v>
      </c>
      <c r="F11" s="70">
        <v>0</v>
      </c>
      <c r="G11" s="70">
        <v>0</v>
      </c>
      <c r="H11" s="70">
        <f>+H10-(H10*$D$11)</f>
        <v>2013271532.6381738</v>
      </c>
      <c r="I11" s="70">
        <f t="shared" ref="I11:U11" si="8">+I10-(I10*$D$11)</f>
        <v>4026543065.2763476</v>
      </c>
      <c r="J11" s="70">
        <f t="shared" si="8"/>
        <v>6039814597.9145212</v>
      </c>
      <c r="K11" s="70">
        <f t="shared" si="8"/>
        <v>8053086130.5526953</v>
      </c>
      <c r="L11" s="70">
        <f t="shared" si="8"/>
        <v>10066357663.190868</v>
      </c>
      <c r="M11" s="70">
        <f t="shared" si="8"/>
        <v>10066357663.190868</v>
      </c>
      <c r="N11" s="70">
        <f t="shared" si="8"/>
        <v>10066357663.190868</v>
      </c>
      <c r="O11" s="70">
        <f t="shared" si="8"/>
        <v>10066357663.190868</v>
      </c>
      <c r="P11" s="70">
        <f t="shared" si="8"/>
        <v>10066357663.190868</v>
      </c>
      <c r="Q11" s="70">
        <f t="shared" si="8"/>
        <v>10066357663.190868</v>
      </c>
      <c r="R11" s="70">
        <f t="shared" si="8"/>
        <v>8053086130.5526953</v>
      </c>
      <c r="S11" s="70">
        <f t="shared" si="8"/>
        <v>6039814597.9145212</v>
      </c>
      <c r="T11" s="70">
        <f t="shared" si="8"/>
        <v>4026543065.2763476</v>
      </c>
      <c r="U11" s="70">
        <f t="shared" si="8"/>
        <v>2013271532.6381738</v>
      </c>
      <c r="V11" s="74">
        <f t="shared" ref="V11:V13" si="9">SUM(E11:U11)</f>
        <v>100663576631.90869</v>
      </c>
    </row>
    <row r="12" spans="2:22" x14ac:dyDescent="0.3">
      <c r="B12" s="84"/>
      <c r="C12" s="3" t="s">
        <v>104</v>
      </c>
      <c r="D12" s="85">
        <v>0.3</v>
      </c>
      <c r="H12" s="70">
        <f t="shared" ref="H12:U12" si="10">+H11-(H11*$D$12)</f>
        <v>1409290072.8467216</v>
      </c>
      <c r="I12" s="70">
        <f t="shared" si="10"/>
        <v>2818580145.6934433</v>
      </c>
      <c r="J12" s="70">
        <f t="shared" si="10"/>
        <v>4227870218.5401649</v>
      </c>
      <c r="K12" s="70">
        <f t="shared" si="10"/>
        <v>5637160291.3868866</v>
      </c>
      <c r="L12" s="70">
        <f t="shared" si="10"/>
        <v>7046450364.2336082</v>
      </c>
      <c r="M12" s="70">
        <f t="shared" si="10"/>
        <v>7046450364.2336082</v>
      </c>
      <c r="N12" s="70">
        <f t="shared" si="10"/>
        <v>7046450364.2336082</v>
      </c>
      <c r="O12" s="70">
        <f t="shared" si="10"/>
        <v>7046450364.2336082</v>
      </c>
      <c r="P12" s="70">
        <f t="shared" si="10"/>
        <v>7046450364.2336082</v>
      </c>
      <c r="Q12" s="70">
        <f t="shared" si="10"/>
        <v>7046450364.2336082</v>
      </c>
      <c r="R12" s="70">
        <f t="shared" si="10"/>
        <v>5637160291.3868866</v>
      </c>
      <c r="S12" s="70">
        <f t="shared" si="10"/>
        <v>4227870218.5401649</v>
      </c>
      <c r="T12" s="70">
        <f t="shared" si="10"/>
        <v>2818580145.6934433</v>
      </c>
      <c r="U12" s="70">
        <f t="shared" si="10"/>
        <v>1409290072.8467216</v>
      </c>
      <c r="V12" s="74">
        <f t="shared" si="9"/>
        <v>70464503642.336105</v>
      </c>
    </row>
    <row r="13" spans="2:22" x14ac:dyDescent="0.3">
      <c r="B13" s="84"/>
      <c r="C13" s="3" t="s">
        <v>103</v>
      </c>
      <c r="D13" s="85">
        <v>0.1</v>
      </c>
      <c r="H13" s="70">
        <f>+H12-(H12*$D$13)</f>
        <v>1268361065.5620494</v>
      </c>
      <c r="I13" s="70">
        <f t="shared" ref="I13:U13" si="11">+I12-(I12*$D$13)</f>
        <v>2536722131.1240988</v>
      </c>
      <c r="J13" s="70">
        <f t="shared" si="11"/>
        <v>3805083196.6861486</v>
      </c>
      <c r="K13" s="70">
        <f t="shared" si="11"/>
        <v>5073444262.2481976</v>
      </c>
      <c r="L13" s="70">
        <f t="shared" si="11"/>
        <v>6341805327.8102474</v>
      </c>
      <c r="M13" s="70">
        <f t="shared" si="11"/>
        <v>6341805327.8102474</v>
      </c>
      <c r="N13" s="70">
        <f t="shared" si="11"/>
        <v>6341805327.8102474</v>
      </c>
      <c r="O13" s="70">
        <f t="shared" si="11"/>
        <v>6341805327.8102474</v>
      </c>
      <c r="P13" s="70">
        <f t="shared" si="11"/>
        <v>6341805327.8102474</v>
      </c>
      <c r="Q13" s="70">
        <f t="shared" si="11"/>
        <v>6341805327.8102474</v>
      </c>
      <c r="R13" s="70">
        <f t="shared" si="11"/>
        <v>5073444262.2481976</v>
      </c>
      <c r="S13" s="70">
        <f t="shared" si="11"/>
        <v>3805083196.6861486</v>
      </c>
      <c r="T13" s="70">
        <f t="shared" si="11"/>
        <v>2536722131.1240988</v>
      </c>
      <c r="U13" s="70">
        <f t="shared" si="11"/>
        <v>1268361065.5620494</v>
      </c>
      <c r="V13" s="74">
        <f t="shared" si="9"/>
        <v>63418053278.102486</v>
      </c>
    </row>
    <row r="14" spans="2:22" x14ac:dyDescent="0.3">
      <c r="B14" s="84"/>
      <c r="C14" s="3"/>
      <c r="D14" s="86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4"/>
    </row>
    <row r="15" spans="2:22" x14ac:dyDescent="0.3">
      <c r="B15" s="84"/>
      <c r="C15" s="3" t="s">
        <v>122</v>
      </c>
      <c r="D15" s="86">
        <v>0</v>
      </c>
      <c r="E15" s="75">
        <v>0</v>
      </c>
      <c r="F15" s="75">
        <v>0</v>
      </c>
      <c r="G15" s="75">
        <v>0</v>
      </c>
      <c r="H15" s="75">
        <v>419431569.29961962</v>
      </c>
      <c r="I15" s="75">
        <v>838863138.59923923</v>
      </c>
      <c r="J15" s="75">
        <v>1258294707.8988588</v>
      </c>
      <c r="K15" s="75">
        <v>1677726277.1984785</v>
      </c>
      <c r="L15" s="75">
        <v>2097157846.4980981</v>
      </c>
      <c r="M15" s="75">
        <v>2097157846.4980981</v>
      </c>
      <c r="N15" s="75">
        <v>2097157846.4980981</v>
      </c>
      <c r="O15" s="75">
        <v>2097157846.4980981</v>
      </c>
      <c r="P15" s="75">
        <v>2097157846.4980981</v>
      </c>
      <c r="Q15" s="75">
        <v>2097157846.4980981</v>
      </c>
      <c r="R15" s="75">
        <v>1677726277.1984785</v>
      </c>
      <c r="S15" s="75">
        <v>1258294707.8988588</v>
      </c>
      <c r="T15" s="75">
        <v>838863138.59923923</v>
      </c>
      <c r="U15" s="75">
        <v>419431569.29961962</v>
      </c>
      <c r="V15" s="76">
        <f>SUM(E15:U15)</f>
        <v>20971578464.980976</v>
      </c>
    </row>
    <row r="16" spans="2:22" x14ac:dyDescent="0.3">
      <c r="B16" s="84" t="s">
        <v>106</v>
      </c>
      <c r="C16" s="3" t="s">
        <v>105</v>
      </c>
      <c r="D16" s="86">
        <v>0.1</v>
      </c>
      <c r="E16" s="75">
        <v>0</v>
      </c>
      <c r="F16" s="75">
        <v>0</v>
      </c>
      <c r="G16" s="75">
        <v>0</v>
      </c>
      <c r="H16" s="70">
        <f>+H15-(H15*$D$16)</f>
        <v>377488412.36965764</v>
      </c>
      <c r="I16" s="70">
        <f t="shared" ref="I16:U16" si="12">+I15-(I15*$D$16)</f>
        <v>754976824.73931527</v>
      </c>
      <c r="J16" s="70">
        <f t="shared" si="12"/>
        <v>1132465237.108973</v>
      </c>
      <c r="K16" s="70">
        <f t="shared" si="12"/>
        <v>1509953649.4786305</v>
      </c>
      <c r="L16" s="70">
        <f t="shared" si="12"/>
        <v>1887442061.8482883</v>
      </c>
      <c r="M16" s="70">
        <f t="shared" si="12"/>
        <v>1887442061.8482883</v>
      </c>
      <c r="N16" s="70">
        <f t="shared" si="12"/>
        <v>1887442061.8482883</v>
      </c>
      <c r="O16" s="70">
        <f t="shared" si="12"/>
        <v>1887442061.8482883</v>
      </c>
      <c r="P16" s="70">
        <f t="shared" si="12"/>
        <v>1887442061.8482883</v>
      </c>
      <c r="Q16" s="70">
        <f t="shared" si="12"/>
        <v>1887442061.8482883</v>
      </c>
      <c r="R16" s="70">
        <f t="shared" si="12"/>
        <v>1509953649.4786305</v>
      </c>
      <c r="S16" s="70">
        <f t="shared" si="12"/>
        <v>1132465237.108973</v>
      </c>
      <c r="T16" s="70">
        <f t="shared" si="12"/>
        <v>754976824.73931527</v>
      </c>
      <c r="U16" s="70">
        <f t="shared" si="12"/>
        <v>377488412.36965764</v>
      </c>
      <c r="V16" s="76">
        <f t="shared" ref="V16:V17" si="13">SUM(E16:U16)</f>
        <v>18874420618.482883</v>
      </c>
    </row>
    <row r="17" spans="2:22" x14ac:dyDescent="0.3">
      <c r="B17" s="84"/>
      <c r="C17" s="3" t="s">
        <v>104</v>
      </c>
      <c r="D17" s="86">
        <v>0.3</v>
      </c>
      <c r="E17" s="75">
        <v>0</v>
      </c>
      <c r="F17" s="75">
        <v>0</v>
      </c>
      <c r="G17" s="75">
        <v>0</v>
      </c>
      <c r="H17" s="70">
        <f>+H16-(H16*$D$17)</f>
        <v>264241888.65876037</v>
      </c>
      <c r="I17" s="70">
        <f t="shared" ref="I17:U17" si="14">+I16-(I16*$D$17)</f>
        <v>528483777.31752074</v>
      </c>
      <c r="J17" s="70">
        <f t="shared" si="14"/>
        <v>792725665.97628117</v>
      </c>
      <c r="K17" s="70">
        <f t="shared" si="14"/>
        <v>1056967554.6350415</v>
      </c>
      <c r="L17" s="70">
        <f t="shared" si="14"/>
        <v>1321209443.2938018</v>
      </c>
      <c r="M17" s="70">
        <f t="shared" si="14"/>
        <v>1321209443.2938018</v>
      </c>
      <c r="N17" s="70">
        <f t="shared" si="14"/>
        <v>1321209443.2938018</v>
      </c>
      <c r="O17" s="70">
        <f t="shared" si="14"/>
        <v>1321209443.2938018</v>
      </c>
      <c r="P17" s="70">
        <f t="shared" si="14"/>
        <v>1321209443.2938018</v>
      </c>
      <c r="Q17" s="70">
        <f t="shared" si="14"/>
        <v>1321209443.2938018</v>
      </c>
      <c r="R17" s="70">
        <f t="shared" si="14"/>
        <v>1056967554.6350415</v>
      </c>
      <c r="S17" s="70">
        <f t="shared" si="14"/>
        <v>792725665.97628117</v>
      </c>
      <c r="T17" s="70">
        <f t="shared" si="14"/>
        <v>528483777.31752074</v>
      </c>
      <c r="U17" s="70">
        <f t="shared" si="14"/>
        <v>264241888.65876037</v>
      </c>
      <c r="V17" s="76">
        <f t="shared" si="13"/>
        <v>13212094432.938019</v>
      </c>
    </row>
    <row r="18" spans="2:22" x14ac:dyDescent="0.3">
      <c r="B18" s="84"/>
      <c r="C18" s="3" t="s">
        <v>103</v>
      </c>
      <c r="D18" s="86">
        <v>0.1</v>
      </c>
      <c r="E18" s="75">
        <v>0</v>
      </c>
      <c r="F18" s="75">
        <v>0</v>
      </c>
      <c r="G18" s="75">
        <v>0</v>
      </c>
      <c r="H18" s="70">
        <f>+H17-(H17*$D$18)</f>
        <v>237817699.79288432</v>
      </c>
      <c r="I18" s="70">
        <f t="shared" ref="I18:U18" si="15">+I17-(I17*$D$18)</f>
        <v>475635399.58576864</v>
      </c>
      <c r="J18" s="70">
        <f t="shared" si="15"/>
        <v>713453099.37865305</v>
      </c>
      <c r="K18" s="70">
        <f t="shared" si="15"/>
        <v>951270799.17153728</v>
      </c>
      <c r="L18" s="70">
        <f t="shared" si="15"/>
        <v>1189088498.9644215</v>
      </c>
      <c r="M18" s="70">
        <f t="shared" si="15"/>
        <v>1189088498.9644215</v>
      </c>
      <c r="N18" s="70">
        <f t="shared" si="15"/>
        <v>1189088498.9644215</v>
      </c>
      <c r="O18" s="70">
        <f t="shared" si="15"/>
        <v>1189088498.9644215</v>
      </c>
      <c r="P18" s="70">
        <f t="shared" si="15"/>
        <v>1189088498.9644215</v>
      </c>
      <c r="Q18" s="70">
        <f t="shared" si="15"/>
        <v>1189088498.9644215</v>
      </c>
      <c r="R18" s="70">
        <f t="shared" si="15"/>
        <v>951270799.17153728</v>
      </c>
      <c r="S18" s="70">
        <f t="shared" si="15"/>
        <v>713453099.37865305</v>
      </c>
      <c r="T18" s="70">
        <f t="shared" si="15"/>
        <v>475635399.58576864</v>
      </c>
      <c r="U18" s="70">
        <f t="shared" si="15"/>
        <v>237817699.79288432</v>
      </c>
      <c r="V18" s="76">
        <f>SUM(E18:U18)</f>
        <v>11890884989.644215</v>
      </c>
    </row>
    <row r="19" spans="2:22" x14ac:dyDescent="0.3">
      <c r="B19" s="84"/>
      <c r="C19" s="3"/>
      <c r="D19" s="86"/>
      <c r="E19" s="75"/>
      <c r="F19" s="75"/>
      <c r="G19" s="75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6"/>
    </row>
    <row r="20" spans="2:22" x14ac:dyDescent="0.3">
      <c r="B20" s="84"/>
      <c r="C20" s="3"/>
      <c r="D20" s="3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7"/>
    </row>
    <row r="21" spans="2:22" x14ac:dyDescent="0.3">
      <c r="B21" s="84"/>
      <c r="C21" s="3" t="s">
        <v>122</v>
      </c>
      <c r="D21" s="86">
        <v>0</v>
      </c>
      <c r="E21" s="75">
        <v>0</v>
      </c>
      <c r="F21" s="75">
        <v>0</v>
      </c>
      <c r="G21" s="75">
        <v>0</v>
      </c>
      <c r="H21" s="75">
        <v>475355778.53956878</v>
      </c>
      <c r="I21" s="75">
        <v>950711557.07913756</v>
      </c>
      <c r="J21" s="75">
        <v>1426067335.6187062</v>
      </c>
      <c r="K21" s="75">
        <v>1901423114.1582751</v>
      </c>
      <c r="L21" s="75">
        <v>2376778892.697844</v>
      </c>
      <c r="M21" s="75">
        <v>2376778892.697844</v>
      </c>
      <c r="N21" s="75">
        <v>2376778892.697844</v>
      </c>
      <c r="O21" s="75">
        <v>2376778892.697844</v>
      </c>
      <c r="P21" s="75">
        <v>2376778892.697844</v>
      </c>
      <c r="Q21" s="75">
        <v>2376778892.697844</v>
      </c>
      <c r="R21" s="75">
        <v>1901423114.1582751</v>
      </c>
      <c r="S21" s="75">
        <v>1426067335.6187062</v>
      </c>
      <c r="T21" s="75">
        <v>950711557.07913756</v>
      </c>
      <c r="U21" s="75">
        <v>475355778.53956878</v>
      </c>
      <c r="V21" s="76">
        <f>SUM(E21:U21)</f>
        <v>23767788926.978436</v>
      </c>
    </row>
    <row r="22" spans="2:22" x14ac:dyDescent="0.3">
      <c r="B22" s="84" t="s">
        <v>107</v>
      </c>
      <c r="C22" s="3" t="s">
        <v>105</v>
      </c>
      <c r="D22" s="86">
        <v>0.1</v>
      </c>
      <c r="H22" s="70">
        <f>+H21-(H21*$D$22)</f>
        <v>427820200.6856119</v>
      </c>
      <c r="I22" s="70">
        <f t="shared" ref="I22:U22" si="16">+I21-(I21*$D$22)</f>
        <v>855640401.37122381</v>
      </c>
      <c r="J22" s="70">
        <f t="shared" si="16"/>
        <v>1283460602.0568357</v>
      </c>
      <c r="K22" s="70">
        <f t="shared" si="16"/>
        <v>1711280802.7424476</v>
      </c>
      <c r="L22" s="70">
        <f t="shared" si="16"/>
        <v>2139101003.4280596</v>
      </c>
      <c r="M22" s="70">
        <f t="shared" si="16"/>
        <v>2139101003.4280596</v>
      </c>
      <c r="N22" s="70">
        <f t="shared" si="16"/>
        <v>2139101003.4280596</v>
      </c>
      <c r="O22" s="70">
        <f t="shared" si="16"/>
        <v>2139101003.4280596</v>
      </c>
      <c r="P22" s="70">
        <f t="shared" si="16"/>
        <v>2139101003.4280596</v>
      </c>
      <c r="Q22" s="70">
        <f t="shared" si="16"/>
        <v>2139101003.4280596</v>
      </c>
      <c r="R22" s="70">
        <f t="shared" si="16"/>
        <v>1711280802.7424476</v>
      </c>
      <c r="S22" s="70">
        <f t="shared" si="16"/>
        <v>1283460602.0568357</v>
      </c>
      <c r="T22" s="70">
        <f t="shared" si="16"/>
        <v>855640401.37122381</v>
      </c>
      <c r="U22" s="70">
        <f t="shared" si="16"/>
        <v>427820200.6856119</v>
      </c>
      <c r="V22" s="76">
        <f t="shared" ref="V22:V24" si="17">SUM(E22:U22)</f>
        <v>21391010034.28059</v>
      </c>
    </row>
    <row r="23" spans="2:22" x14ac:dyDescent="0.3">
      <c r="B23" s="84"/>
      <c r="C23" s="3" t="s">
        <v>104</v>
      </c>
      <c r="D23" s="86">
        <v>0.1</v>
      </c>
      <c r="H23" s="70">
        <f>+H22-(H22*$D$23)</f>
        <v>385038180.61705071</v>
      </c>
      <c r="I23" s="70">
        <f t="shared" ref="I23:U23" si="18">+I22-(I22*$D$23)</f>
        <v>770076361.23410141</v>
      </c>
      <c r="J23" s="70">
        <f t="shared" si="18"/>
        <v>1155114541.8511522</v>
      </c>
      <c r="K23" s="70">
        <f t="shared" si="18"/>
        <v>1540152722.4682028</v>
      </c>
      <c r="L23" s="70">
        <f t="shared" si="18"/>
        <v>1925190903.0852537</v>
      </c>
      <c r="M23" s="70">
        <f t="shared" si="18"/>
        <v>1925190903.0852537</v>
      </c>
      <c r="N23" s="70">
        <f t="shared" si="18"/>
        <v>1925190903.0852537</v>
      </c>
      <c r="O23" s="70">
        <f t="shared" si="18"/>
        <v>1925190903.0852537</v>
      </c>
      <c r="P23" s="70">
        <f t="shared" si="18"/>
        <v>1925190903.0852537</v>
      </c>
      <c r="Q23" s="70">
        <f t="shared" si="18"/>
        <v>1925190903.0852537</v>
      </c>
      <c r="R23" s="70">
        <f t="shared" si="18"/>
        <v>1540152722.4682028</v>
      </c>
      <c r="S23" s="70">
        <f t="shared" si="18"/>
        <v>1155114541.8511522</v>
      </c>
      <c r="T23" s="70">
        <f t="shared" si="18"/>
        <v>770076361.23410141</v>
      </c>
      <c r="U23" s="70">
        <f t="shared" si="18"/>
        <v>385038180.61705071</v>
      </c>
      <c r="V23" s="76">
        <f t="shared" si="17"/>
        <v>19251909030.852539</v>
      </c>
    </row>
    <row r="24" spans="2:22" x14ac:dyDescent="0.3">
      <c r="B24" s="84"/>
      <c r="C24" s="3" t="s">
        <v>103</v>
      </c>
      <c r="D24" s="86">
        <v>0.2</v>
      </c>
      <c r="H24" s="70">
        <f>+H23-(H23*$D$24)</f>
        <v>308030544.49364054</v>
      </c>
      <c r="I24" s="70">
        <f t="shared" ref="I24:U24" si="19">+I23-(I23*$D$24)</f>
        <v>616061088.98728108</v>
      </c>
      <c r="J24" s="70">
        <f t="shared" si="19"/>
        <v>924091633.48092175</v>
      </c>
      <c r="K24" s="70">
        <f t="shared" si="19"/>
        <v>1232122177.9745622</v>
      </c>
      <c r="L24" s="70">
        <f t="shared" si="19"/>
        <v>1540152722.4682031</v>
      </c>
      <c r="M24" s="70">
        <f t="shared" si="19"/>
        <v>1540152722.4682031</v>
      </c>
      <c r="N24" s="70">
        <f t="shared" si="19"/>
        <v>1540152722.4682031</v>
      </c>
      <c r="O24" s="70">
        <f t="shared" si="19"/>
        <v>1540152722.4682031</v>
      </c>
      <c r="P24" s="70">
        <f t="shared" si="19"/>
        <v>1540152722.4682031</v>
      </c>
      <c r="Q24" s="70">
        <f t="shared" si="19"/>
        <v>1540152722.4682031</v>
      </c>
      <c r="R24" s="70">
        <f t="shared" si="19"/>
        <v>1232122177.9745622</v>
      </c>
      <c r="S24" s="70">
        <f t="shared" si="19"/>
        <v>924091633.48092175</v>
      </c>
      <c r="T24" s="70">
        <f t="shared" si="19"/>
        <v>616061088.98728108</v>
      </c>
      <c r="U24" s="70">
        <f t="shared" si="19"/>
        <v>308030544.49364054</v>
      </c>
      <c r="V24" s="76">
        <f t="shared" si="17"/>
        <v>15401527224.68203</v>
      </c>
    </row>
    <row r="25" spans="2:22" x14ac:dyDescent="0.3">
      <c r="B25" s="84"/>
      <c r="C25" s="3"/>
      <c r="D25" s="3"/>
      <c r="V25" s="78"/>
    </row>
    <row r="26" spans="2:22" x14ac:dyDescent="0.3">
      <c r="B26" s="84"/>
      <c r="C26" s="3" t="s">
        <v>122</v>
      </c>
      <c r="D26" s="86">
        <v>0</v>
      </c>
      <c r="E26" s="75">
        <v>0</v>
      </c>
      <c r="F26" s="75">
        <v>0</v>
      </c>
      <c r="G26" s="75">
        <v>0</v>
      </c>
      <c r="H26" s="75">
        <v>782938929.35929</v>
      </c>
      <c r="I26" s="75">
        <v>1565877858.71858</v>
      </c>
      <c r="J26" s="75">
        <v>2348816788.0778699</v>
      </c>
      <c r="K26" s="75">
        <v>3131755717.43716</v>
      </c>
      <c r="L26" s="75">
        <v>3914694646.7964501</v>
      </c>
      <c r="M26" s="75">
        <v>3914694646.7964501</v>
      </c>
      <c r="N26" s="75">
        <v>3914694646.7964501</v>
      </c>
      <c r="O26" s="75">
        <v>3914694646.7964501</v>
      </c>
      <c r="P26" s="75">
        <v>3914694646.7964501</v>
      </c>
      <c r="Q26" s="75">
        <v>3914694646.7964501</v>
      </c>
      <c r="R26" s="75">
        <v>3131755717.43716</v>
      </c>
      <c r="S26" s="75">
        <v>2348816788.0778699</v>
      </c>
      <c r="T26" s="75">
        <v>1565877858.71858</v>
      </c>
      <c r="U26" s="75">
        <v>782938929.35929</v>
      </c>
      <c r="V26" s="76">
        <f>SUM(E26:U26)</f>
        <v>39146946467.964508</v>
      </c>
    </row>
    <row r="27" spans="2:22" x14ac:dyDescent="0.3">
      <c r="B27" s="84" t="s">
        <v>108</v>
      </c>
      <c r="C27" s="3" t="s">
        <v>105</v>
      </c>
      <c r="D27" s="86">
        <v>0.2</v>
      </c>
      <c r="H27" s="70">
        <f t="shared" ref="H27:U27" si="20">+H26-(H26*$D$27)</f>
        <v>626351143.487432</v>
      </c>
      <c r="I27" s="70">
        <f t="shared" si="20"/>
        <v>1252702286.974864</v>
      </c>
      <c r="J27" s="70">
        <f t="shared" si="20"/>
        <v>1879053430.462296</v>
      </c>
      <c r="K27" s="70">
        <f t="shared" si="20"/>
        <v>2505404573.949728</v>
      </c>
      <c r="L27" s="70">
        <f t="shared" si="20"/>
        <v>3131755717.43716</v>
      </c>
      <c r="M27" s="70">
        <f t="shared" si="20"/>
        <v>3131755717.43716</v>
      </c>
      <c r="N27" s="70">
        <f t="shared" si="20"/>
        <v>3131755717.43716</v>
      </c>
      <c r="O27" s="70">
        <f t="shared" si="20"/>
        <v>3131755717.43716</v>
      </c>
      <c r="P27" s="70">
        <f t="shared" si="20"/>
        <v>3131755717.43716</v>
      </c>
      <c r="Q27" s="70">
        <f t="shared" si="20"/>
        <v>3131755717.43716</v>
      </c>
      <c r="R27" s="70">
        <f t="shared" si="20"/>
        <v>2505404573.949728</v>
      </c>
      <c r="S27" s="70">
        <f t="shared" si="20"/>
        <v>1879053430.462296</v>
      </c>
      <c r="T27" s="70">
        <f t="shared" si="20"/>
        <v>1252702286.974864</v>
      </c>
      <c r="U27" s="70">
        <f t="shared" si="20"/>
        <v>626351143.487432</v>
      </c>
      <c r="V27" s="76">
        <f t="shared" ref="V27:V29" si="21">SUM(E27:U27)</f>
        <v>31317557174.371597</v>
      </c>
    </row>
    <row r="28" spans="2:22" x14ac:dyDescent="0.3">
      <c r="B28" s="84"/>
      <c r="C28" s="3" t="s">
        <v>104</v>
      </c>
      <c r="D28" s="86">
        <v>0.15</v>
      </c>
      <c r="H28" s="70">
        <f t="shared" ref="H28:U28" si="22">+H27-(H27*$D$28)</f>
        <v>532398471.9643172</v>
      </c>
      <c r="I28" s="70">
        <f t="shared" si="22"/>
        <v>1064796943.9286344</v>
      </c>
      <c r="J28" s="70">
        <f t="shared" si="22"/>
        <v>1597195415.8929515</v>
      </c>
      <c r="K28" s="70">
        <f t="shared" si="22"/>
        <v>2129593887.8572688</v>
      </c>
      <c r="L28" s="70">
        <f t="shared" si="22"/>
        <v>2661992359.8215861</v>
      </c>
      <c r="M28" s="70">
        <f t="shared" si="22"/>
        <v>2661992359.8215861</v>
      </c>
      <c r="N28" s="70">
        <f t="shared" si="22"/>
        <v>2661992359.8215861</v>
      </c>
      <c r="O28" s="70">
        <f t="shared" si="22"/>
        <v>2661992359.8215861</v>
      </c>
      <c r="P28" s="70">
        <f t="shared" si="22"/>
        <v>2661992359.8215861</v>
      </c>
      <c r="Q28" s="70">
        <f t="shared" si="22"/>
        <v>2661992359.8215861</v>
      </c>
      <c r="R28" s="70">
        <f t="shared" si="22"/>
        <v>2129593887.8572688</v>
      </c>
      <c r="S28" s="70">
        <f t="shared" si="22"/>
        <v>1597195415.8929515</v>
      </c>
      <c r="T28" s="70">
        <f t="shared" si="22"/>
        <v>1064796943.9286344</v>
      </c>
      <c r="U28" s="70">
        <f t="shared" si="22"/>
        <v>532398471.9643172</v>
      </c>
      <c r="V28" s="76">
        <f t="shared" si="21"/>
        <v>26619923598.215862</v>
      </c>
    </row>
    <row r="29" spans="2:22" x14ac:dyDescent="0.3">
      <c r="B29" s="84"/>
      <c r="C29" s="3" t="s">
        <v>103</v>
      </c>
      <c r="D29" s="86">
        <v>0.2</v>
      </c>
      <c r="H29" s="70">
        <f t="shared" ref="H29:U29" si="23">+H28-(H28*$D$29)</f>
        <v>425918777.57145375</v>
      </c>
      <c r="I29" s="70">
        <f t="shared" si="23"/>
        <v>851837555.1429075</v>
      </c>
      <c r="J29" s="70">
        <f t="shared" si="23"/>
        <v>1277756332.7143612</v>
      </c>
      <c r="K29" s="70">
        <f t="shared" si="23"/>
        <v>1703675110.285815</v>
      </c>
      <c r="L29" s="70">
        <f t="shared" si="23"/>
        <v>2129593887.8572688</v>
      </c>
      <c r="M29" s="70">
        <f t="shared" si="23"/>
        <v>2129593887.8572688</v>
      </c>
      <c r="N29" s="70">
        <f t="shared" si="23"/>
        <v>2129593887.8572688</v>
      </c>
      <c r="O29" s="70">
        <f t="shared" si="23"/>
        <v>2129593887.8572688</v>
      </c>
      <c r="P29" s="70">
        <f t="shared" si="23"/>
        <v>2129593887.8572688</v>
      </c>
      <c r="Q29" s="70">
        <f t="shared" si="23"/>
        <v>2129593887.8572688</v>
      </c>
      <c r="R29" s="70">
        <f t="shared" si="23"/>
        <v>1703675110.285815</v>
      </c>
      <c r="S29" s="70">
        <f t="shared" si="23"/>
        <v>1277756332.7143612</v>
      </c>
      <c r="T29" s="70">
        <f t="shared" si="23"/>
        <v>851837555.1429075</v>
      </c>
      <c r="U29" s="70">
        <f t="shared" si="23"/>
        <v>425918777.57145375</v>
      </c>
      <c r="V29" s="76">
        <f t="shared" si="21"/>
        <v>21295938878.572689</v>
      </c>
    </row>
    <row r="30" spans="2:22" x14ac:dyDescent="0.3">
      <c r="B30" s="84"/>
      <c r="C30" s="3"/>
      <c r="D30" s="86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6"/>
    </row>
    <row r="31" spans="2:22" x14ac:dyDescent="0.3">
      <c r="B31" s="84"/>
      <c r="C31" s="3" t="s">
        <v>122</v>
      </c>
      <c r="D31" s="86">
        <v>0</v>
      </c>
      <c r="E31" s="75">
        <v>0</v>
      </c>
      <c r="F31" s="75">
        <v>0</v>
      </c>
      <c r="G31" s="75">
        <v>472396350.03651232</v>
      </c>
      <c r="H31" s="75">
        <v>944792700.07302463</v>
      </c>
      <c r="I31" s="75">
        <v>1417189050.1095369</v>
      </c>
      <c r="J31" s="75">
        <v>1889585400.1460493</v>
      </c>
      <c r="K31" s="75">
        <v>2361981750.1825614</v>
      </c>
      <c r="L31" s="75">
        <v>2361981750.1825614</v>
      </c>
      <c r="M31" s="75">
        <v>2361981750.1825614</v>
      </c>
      <c r="N31" s="75">
        <v>2361981750.1825614</v>
      </c>
      <c r="O31" s="75">
        <v>2361981750.1825614</v>
      </c>
      <c r="P31" s="75">
        <v>2361981750.1825614</v>
      </c>
      <c r="Q31" s="75">
        <v>2361981750.1825614</v>
      </c>
      <c r="R31" s="75">
        <v>1889585400.1460493</v>
      </c>
      <c r="S31" s="75">
        <v>1417189050.1095369</v>
      </c>
      <c r="T31" s="75">
        <v>944792700.07302463</v>
      </c>
      <c r="U31" s="75">
        <v>472396350.03651232</v>
      </c>
      <c r="V31" s="76">
        <f>SUM(E31:U31)</f>
        <v>25981799252.008171</v>
      </c>
    </row>
    <row r="32" spans="2:22" x14ac:dyDescent="0.3">
      <c r="B32" s="84" t="s">
        <v>109</v>
      </c>
      <c r="C32" s="3" t="s">
        <v>105</v>
      </c>
      <c r="D32" s="86">
        <v>0.1</v>
      </c>
      <c r="E32" s="75">
        <v>0</v>
      </c>
      <c r="F32" s="75">
        <v>0</v>
      </c>
      <c r="G32" s="70">
        <f>+G31-(G31*$D$32)</f>
        <v>425156715.03286111</v>
      </c>
      <c r="H32" s="70">
        <f>+H31-(H31*$D$32)</f>
        <v>850313430.06572223</v>
      </c>
      <c r="I32" s="70">
        <f t="shared" ref="I32:U32" si="24">+I31-(I31*$D$32)</f>
        <v>1275470145.0985832</v>
      </c>
      <c r="J32" s="70">
        <f t="shared" si="24"/>
        <v>1700626860.1314445</v>
      </c>
      <c r="K32" s="70">
        <f t="shared" si="24"/>
        <v>2125783575.1643052</v>
      </c>
      <c r="L32" s="70">
        <f t="shared" si="24"/>
        <v>2125783575.1643052</v>
      </c>
      <c r="M32" s="70">
        <f t="shared" si="24"/>
        <v>2125783575.1643052</v>
      </c>
      <c r="N32" s="70">
        <f t="shared" si="24"/>
        <v>2125783575.1643052</v>
      </c>
      <c r="O32" s="70">
        <f t="shared" si="24"/>
        <v>2125783575.1643052</v>
      </c>
      <c r="P32" s="70">
        <f t="shared" si="24"/>
        <v>2125783575.1643052</v>
      </c>
      <c r="Q32" s="70">
        <f t="shared" si="24"/>
        <v>2125783575.1643052</v>
      </c>
      <c r="R32" s="70">
        <f t="shared" si="24"/>
        <v>1700626860.1314445</v>
      </c>
      <c r="S32" s="70">
        <f t="shared" si="24"/>
        <v>1275470145.0985832</v>
      </c>
      <c r="T32" s="70">
        <f t="shared" si="24"/>
        <v>850313430.06572223</v>
      </c>
      <c r="U32" s="70">
        <f t="shared" si="24"/>
        <v>425156715.03286111</v>
      </c>
      <c r="V32" s="76">
        <f t="shared" ref="V32:V34" si="25">SUM(E32:U32)</f>
        <v>23383619326.807354</v>
      </c>
    </row>
    <row r="33" spans="2:22" x14ac:dyDescent="0.3">
      <c r="B33" s="84"/>
      <c r="C33" s="3" t="s">
        <v>104</v>
      </c>
      <c r="D33" s="86">
        <v>0.1</v>
      </c>
      <c r="E33" s="75">
        <v>0</v>
      </c>
      <c r="F33" s="75">
        <v>0</v>
      </c>
      <c r="G33" s="70">
        <f>+G32-(G32*$D$33)</f>
        <v>382641043.52957499</v>
      </c>
      <c r="H33" s="70">
        <f>+H32-(H32*$D$33)</f>
        <v>765282087.05914998</v>
      </c>
      <c r="I33" s="70">
        <f t="shared" ref="I33:U33" si="26">+I32-(I32*$D$33)</f>
        <v>1147923130.5887249</v>
      </c>
      <c r="J33" s="70">
        <f t="shared" si="26"/>
        <v>1530564174.1183</v>
      </c>
      <c r="K33" s="70">
        <f t="shared" si="26"/>
        <v>1913205217.6478746</v>
      </c>
      <c r="L33" s="70">
        <f t="shared" si="26"/>
        <v>1913205217.6478746</v>
      </c>
      <c r="M33" s="70">
        <f t="shared" si="26"/>
        <v>1913205217.6478746</v>
      </c>
      <c r="N33" s="70">
        <f t="shared" si="26"/>
        <v>1913205217.6478746</v>
      </c>
      <c r="O33" s="70">
        <f t="shared" si="26"/>
        <v>1913205217.6478746</v>
      </c>
      <c r="P33" s="70">
        <f t="shared" si="26"/>
        <v>1913205217.6478746</v>
      </c>
      <c r="Q33" s="70">
        <f t="shared" si="26"/>
        <v>1913205217.6478746</v>
      </c>
      <c r="R33" s="70">
        <f t="shared" si="26"/>
        <v>1530564174.1183</v>
      </c>
      <c r="S33" s="70">
        <f t="shared" si="26"/>
        <v>1147923130.5887249</v>
      </c>
      <c r="T33" s="70">
        <f t="shared" si="26"/>
        <v>765282087.05914998</v>
      </c>
      <c r="U33" s="70">
        <f t="shared" si="26"/>
        <v>382641043.52957499</v>
      </c>
      <c r="V33" s="76">
        <f t="shared" si="25"/>
        <v>21045257394.126625</v>
      </c>
    </row>
    <row r="34" spans="2:22" x14ac:dyDescent="0.3">
      <c r="B34" s="84"/>
      <c r="C34" s="3" t="s">
        <v>103</v>
      </c>
      <c r="D34" s="85">
        <v>0.2</v>
      </c>
      <c r="E34" s="75">
        <v>0</v>
      </c>
      <c r="F34" s="75">
        <v>0</v>
      </c>
      <c r="G34" s="70">
        <f>+G33-(G33*$D$34)</f>
        <v>306112834.82366002</v>
      </c>
      <c r="H34" s="70">
        <f>+H33-(H33*$D$34)</f>
        <v>612225669.64732003</v>
      </c>
      <c r="I34" s="70">
        <f t="shared" ref="I34:U34" si="27">+I33-(I33*$D$34)</f>
        <v>918338504.47097993</v>
      </c>
      <c r="J34" s="70">
        <f t="shared" si="27"/>
        <v>1224451339.2946401</v>
      </c>
      <c r="K34" s="70">
        <f t="shared" si="27"/>
        <v>1530564174.1182997</v>
      </c>
      <c r="L34" s="70">
        <f t="shared" si="27"/>
        <v>1530564174.1182997</v>
      </c>
      <c r="M34" s="70">
        <f t="shared" si="27"/>
        <v>1530564174.1182997</v>
      </c>
      <c r="N34" s="70">
        <f t="shared" si="27"/>
        <v>1530564174.1182997</v>
      </c>
      <c r="O34" s="70">
        <f t="shared" si="27"/>
        <v>1530564174.1182997</v>
      </c>
      <c r="P34" s="70">
        <f t="shared" si="27"/>
        <v>1530564174.1182997</v>
      </c>
      <c r="Q34" s="70">
        <f t="shared" si="27"/>
        <v>1530564174.1182997</v>
      </c>
      <c r="R34" s="70">
        <f t="shared" si="27"/>
        <v>1224451339.2946401</v>
      </c>
      <c r="S34" s="70">
        <f t="shared" si="27"/>
        <v>918338504.47097993</v>
      </c>
      <c r="T34" s="70">
        <f t="shared" si="27"/>
        <v>612225669.64732003</v>
      </c>
      <c r="U34" s="70">
        <f t="shared" si="27"/>
        <v>306112834.82366002</v>
      </c>
      <c r="V34" s="76">
        <f t="shared" si="25"/>
        <v>16836205915.301296</v>
      </c>
    </row>
    <row r="35" spans="2:22" x14ac:dyDescent="0.3">
      <c r="B35" s="84"/>
      <c r="C35" s="3"/>
      <c r="D35" s="85"/>
      <c r="V35" s="78"/>
    </row>
    <row r="36" spans="2:22" x14ac:dyDescent="0.3">
      <c r="B36" s="84"/>
      <c r="C36" s="3" t="s">
        <v>122</v>
      </c>
      <c r="D36" s="86">
        <v>0</v>
      </c>
      <c r="E36" s="75">
        <v>0</v>
      </c>
      <c r="F36" s="75">
        <v>0</v>
      </c>
      <c r="G36" s="75">
        <v>277880205.90383077</v>
      </c>
      <c r="H36" s="75">
        <v>555760411.80766153</v>
      </c>
      <c r="I36" s="75">
        <v>833640617.7114923</v>
      </c>
      <c r="J36" s="75">
        <v>1111520823.6153231</v>
      </c>
      <c r="K36" s="75">
        <v>1389401029.5191538</v>
      </c>
      <c r="L36" s="75">
        <v>1389401029.5191538</v>
      </c>
      <c r="M36" s="75">
        <v>1389401029.5191538</v>
      </c>
      <c r="N36" s="75">
        <v>1389401029.5191538</v>
      </c>
      <c r="O36" s="75">
        <v>1389401029.5191538</v>
      </c>
      <c r="P36" s="75">
        <v>1389401029.5191538</v>
      </c>
      <c r="Q36" s="75">
        <v>1389401029.5191538</v>
      </c>
      <c r="R36" s="75">
        <v>1111520823.6153231</v>
      </c>
      <c r="S36" s="75">
        <v>833640617.7114923</v>
      </c>
      <c r="T36" s="75">
        <v>555760411.80766153</v>
      </c>
      <c r="U36" s="75">
        <v>277880205.90383077</v>
      </c>
      <c r="V36" s="76">
        <f>SUM(E36:U36)</f>
        <v>15283411324.710693</v>
      </c>
    </row>
    <row r="37" spans="2:22" x14ac:dyDescent="0.3">
      <c r="B37" s="84" t="s">
        <v>110</v>
      </c>
      <c r="C37" s="3" t="s">
        <v>105</v>
      </c>
      <c r="D37" s="86">
        <v>0.1</v>
      </c>
      <c r="G37" s="70">
        <f>+G36-(G36*$D$37)</f>
        <v>250092185.31344768</v>
      </c>
      <c r="H37" s="70">
        <f t="shared" ref="H37:U37" si="28">+H36-(H36*$D$37)</f>
        <v>500184370.62689537</v>
      </c>
      <c r="I37" s="70">
        <f t="shared" si="28"/>
        <v>750276555.94034302</v>
      </c>
      <c r="J37" s="70">
        <f t="shared" si="28"/>
        <v>1000368741.2537907</v>
      </c>
      <c r="K37" s="70">
        <f t="shared" si="28"/>
        <v>1250460926.5672383</v>
      </c>
      <c r="L37" s="70">
        <f t="shared" si="28"/>
        <v>1250460926.5672383</v>
      </c>
      <c r="M37" s="70">
        <f t="shared" si="28"/>
        <v>1250460926.5672383</v>
      </c>
      <c r="N37" s="70">
        <f t="shared" si="28"/>
        <v>1250460926.5672383</v>
      </c>
      <c r="O37" s="70">
        <f t="shared" si="28"/>
        <v>1250460926.5672383</v>
      </c>
      <c r="P37" s="70">
        <f t="shared" si="28"/>
        <v>1250460926.5672383</v>
      </c>
      <c r="Q37" s="70">
        <f t="shared" si="28"/>
        <v>1250460926.5672383</v>
      </c>
      <c r="R37" s="70">
        <f t="shared" si="28"/>
        <v>1000368741.2537907</v>
      </c>
      <c r="S37" s="70">
        <f t="shared" si="28"/>
        <v>750276555.94034302</v>
      </c>
      <c r="T37" s="70">
        <f t="shared" si="28"/>
        <v>500184370.62689537</v>
      </c>
      <c r="U37" s="70">
        <f t="shared" si="28"/>
        <v>250092185.31344768</v>
      </c>
      <c r="V37" s="76">
        <f t="shared" ref="V37:V39" si="29">SUM(E37:U37)</f>
        <v>13755070192.23962</v>
      </c>
    </row>
    <row r="38" spans="2:22" x14ac:dyDescent="0.3">
      <c r="B38" s="84"/>
      <c r="C38" s="3" t="s">
        <v>104</v>
      </c>
      <c r="D38" s="86">
        <v>0.1</v>
      </c>
      <c r="G38" s="70">
        <f>+G37-(G37*$D$38)</f>
        <v>225082966.78210291</v>
      </c>
      <c r="H38" s="70">
        <f t="shared" ref="H38:U38" si="30">+H37-(H37*$D$38)</f>
        <v>450165933.56420583</v>
      </c>
      <c r="I38" s="70">
        <f t="shared" si="30"/>
        <v>675248900.34630871</v>
      </c>
      <c r="J38" s="70">
        <f t="shared" si="30"/>
        <v>900331867.12841165</v>
      </c>
      <c r="K38" s="70">
        <f t="shared" si="30"/>
        <v>1125414833.9105146</v>
      </c>
      <c r="L38" s="70">
        <f t="shared" si="30"/>
        <v>1125414833.9105146</v>
      </c>
      <c r="M38" s="70">
        <f t="shared" si="30"/>
        <v>1125414833.9105146</v>
      </c>
      <c r="N38" s="70">
        <f t="shared" si="30"/>
        <v>1125414833.9105146</v>
      </c>
      <c r="O38" s="70">
        <f t="shared" si="30"/>
        <v>1125414833.9105146</v>
      </c>
      <c r="P38" s="70">
        <f t="shared" si="30"/>
        <v>1125414833.9105146</v>
      </c>
      <c r="Q38" s="70">
        <f t="shared" si="30"/>
        <v>1125414833.9105146</v>
      </c>
      <c r="R38" s="70">
        <f t="shared" si="30"/>
        <v>900331867.12841165</v>
      </c>
      <c r="S38" s="70">
        <f t="shared" si="30"/>
        <v>675248900.34630871</v>
      </c>
      <c r="T38" s="70">
        <f t="shared" si="30"/>
        <v>450165933.56420583</v>
      </c>
      <c r="U38" s="70">
        <f t="shared" si="30"/>
        <v>225082966.78210291</v>
      </c>
      <c r="V38" s="76">
        <f t="shared" si="29"/>
        <v>12379563173.015661</v>
      </c>
    </row>
    <row r="39" spans="2:22" ht="15" customHeight="1" x14ac:dyDescent="0.3">
      <c r="B39" s="84"/>
      <c r="C39" s="3" t="s">
        <v>103</v>
      </c>
      <c r="D39" s="86">
        <v>0.2</v>
      </c>
      <c r="G39" s="70">
        <f>+G38-(G38*$D$39)</f>
        <v>180066373.42568234</v>
      </c>
      <c r="H39" s="70">
        <f t="shared" ref="H39:U39" si="31">+H38-(H38*$D$39)</f>
        <v>360132746.85136467</v>
      </c>
      <c r="I39" s="70">
        <f t="shared" si="31"/>
        <v>540199120.27704692</v>
      </c>
      <c r="J39" s="70">
        <f t="shared" si="31"/>
        <v>720265493.70272934</v>
      </c>
      <c r="K39" s="70">
        <f t="shared" si="31"/>
        <v>900331867.12841165</v>
      </c>
      <c r="L39" s="70">
        <f t="shared" si="31"/>
        <v>900331867.12841165</v>
      </c>
      <c r="M39" s="70">
        <f t="shared" si="31"/>
        <v>900331867.12841165</v>
      </c>
      <c r="N39" s="70">
        <f t="shared" si="31"/>
        <v>900331867.12841165</v>
      </c>
      <c r="O39" s="70">
        <f t="shared" si="31"/>
        <v>900331867.12841165</v>
      </c>
      <c r="P39" s="70">
        <f t="shared" si="31"/>
        <v>900331867.12841165</v>
      </c>
      <c r="Q39" s="70">
        <f t="shared" si="31"/>
        <v>900331867.12841165</v>
      </c>
      <c r="R39" s="70">
        <f t="shared" si="31"/>
        <v>720265493.70272934</v>
      </c>
      <c r="S39" s="70">
        <f t="shared" si="31"/>
        <v>540199120.27704692</v>
      </c>
      <c r="T39" s="70">
        <f t="shared" si="31"/>
        <v>360132746.85136467</v>
      </c>
      <c r="U39" s="70">
        <f t="shared" si="31"/>
        <v>180066373.42568234</v>
      </c>
      <c r="V39" s="76">
        <f t="shared" si="29"/>
        <v>9903650538.4125252</v>
      </c>
    </row>
    <row r="40" spans="2:22" ht="15" customHeight="1" x14ac:dyDescent="0.3">
      <c r="B40" s="84"/>
      <c r="C40" s="3"/>
      <c r="D40" s="86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6"/>
    </row>
    <row r="41" spans="2:22" x14ac:dyDescent="0.3">
      <c r="B41" s="84"/>
      <c r="C41" s="3" t="s">
        <v>122</v>
      </c>
      <c r="D41" s="86">
        <v>0</v>
      </c>
      <c r="E41" s="75">
        <v>0</v>
      </c>
      <c r="F41" s="75">
        <v>0</v>
      </c>
      <c r="G41" s="75">
        <v>185253470.60255381</v>
      </c>
      <c r="H41" s="75">
        <v>370506941.20510763</v>
      </c>
      <c r="I41" s="75">
        <v>555760411.80766141</v>
      </c>
      <c r="J41" s="75">
        <v>741013882.41021526</v>
      </c>
      <c r="K41" s="75">
        <v>926267353.0127691</v>
      </c>
      <c r="L41" s="75">
        <v>926267353.0127691</v>
      </c>
      <c r="M41" s="75">
        <v>926267353.0127691</v>
      </c>
      <c r="N41" s="75">
        <v>926267353.0127691</v>
      </c>
      <c r="O41" s="75">
        <v>926267353.0127691</v>
      </c>
      <c r="P41" s="75">
        <v>926267353.0127691</v>
      </c>
      <c r="Q41" s="75">
        <v>926267353.0127691</v>
      </c>
      <c r="R41" s="75">
        <v>741013882.41021526</v>
      </c>
      <c r="S41" s="75">
        <v>555760411.80766141</v>
      </c>
      <c r="T41" s="75">
        <v>370506941.20510763</v>
      </c>
      <c r="U41" s="75">
        <v>185253470.60255381</v>
      </c>
      <c r="V41" s="76">
        <f>SUM(E41:U41)</f>
        <v>10188940883.140457</v>
      </c>
    </row>
    <row r="42" spans="2:22" x14ac:dyDescent="0.3">
      <c r="B42" s="84" t="s">
        <v>111</v>
      </c>
      <c r="C42" s="3" t="s">
        <v>105</v>
      </c>
      <c r="D42" s="86">
        <v>0.2</v>
      </c>
      <c r="E42" s="75">
        <v>0</v>
      </c>
      <c r="F42" s="75">
        <v>0</v>
      </c>
      <c r="G42" s="70">
        <f>+G41-(G41*$D$42)</f>
        <v>148202776.48204306</v>
      </c>
      <c r="H42" s="70">
        <f t="shared" ref="H42:U42" si="32">+H41-(H41*$D$42)</f>
        <v>296405552.96408612</v>
      </c>
      <c r="I42" s="70">
        <f t="shared" si="32"/>
        <v>444608329.44612914</v>
      </c>
      <c r="J42" s="70">
        <f t="shared" si="32"/>
        <v>592811105.92817223</v>
      </c>
      <c r="K42" s="70">
        <f t="shared" si="32"/>
        <v>741013882.41021526</v>
      </c>
      <c r="L42" s="70">
        <f t="shared" si="32"/>
        <v>741013882.41021526</v>
      </c>
      <c r="M42" s="70">
        <f t="shared" si="32"/>
        <v>741013882.41021526</v>
      </c>
      <c r="N42" s="70">
        <f t="shared" si="32"/>
        <v>741013882.41021526</v>
      </c>
      <c r="O42" s="70">
        <f t="shared" si="32"/>
        <v>741013882.41021526</v>
      </c>
      <c r="P42" s="70">
        <f t="shared" si="32"/>
        <v>741013882.41021526</v>
      </c>
      <c r="Q42" s="70">
        <f t="shared" si="32"/>
        <v>741013882.41021526</v>
      </c>
      <c r="R42" s="70">
        <f t="shared" si="32"/>
        <v>592811105.92817223</v>
      </c>
      <c r="S42" s="70">
        <f t="shared" si="32"/>
        <v>444608329.44612914</v>
      </c>
      <c r="T42" s="70">
        <f t="shared" si="32"/>
        <v>296405552.96408612</v>
      </c>
      <c r="U42" s="70">
        <f t="shared" si="32"/>
        <v>148202776.48204306</v>
      </c>
      <c r="V42" s="76">
        <f t="shared" ref="V42:V49" si="33">SUM(E42:U42)</f>
        <v>8151152706.5123692</v>
      </c>
    </row>
    <row r="43" spans="2:22" x14ac:dyDescent="0.3">
      <c r="B43" s="84"/>
      <c r="C43" s="3" t="s">
        <v>104</v>
      </c>
      <c r="D43" s="86">
        <v>0.2</v>
      </c>
      <c r="E43" s="75">
        <v>0</v>
      </c>
      <c r="F43" s="75">
        <v>0</v>
      </c>
      <c r="G43" s="70">
        <f>+G42-(G42*$D$43)</f>
        <v>118562221.18563445</v>
      </c>
      <c r="H43" s="70">
        <f t="shared" ref="H43:U43" si="34">+H42-(H42*$D$43)</f>
        <v>237124442.3712689</v>
      </c>
      <c r="I43" s="70">
        <f t="shared" si="34"/>
        <v>355686663.5569033</v>
      </c>
      <c r="J43" s="70">
        <f t="shared" si="34"/>
        <v>474248884.7425378</v>
      </c>
      <c r="K43" s="70">
        <f t="shared" si="34"/>
        <v>592811105.92817223</v>
      </c>
      <c r="L43" s="70">
        <f t="shared" si="34"/>
        <v>592811105.92817223</v>
      </c>
      <c r="M43" s="70">
        <f t="shared" si="34"/>
        <v>592811105.92817223</v>
      </c>
      <c r="N43" s="70">
        <f t="shared" si="34"/>
        <v>592811105.92817223</v>
      </c>
      <c r="O43" s="70">
        <f t="shared" si="34"/>
        <v>592811105.92817223</v>
      </c>
      <c r="P43" s="70">
        <f t="shared" si="34"/>
        <v>592811105.92817223</v>
      </c>
      <c r="Q43" s="70">
        <f t="shared" si="34"/>
        <v>592811105.92817223</v>
      </c>
      <c r="R43" s="70">
        <f t="shared" si="34"/>
        <v>474248884.7425378</v>
      </c>
      <c r="S43" s="70">
        <f t="shared" si="34"/>
        <v>355686663.5569033</v>
      </c>
      <c r="T43" s="70">
        <f t="shared" si="34"/>
        <v>237124442.3712689</v>
      </c>
      <c r="U43" s="70">
        <f t="shared" si="34"/>
        <v>118562221.18563445</v>
      </c>
      <c r="V43" s="76">
        <f t="shared" si="33"/>
        <v>6520922165.2098942</v>
      </c>
    </row>
    <row r="44" spans="2:22" x14ac:dyDescent="0.3">
      <c r="B44" s="84"/>
      <c r="C44" s="3" t="s">
        <v>103</v>
      </c>
      <c r="D44" s="86">
        <v>0.2</v>
      </c>
      <c r="E44" s="75">
        <v>0</v>
      </c>
      <c r="F44" s="75">
        <v>0</v>
      </c>
      <c r="G44" s="70">
        <f>+G43-(G43*$D$44)</f>
        <v>94849776.948507562</v>
      </c>
      <c r="H44" s="70">
        <f t="shared" ref="H44:U44" si="35">+H43-(H43*$D$44)</f>
        <v>189699553.89701512</v>
      </c>
      <c r="I44" s="70">
        <f t="shared" si="35"/>
        <v>284549330.84552264</v>
      </c>
      <c r="J44" s="70">
        <f t="shared" si="35"/>
        <v>379399107.79403025</v>
      </c>
      <c r="K44" s="70">
        <f t="shared" si="35"/>
        <v>474248884.7425378</v>
      </c>
      <c r="L44" s="70">
        <f t="shared" si="35"/>
        <v>474248884.7425378</v>
      </c>
      <c r="M44" s="70">
        <f t="shared" si="35"/>
        <v>474248884.7425378</v>
      </c>
      <c r="N44" s="70">
        <f t="shared" si="35"/>
        <v>474248884.7425378</v>
      </c>
      <c r="O44" s="70">
        <f t="shared" si="35"/>
        <v>474248884.7425378</v>
      </c>
      <c r="P44" s="70">
        <f t="shared" si="35"/>
        <v>474248884.7425378</v>
      </c>
      <c r="Q44" s="70">
        <f t="shared" si="35"/>
        <v>474248884.7425378</v>
      </c>
      <c r="R44" s="70">
        <f t="shared" si="35"/>
        <v>379399107.79403025</v>
      </c>
      <c r="S44" s="70">
        <f t="shared" si="35"/>
        <v>284549330.84552264</v>
      </c>
      <c r="T44" s="70">
        <f t="shared" si="35"/>
        <v>189699553.89701512</v>
      </c>
      <c r="U44" s="70">
        <f t="shared" si="35"/>
        <v>94849776.948507562</v>
      </c>
      <c r="V44" s="76">
        <f t="shared" si="33"/>
        <v>5216737732.1679173</v>
      </c>
    </row>
    <row r="45" spans="2:22" x14ac:dyDescent="0.3">
      <c r="B45" s="73"/>
      <c r="D45" s="2"/>
      <c r="V45" s="78"/>
    </row>
    <row r="46" spans="2:22" x14ac:dyDescent="0.3">
      <c r="B46" s="73"/>
      <c r="C46" s="3" t="s">
        <v>122</v>
      </c>
      <c r="D46" s="86"/>
      <c r="E46" s="70">
        <f>+E41+E36+E31+E26+E21+E15+E10</f>
        <v>0</v>
      </c>
      <c r="F46" s="70">
        <f t="shared" ref="F46:U46" si="36">+F41+F36+F31+F26+F21+F15+F10</f>
        <v>0</v>
      </c>
      <c r="G46" s="70">
        <f t="shared" si="36"/>
        <v>935530026.54289699</v>
      </c>
      <c r="H46" s="70">
        <f t="shared" si="36"/>
        <v>5785754699.8822441</v>
      </c>
      <c r="I46" s="70">
        <f t="shared" si="36"/>
        <v>10635979373.22159</v>
      </c>
      <c r="J46" s="70">
        <f t="shared" si="36"/>
        <v>15486204046.560936</v>
      </c>
      <c r="K46" s="70">
        <f t="shared" si="36"/>
        <v>20336428719.900284</v>
      </c>
      <c r="L46" s="70">
        <f t="shared" si="36"/>
        <v>24251123366.696732</v>
      </c>
      <c r="M46" s="70">
        <f t="shared" si="36"/>
        <v>24251123366.696732</v>
      </c>
      <c r="N46" s="70">
        <f t="shared" si="36"/>
        <v>24251123366.696732</v>
      </c>
      <c r="O46" s="70">
        <f t="shared" si="36"/>
        <v>24251123366.696732</v>
      </c>
      <c r="P46" s="70">
        <f t="shared" si="36"/>
        <v>24251123366.696732</v>
      </c>
      <c r="Q46" s="70">
        <f t="shared" si="36"/>
        <v>24251123366.696732</v>
      </c>
      <c r="R46" s="70">
        <f t="shared" si="36"/>
        <v>19400898693.357384</v>
      </c>
      <c r="S46" s="70">
        <f t="shared" si="36"/>
        <v>14550674020.018038</v>
      </c>
      <c r="T46" s="70">
        <f t="shared" si="36"/>
        <v>9700449346.6786919</v>
      </c>
      <c r="U46" s="70">
        <f t="shared" si="36"/>
        <v>4850224673.3393459</v>
      </c>
      <c r="V46" s="76">
        <f t="shared" si="33"/>
        <v>247188883799.68179</v>
      </c>
    </row>
    <row r="47" spans="2:22" x14ac:dyDescent="0.3">
      <c r="B47" s="73"/>
      <c r="C47" s="3" t="s">
        <v>105</v>
      </c>
      <c r="E47" s="70">
        <f>+E42+E37+E32+E27+E22+E16+E11</f>
        <v>0</v>
      </c>
      <c r="F47" s="70">
        <f t="shared" ref="F47:U49" si="37">+F42+F37+F32+F27+F22+F16+F11</f>
        <v>0</v>
      </c>
      <c r="G47" s="70">
        <f t="shared" si="37"/>
        <v>823451676.82835186</v>
      </c>
      <c r="H47" s="70">
        <f t="shared" si="37"/>
        <v>5091834642.8375788</v>
      </c>
      <c r="I47" s="70">
        <f t="shared" si="37"/>
        <v>9360217608.8468056</v>
      </c>
      <c r="J47" s="70">
        <f t="shared" si="37"/>
        <v>13628600574.856033</v>
      </c>
      <c r="K47" s="70">
        <f t="shared" si="37"/>
        <v>17896983540.865261</v>
      </c>
      <c r="L47" s="70">
        <f t="shared" si="37"/>
        <v>21341914830.046135</v>
      </c>
      <c r="M47" s="70">
        <f t="shared" si="37"/>
        <v>21341914830.046135</v>
      </c>
      <c r="N47" s="70">
        <f t="shared" si="37"/>
        <v>21341914830.046135</v>
      </c>
      <c r="O47" s="70">
        <f t="shared" si="37"/>
        <v>21341914830.046135</v>
      </c>
      <c r="P47" s="70">
        <f t="shared" si="37"/>
        <v>21341914830.046135</v>
      </c>
      <c r="Q47" s="70">
        <f t="shared" si="37"/>
        <v>21341914830.046135</v>
      </c>
      <c r="R47" s="70">
        <f t="shared" si="37"/>
        <v>17073531864.036911</v>
      </c>
      <c r="S47" s="70">
        <f t="shared" si="37"/>
        <v>12805148898.027679</v>
      </c>
      <c r="T47" s="70">
        <f t="shared" si="37"/>
        <v>8536765932.0184555</v>
      </c>
      <c r="U47" s="70">
        <f t="shared" si="37"/>
        <v>4268382966.0092278</v>
      </c>
      <c r="V47" s="76">
        <f t="shared" si="33"/>
        <v>217536406684.60315</v>
      </c>
    </row>
    <row r="48" spans="2:22" x14ac:dyDescent="0.3">
      <c r="B48" s="73"/>
      <c r="C48" s="3" t="s">
        <v>104</v>
      </c>
      <c r="E48" s="70">
        <f t="shared" ref="E48:T49" si="38">+E43+E38+E33+E28+E23+E17+E12</f>
        <v>0</v>
      </c>
      <c r="F48" s="70">
        <f t="shared" si="38"/>
        <v>0</v>
      </c>
      <c r="G48" s="70">
        <f t="shared" si="38"/>
        <v>726286231.49731231</v>
      </c>
      <c r="H48" s="70">
        <f t="shared" si="38"/>
        <v>4043541077.0814748</v>
      </c>
      <c r="I48" s="70">
        <f t="shared" si="38"/>
        <v>7360795922.665637</v>
      </c>
      <c r="J48" s="70">
        <f t="shared" si="38"/>
        <v>10678050768.249798</v>
      </c>
      <c r="K48" s="70">
        <f t="shared" si="38"/>
        <v>13995305613.833961</v>
      </c>
      <c r="L48" s="70">
        <f t="shared" si="38"/>
        <v>16586274227.920811</v>
      </c>
      <c r="M48" s="70">
        <f t="shared" si="38"/>
        <v>16586274227.920811</v>
      </c>
      <c r="N48" s="70">
        <f t="shared" si="38"/>
        <v>16586274227.920811</v>
      </c>
      <c r="O48" s="70">
        <f t="shared" si="38"/>
        <v>16586274227.920811</v>
      </c>
      <c r="P48" s="70">
        <f t="shared" si="38"/>
        <v>16586274227.920811</v>
      </c>
      <c r="Q48" s="70">
        <f t="shared" si="38"/>
        <v>16586274227.920811</v>
      </c>
      <c r="R48" s="70">
        <f t="shared" si="38"/>
        <v>13269019382.336647</v>
      </c>
      <c r="S48" s="70">
        <f t="shared" si="38"/>
        <v>9951764536.7524872</v>
      </c>
      <c r="T48" s="70">
        <f t="shared" si="38"/>
        <v>6634509691.1683235</v>
      </c>
      <c r="U48" s="70">
        <f t="shared" si="37"/>
        <v>3317254845.5841618</v>
      </c>
      <c r="V48" s="76">
        <f t="shared" si="33"/>
        <v>169494173436.69464</v>
      </c>
    </row>
    <row r="49" spans="2:22" ht="15" thickBot="1" x14ac:dyDescent="0.35">
      <c r="B49" s="80"/>
      <c r="C49" s="3" t="s">
        <v>103</v>
      </c>
      <c r="D49" s="81"/>
      <c r="E49" s="70">
        <f t="shared" si="38"/>
        <v>0</v>
      </c>
      <c r="F49" s="70">
        <f t="shared" si="37"/>
        <v>0</v>
      </c>
      <c r="G49" s="70">
        <f t="shared" si="37"/>
        <v>581028985.19784999</v>
      </c>
      <c r="H49" s="70">
        <f t="shared" si="37"/>
        <v>3402186057.8157282</v>
      </c>
      <c r="I49" s="70">
        <f t="shared" si="37"/>
        <v>6223343130.4336052</v>
      </c>
      <c r="J49" s="70">
        <f t="shared" si="37"/>
        <v>9044500203.0514832</v>
      </c>
      <c r="K49" s="70">
        <f t="shared" si="37"/>
        <v>11865657275.669361</v>
      </c>
      <c r="L49" s="70">
        <f t="shared" si="37"/>
        <v>14105785363.08939</v>
      </c>
      <c r="M49" s="70">
        <f t="shared" si="37"/>
        <v>14105785363.08939</v>
      </c>
      <c r="N49" s="70">
        <f t="shared" si="37"/>
        <v>14105785363.08939</v>
      </c>
      <c r="O49" s="70">
        <f t="shared" si="37"/>
        <v>14105785363.08939</v>
      </c>
      <c r="P49" s="70">
        <f t="shared" si="37"/>
        <v>14105785363.08939</v>
      </c>
      <c r="Q49" s="70">
        <f t="shared" si="37"/>
        <v>14105785363.08939</v>
      </c>
      <c r="R49" s="70">
        <f t="shared" si="37"/>
        <v>11284628290.471512</v>
      </c>
      <c r="S49" s="70">
        <f t="shared" si="37"/>
        <v>8463471217.8536348</v>
      </c>
      <c r="T49" s="70">
        <f t="shared" si="37"/>
        <v>5642314145.2357559</v>
      </c>
      <c r="U49" s="70">
        <f t="shared" si="37"/>
        <v>2821157072.617878</v>
      </c>
      <c r="V49" s="76">
        <f t="shared" si="33"/>
        <v>143962998556.88315</v>
      </c>
    </row>
    <row r="53" spans="2:22" x14ac:dyDescent="0.3">
      <c r="U53" s="3" t="s">
        <v>113</v>
      </c>
      <c r="V53" s="79">
        <f>+V41+V36+V31+V26+V21+V15+V10</f>
        <v>247188883799.68179</v>
      </c>
    </row>
    <row r="54" spans="2:22" x14ac:dyDescent="0.3">
      <c r="U54" s="3" t="s">
        <v>114</v>
      </c>
      <c r="V54" s="79">
        <f>+V42+V37+V32+V27+V22+V16+V11</f>
        <v>217536406684.60309</v>
      </c>
    </row>
    <row r="55" spans="2:22" x14ac:dyDescent="0.3">
      <c r="U55" s="3" t="s">
        <v>115</v>
      </c>
      <c r="V55" s="79">
        <f>+V43+V38+V33+V28+V23+V17+V12</f>
        <v>169494173436.6947</v>
      </c>
    </row>
    <row r="56" spans="2:22" ht="15" thickBot="1" x14ac:dyDescent="0.35">
      <c r="U56" s="82" t="s">
        <v>116</v>
      </c>
      <c r="V56" s="83">
        <f>+V44+V39+V34+V29+V24+V18+V13</f>
        <v>143962998556.88315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4EBD1-F0A5-4765-BEA6-34D4F6B7CAD5}">
  <dimension ref="C2:L26"/>
  <sheetViews>
    <sheetView showGridLines="0" workbookViewId="0">
      <selection activeCell="N20" sqref="N20"/>
    </sheetView>
  </sheetViews>
  <sheetFormatPr baseColWidth="10" defaultRowHeight="14.4" x14ac:dyDescent="0.3"/>
  <cols>
    <col min="2" max="2" width="17.5546875" customWidth="1"/>
    <col min="3" max="3" width="12.88671875" customWidth="1"/>
    <col min="4" max="4" width="14.5546875" customWidth="1"/>
    <col min="5" max="5" width="14.21875" customWidth="1"/>
    <col min="7" max="7" width="14.88671875" customWidth="1"/>
  </cols>
  <sheetData>
    <row r="2" spans="3:7" ht="15" thickBot="1" x14ac:dyDescent="0.35"/>
    <row r="3" spans="3:7" x14ac:dyDescent="0.3">
      <c r="C3" s="71" t="s">
        <v>136</v>
      </c>
      <c r="D3" s="72" t="s">
        <v>137</v>
      </c>
      <c r="E3" s="72" t="s">
        <v>124</v>
      </c>
      <c r="F3" s="72" t="s">
        <v>125</v>
      </c>
      <c r="G3" s="103"/>
    </row>
    <row r="4" spans="3:7" x14ac:dyDescent="0.3">
      <c r="C4" s="115">
        <v>0.7</v>
      </c>
      <c r="D4" s="116" t="s">
        <v>120</v>
      </c>
      <c r="E4" s="116">
        <v>1</v>
      </c>
      <c r="F4" s="116">
        <v>4</v>
      </c>
      <c r="G4" s="78"/>
    </row>
    <row r="5" spans="3:7" x14ac:dyDescent="0.3">
      <c r="C5" s="115">
        <v>0.1</v>
      </c>
      <c r="D5" s="116" t="s">
        <v>118</v>
      </c>
      <c r="E5" s="116">
        <v>3</v>
      </c>
      <c r="F5" s="116">
        <v>3</v>
      </c>
      <c r="G5" s="78"/>
    </row>
    <row r="6" spans="3:7" x14ac:dyDescent="0.3">
      <c r="C6" s="115">
        <v>0.1</v>
      </c>
      <c r="D6" s="116" t="s">
        <v>119</v>
      </c>
      <c r="E6" s="116">
        <v>4</v>
      </c>
      <c r="F6" s="116">
        <v>3</v>
      </c>
      <c r="G6" s="78"/>
    </row>
    <row r="7" spans="3:7" x14ac:dyDescent="0.3">
      <c r="C7" s="115">
        <v>0.1</v>
      </c>
      <c r="D7" s="116" t="s">
        <v>116</v>
      </c>
      <c r="E7" s="116">
        <v>5</v>
      </c>
      <c r="F7" s="116">
        <v>3</v>
      </c>
      <c r="G7" s="78"/>
    </row>
    <row r="8" spans="3:7" x14ac:dyDescent="0.3">
      <c r="C8" s="73"/>
      <c r="D8" s="116"/>
      <c r="E8" s="116"/>
      <c r="F8" s="116"/>
      <c r="G8" s="78"/>
    </row>
    <row r="9" spans="3:7" x14ac:dyDescent="0.3">
      <c r="C9" s="73"/>
      <c r="D9" s="116">
        <v>1</v>
      </c>
      <c r="E9" s="116" t="s">
        <v>126</v>
      </c>
      <c r="F9" s="116">
        <v>1</v>
      </c>
      <c r="G9" s="78" t="s">
        <v>131</v>
      </c>
    </row>
    <row r="10" spans="3:7" x14ac:dyDescent="0.3">
      <c r="C10" s="73"/>
      <c r="D10" s="116">
        <v>2</v>
      </c>
      <c r="E10" s="116" t="s">
        <v>128</v>
      </c>
      <c r="F10" s="116">
        <v>2</v>
      </c>
      <c r="G10" s="78" t="s">
        <v>132</v>
      </c>
    </row>
    <row r="11" spans="3:7" x14ac:dyDescent="0.3">
      <c r="C11" s="73"/>
      <c r="D11" s="116">
        <v>3</v>
      </c>
      <c r="E11" s="116" t="s">
        <v>127</v>
      </c>
      <c r="F11" s="116">
        <v>3</v>
      </c>
      <c r="G11" s="78" t="s">
        <v>133</v>
      </c>
    </row>
    <row r="12" spans="3:7" x14ac:dyDescent="0.3">
      <c r="C12" s="73"/>
      <c r="D12" s="116">
        <v>4</v>
      </c>
      <c r="E12" s="116" t="s">
        <v>129</v>
      </c>
      <c r="F12" s="116">
        <v>4</v>
      </c>
      <c r="G12" s="78" t="s">
        <v>134</v>
      </c>
    </row>
    <row r="13" spans="3:7" ht="15" thickBot="1" x14ac:dyDescent="0.35">
      <c r="C13" s="80"/>
      <c r="D13" s="81">
        <v>5</v>
      </c>
      <c r="E13" s="81" t="s">
        <v>130</v>
      </c>
      <c r="F13" s="81">
        <v>5</v>
      </c>
      <c r="G13" s="117" t="s">
        <v>135</v>
      </c>
    </row>
    <row r="17" spans="3:12" ht="15" thickBot="1" x14ac:dyDescent="0.35"/>
    <row r="18" spans="3:12" x14ac:dyDescent="0.3">
      <c r="E18" s="71"/>
      <c r="F18" s="88" t="str">
        <f>+ESCENARIOS!B11</f>
        <v>Café</v>
      </c>
      <c r="G18" s="88" t="str">
        <f>+ESCENARIOS!B16</f>
        <v>Cardamomo</v>
      </c>
      <c r="H18" s="88" t="str">
        <f>+ESCENARIOS!B22</f>
        <v xml:space="preserve">Citricos </v>
      </c>
      <c r="I18" s="88" t="str">
        <f>+ESCENARIOS!B27</f>
        <v xml:space="preserve">Aguacate </v>
      </c>
      <c r="J18" s="88" t="str">
        <f>+ESCENARIOS!B32</f>
        <v>Platano</v>
      </c>
      <c r="K18" s="88" t="str">
        <f>+ESCENARIOS!B37</f>
        <v xml:space="preserve">Gulupa </v>
      </c>
      <c r="L18" s="89" t="str">
        <f>+ESCENARIOS!B42</f>
        <v>Hortalizas</v>
      </c>
    </row>
    <row r="19" spans="3:12" x14ac:dyDescent="0.3">
      <c r="C19" s="21"/>
      <c r="E19" s="84" t="s">
        <v>120</v>
      </c>
      <c r="F19" s="90">
        <f>+ESCENARIOS!D10</f>
        <v>0</v>
      </c>
      <c r="G19" s="91">
        <f>+ESCENARIOS!D15</f>
        <v>0</v>
      </c>
      <c r="H19" s="90">
        <f>+ESCENARIOS!D21</f>
        <v>0</v>
      </c>
      <c r="I19" s="90">
        <f>+ESCENARIOS!D26</f>
        <v>0</v>
      </c>
      <c r="J19" s="90">
        <f>+ESCENARIOS!D31</f>
        <v>0</v>
      </c>
      <c r="K19" s="90">
        <f>+ESCENARIOS!D36</f>
        <v>0</v>
      </c>
      <c r="L19" s="92">
        <f>+ESCENARIOS!D41</f>
        <v>0</v>
      </c>
    </row>
    <row r="20" spans="3:12" x14ac:dyDescent="0.3">
      <c r="C20" s="21"/>
      <c r="E20" s="84" t="s">
        <v>118</v>
      </c>
      <c r="F20" s="90">
        <f>+ESCENARIOS!D11</f>
        <v>0.1</v>
      </c>
      <c r="G20" s="90">
        <f>+ESCENARIOS!D16</f>
        <v>0.1</v>
      </c>
      <c r="H20" s="90">
        <f>+ESCENARIOS!D22</f>
        <v>0.1</v>
      </c>
      <c r="I20" s="90">
        <f>+ESCENARIOS!D27</f>
        <v>0.2</v>
      </c>
      <c r="J20" s="90">
        <f>+ESCENARIOS!D32</f>
        <v>0.1</v>
      </c>
      <c r="K20" s="90">
        <f>+ESCENARIOS!D37</f>
        <v>0.1</v>
      </c>
      <c r="L20" s="92">
        <f>+ESCENARIOS!D42</f>
        <v>0.2</v>
      </c>
    </row>
    <row r="21" spans="3:12" x14ac:dyDescent="0.3">
      <c r="C21" s="21"/>
      <c r="E21" s="84" t="s">
        <v>119</v>
      </c>
      <c r="F21" s="90">
        <f>+ESCENARIOS!D12</f>
        <v>0.3</v>
      </c>
      <c r="G21" s="90">
        <f>+ESCENARIOS!D17</f>
        <v>0.3</v>
      </c>
      <c r="H21" s="90">
        <f>+ESCENARIOS!D23</f>
        <v>0.1</v>
      </c>
      <c r="I21" s="90">
        <f>+ESCENARIOS!D28</f>
        <v>0.15</v>
      </c>
      <c r="J21" s="90">
        <f>+ESCENARIOS!D33</f>
        <v>0.1</v>
      </c>
      <c r="K21" s="90">
        <f>+ESCENARIOS!D38</f>
        <v>0.1</v>
      </c>
      <c r="L21" s="92">
        <f>+ESCENARIOS!D43</f>
        <v>0.2</v>
      </c>
    </row>
    <row r="22" spans="3:12" ht="15" thickBot="1" x14ac:dyDescent="0.35">
      <c r="C22" s="21"/>
      <c r="E22" s="87" t="s">
        <v>116</v>
      </c>
      <c r="F22" s="93">
        <f>+ESCENARIOS!D13</f>
        <v>0.1</v>
      </c>
      <c r="G22" s="93">
        <f>+ESCENARIOS!D18</f>
        <v>0.1</v>
      </c>
      <c r="H22" s="93">
        <f>+ESCENARIOS!D24</f>
        <v>0.2</v>
      </c>
      <c r="I22" s="93">
        <f>+ESCENARIOS!D29</f>
        <v>0.2</v>
      </c>
      <c r="J22" s="93">
        <f>+ESCENARIOS!D34</f>
        <v>0.2</v>
      </c>
      <c r="K22" s="93">
        <f>+ESCENARIOS!D39</f>
        <v>0.2</v>
      </c>
      <c r="L22" s="94">
        <f>+ESCENARIOS!D44</f>
        <v>0.2</v>
      </c>
    </row>
    <row r="25" spans="3:12" x14ac:dyDescent="0.3">
      <c r="E25" s="102"/>
    </row>
    <row r="26" spans="3:12" x14ac:dyDescent="0.3">
      <c r="E26" s="102"/>
    </row>
  </sheetData>
  <conditionalFormatting sqref="F19:L2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17</vt:i4>
      </vt:variant>
    </vt:vector>
  </HeadingPairs>
  <TitlesOfParts>
    <vt:vector size="21" baseType="lpstr">
      <vt:lpstr>ConfigCreditos</vt:lpstr>
      <vt:lpstr>FC</vt:lpstr>
      <vt:lpstr>ESCENARIOS</vt:lpstr>
      <vt:lpstr>MAPA CALOR</vt:lpstr>
      <vt:lpstr>FC_0</vt:lpstr>
      <vt:lpstr>FC_1</vt:lpstr>
      <vt:lpstr>FC_10</vt:lpstr>
      <vt:lpstr>FC_2</vt:lpstr>
      <vt:lpstr>FC_3</vt:lpstr>
      <vt:lpstr>FC_4</vt:lpstr>
      <vt:lpstr>FC_5</vt:lpstr>
      <vt:lpstr>FC_6</vt:lpstr>
      <vt:lpstr>FC_7</vt:lpstr>
      <vt:lpstr>FC_8</vt:lpstr>
      <vt:lpstr>FC_9</vt:lpstr>
      <vt:lpstr>PRI</vt:lpstr>
      <vt:lpstr>RBC</vt:lpstr>
      <vt:lpstr>TIO</vt:lpstr>
      <vt:lpstr>TIR</vt:lpstr>
      <vt:lpstr>VAUE</vt:lpstr>
      <vt:lpstr>VPN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Mauricio Tobar Guinand</dc:creator>
  <cp:lastModifiedBy>SEBASTIAN pulgarin monsalve</cp:lastModifiedBy>
  <dcterms:created xsi:type="dcterms:W3CDTF">2019-05-09T01:12:37Z</dcterms:created>
  <dcterms:modified xsi:type="dcterms:W3CDTF">2024-05-10T04:12:08Z</dcterms:modified>
</cp:coreProperties>
</file>