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https://ingeniomayaguez-my.sharepoint.com/personal/demoreno_ingeniomayaguez_com/Documents/Escritorio/Tesis MAF/EXCEL INPUTS/"/>
    </mc:Choice>
  </mc:AlternateContent>
  <xr:revisionPtr revIDLastSave="359" documentId="13_ncr:1_{6D03E07A-1758-4470-AB5D-B1500BDE8537}" xr6:coauthVersionLast="47" xr6:coauthVersionMax="47" xr10:uidLastSave="{BBF21758-5407-444E-855F-A0F8FD3F4A31}"/>
  <bookViews>
    <workbookView xWindow="13550" yWindow="-110" windowWidth="19420" windowHeight="10300" tabRatio="805" activeTab="2" xr2:uid="{00000000-000D-0000-FFFF-FFFF00000000}"/>
  </bookViews>
  <sheets>
    <sheet name="Macros" sheetId="1" r:id="rId1"/>
    <sheet name="Politicas" sheetId="12" r:id="rId2"/>
    <sheet name="EEFF" sheetId="4" r:id="rId3"/>
    <sheet name="WACC" sheetId="17" r:id="rId4"/>
    <sheet name="RiskSim" sheetId="31" state="veryHidden" r:id="rId5"/>
    <sheet name="EVA" sheetId="20" r:id="rId6"/>
    <sheet name="Tornado EVA 2025" sheetId="33" r:id="rId7"/>
    <sheet name="Tornado VPN" sheetId="29" r:id="rId8"/>
    <sheet name="Z-SCORE ALTMAN" sheetId="22" r:id="rId9"/>
    <sheet name="Sensibilidad" sheetId="30" r:id="rId10"/>
    <sheet name="Tablas EVA" sheetId="34" r:id="rId11"/>
    <sheet name="INDICADORES FINAN.TRADICIONALES" sheetId="24" r:id="rId12"/>
    <sheet name="GRAFICAS" sheetId="25" r:id="rId13"/>
    <sheet name="TABLA" sheetId="26" r:id="rId14"/>
    <sheet name="TABLAS FIN TRADICIONALES" sheetId="32" r:id="rId15"/>
    <sheet name="Valoración" sheetId="7" state="hidden" r:id="rId16"/>
    <sheet name="BG a Nov" sheetId="14" state="hidden" r:id="rId17"/>
    <sheet name="ER a Nov" sheetId="13" state="hidden" r:id="rId18"/>
    <sheet name="resumen" sheetId="18" state="hidden" r:id="rId19"/>
  </sheets>
  <definedNames>
    <definedName name="________________________a3" localSheetId="14" hidden="1">{#N/A,#N/A,FALSE,"Cronograma";#N/A,#N/A,FALSE,"Cronogr. 2"}</definedName>
    <definedName name="________________________a3" hidden="1">{#N/A,#N/A,FALSE,"Cronograma";#N/A,#N/A,FALSE,"Cronogr. 2"}</definedName>
    <definedName name="______________________a3" localSheetId="14" hidden="1">{#N/A,#N/A,FALSE,"Cronograma";#N/A,#N/A,FALSE,"Cronogr. 2"}</definedName>
    <definedName name="______________________a3" hidden="1">{#N/A,#N/A,FALSE,"Cronograma";#N/A,#N/A,FALSE,"Cronogr. 2"}</definedName>
    <definedName name="_____________________a3" localSheetId="14" hidden="1">{#N/A,#N/A,FALSE,"Cronograma";#N/A,#N/A,FALSE,"Cronogr. 2"}</definedName>
    <definedName name="_____________________a3" hidden="1">{#N/A,#N/A,FALSE,"Cronograma";#N/A,#N/A,FALSE,"Cronogr. 2"}</definedName>
    <definedName name="____________________SET2006" localSheetId="14" hidden="1">{#N/A,#N/A,FALSE,"Cronograma";#N/A,#N/A,FALSE,"Cronogr. 2"}</definedName>
    <definedName name="____________________SET2006" hidden="1">{#N/A,#N/A,FALSE,"Cronograma";#N/A,#N/A,FALSE,"Cronogr. 2"}</definedName>
    <definedName name="___________________a3" localSheetId="14" hidden="1">{#N/A,#N/A,FALSE,"Cronograma";#N/A,#N/A,FALSE,"Cronogr. 2"}</definedName>
    <definedName name="___________________a3" hidden="1">{#N/A,#N/A,FALSE,"Cronograma";#N/A,#N/A,FALSE,"Cronogr. 2"}</definedName>
    <definedName name="__________________a3" localSheetId="14" hidden="1">{#N/A,#N/A,FALSE,"Cronograma";#N/A,#N/A,FALSE,"Cronogr. 2"}</definedName>
    <definedName name="__________________a3" hidden="1">{#N/A,#N/A,FALSE,"Cronograma";#N/A,#N/A,FALSE,"Cronogr. 2"}</definedName>
    <definedName name="__________________SET2006" localSheetId="14" hidden="1">{#N/A,#N/A,FALSE,"Cronograma";#N/A,#N/A,FALSE,"Cronogr. 2"}</definedName>
    <definedName name="__________________SET2006" hidden="1">{#N/A,#N/A,FALSE,"Cronograma";#N/A,#N/A,FALSE,"Cronogr. 2"}</definedName>
    <definedName name="_________________a3" localSheetId="14" hidden="1">{#N/A,#N/A,FALSE,"Cronograma";#N/A,#N/A,FALSE,"Cronogr. 2"}</definedName>
    <definedName name="_________________a3" hidden="1">{#N/A,#N/A,FALSE,"Cronograma";#N/A,#N/A,FALSE,"Cronogr. 2"}</definedName>
    <definedName name="_________________SET2006" localSheetId="14" hidden="1">{#N/A,#N/A,FALSE,"Cronograma";#N/A,#N/A,FALSE,"Cronogr. 2"}</definedName>
    <definedName name="_________________SET2006" hidden="1">{#N/A,#N/A,FALSE,"Cronograma";#N/A,#N/A,FALSE,"Cronogr. 2"}</definedName>
    <definedName name="________________a3" localSheetId="14" hidden="1">{#N/A,#N/A,FALSE,"Cronograma";#N/A,#N/A,FALSE,"Cronogr. 2"}</definedName>
    <definedName name="________________a3" hidden="1">{#N/A,#N/A,FALSE,"Cronograma";#N/A,#N/A,FALSE,"Cronogr. 2"}</definedName>
    <definedName name="________________SET2006" localSheetId="14" hidden="1">{#N/A,#N/A,FALSE,"Cronograma";#N/A,#N/A,FALSE,"Cronogr. 2"}</definedName>
    <definedName name="________________SET2006" hidden="1">{#N/A,#N/A,FALSE,"Cronograma";#N/A,#N/A,FALSE,"Cronogr. 2"}</definedName>
    <definedName name="_______________a3" localSheetId="14" hidden="1">{#N/A,#N/A,FALSE,"Cronograma";#N/A,#N/A,FALSE,"Cronogr. 2"}</definedName>
    <definedName name="_______________a3" hidden="1">{#N/A,#N/A,FALSE,"Cronograma";#N/A,#N/A,FALSE,"Cronogr. 2"}</definedName>
    <definedName name="______________a1" localSheetId="14" hidden="1">{"PET1",#N/A,TRUE,"PET";"PET2",#N/A,TRUE,"PET";"PET3",#N/A,TRUE,"PET";"GLASS1",#N/A,TRUE,"GLASS"}</definedName>
    <definedName name="______________a1" hidden="1">{"PET1",#N/A,TRUE,"PET";"PET2",#N/A,TRUE,"PET";"PET3",#N/A,TRUE,"PET";"GLASS1",#N/A,TRUE,"GLASS"}</definedName>
    <definedName name="______________a3" localSheetId="14" hidden="1">{#N/A,#N/A,FALSE,"Cronograma";#N/A,#N/A,FALSE,"Cronogr. 2"}</definedName>
    <definedName name="______________a3" hidden="1">{#N/A,#N/A,FALSE,"Cronograma";#N/A,#N/A,FALSE,"Cronogr. 2"}</definedName>
    <definedName name="______________CED10" localSheetId="14" hidden="1">{"Prenissas",#N/A,FALSE,"Consolidado (3)";"Lucros000",#N/A,FALSE,"Consolidado (3)";"LucrosHL",#N/A,FALSE,"Consolidado (3)";"Balanco",#N/A,FALSE,"Consolidado (3)";"FluxoC",#N/A,FALSE,"Consolidado (3)"}</definedName>
    <definedName name="______________CED10" hidden="1">{"Prenissas",#N/A,FALSE,"Consolidado (3)";"Lucros000",#N/A,FALSE,"Consolidado (3)";"LucrosHL",#N/A,FALSE,"Consolidado (3)";"Balanco",#N/A,FALSE,"Consolidado (3)";"FluxoC",#N/A,FALSE,"Consolidado (3)"}</definedName>
    <definedName name="______________CED101" localSheetId="14" hidden="1">{"Prenissas",#N/A,FALSE,"Consolidado (3)";"Lucros000",#N/A,FALSE,"Consolidado (3)";"LucrosHL",#N/A,FALSE,"Consolidado (3)";"Balanco",#N/A,FALSE,"Consolidado (3)";"FluxoC",#N/A,FALSE,"Consolidado (3)"}</definedName>
    <definedName name="______________CED101" hidden="1">{"Prenissas",#N/A,FALSE,"Consolidado (3)";"Lucros000",#N/A,FALSE,"Consolidado (3)";"LucrosHL",#N/A,FALSE,"Consolidado (3)";"Balanco",#N/A,FALSE,"Consolidado (3)";"FluxoC",#N/A,FALSE,"Consolidado (3)"}</definedName>
    <definedName name="______________CED11" localSheetId="14" hidden="1">{"miles",#N/A,FALSE,"LUCROS E PERDAS (US$ 000)";"hl",#N/A,FALSE,"LUCROS E PERDAS (US$ 000)"}</definedName>
    <definedName name="______________CED11" hidden="1">{"miles",#N/A,FALSE,"LUCROS E PERDAS (US$ 000)";"hl",#N/A,FALSE,"LUCROS E PERDAS (US$ 000)"}</definedName>
    <definedName name="______________CED112" localSheetId="14" hidden="1">{"miles",#N/A,FALSE,"LUCROS E PERDAS (US$ 000)";"hl",#N/A,FALSE,"LUCROS E PERDAS (US$ 000)"}</definedName>
    <definedName name="______________CED112" hidden="1">{"miles",#N/A,FALSE,"LUCROS E PERDAS (US$ 000)";"hl",#N/A,FALSE,"LUCROS E PERDAS (US$ 000)"}</definedName>
    <definedName name="______________ds13" localSheetId="14" hidden="1">{#N/A,#N/A,FALSE,"PRECIO FULL";#N/A,#N/A,FALSE,"LARA";#N/A,#N/A,FALSE,"CARACAS";#N/A,#N/A,FALSE,"DISBRACENTRO";#N/A,#N/A,FALSE,"ANDES";#N/A,#N/A,FALSE,"MAR CARIBE";#N/A,#N/A,FALSE,"RIO BEER";#N/A,#N/A,FALSE,"DISBRAH"}</definedName>
    <definedName name="______________ds13" hidden="1">{#N/A,#N/A,FALSE,"PRECIO FULL";#N/A,#N/A,FALSE,"LARA";#N/A,#N/A,FALSE,"CARACAS";#N/A,#N/A,FALSE,"DISBRACENTRO";#N/A,#N/A,FALSE,"ANDES";#N/A,#N/A,FALSE,"MAR CARIBE";#N/A,#N/A,FALSE,"RIO BEER";#N/A,#N/A,FALSE,"DISBRAH"}</definedName>
    <definedName name="______________f" localSheetId="14" hidden="1">{"RESUMEN",#N/A,FALSE,"RESUMEN";"RESUMEN_MARG",#N/A,FALSE,"RESUMEN"}</definedName>
    <definedName name="______________f" hidden="1">{"RESUMEN",#N/A,FALSE,"RESUMEN";"RESUMEN_MARG",#N/A,FALSE,"RESUMEN"}</definedName>
    <definedName name="______________imp2" localSheetId="14" hidden="1">{#N/A,#N/A,FALSE,"Hoja1";#N/A,#N/A,FALSE,"Hoja2"}</definedName>
    <definedName name="______________imp2" hidden="1">{#N/A,#N/A,FALSE,"Hoja1";#N/A,#N/A,FALSE,"Hoja2"}</definedName>
    <definedName name="______________kja9"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___________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____________ok1" localSheetId="14" hidden="1">{"Yr0TM1",#N/A,FALSE,"Line Data";"Yr0TM2",#N/A,FALSE,"Line Data";"Yr0TM3",#N/A,FALSE,"Line Data"}</definedName>
    <definedName name="______________ok1" hidden="1">{"Yr0TM1",#N/A,FALSE,"Line Data";"Yr0TM2",#N/A,FALSE,"Line Data";"Yr0TM3",#N/A,FALSE,"Line Data"}</definedName>
    <definedName name="______________SET2006" localSheetId="14" hidden="1">{#N/A,#N/A,FALSE,"Cronograma";#N/A,#N/A,FALSE,"Cronogr. 2"}</definedName>
    <definedName name="______________SET2006" hidden="1">{#N/A,#N/A,FALSE,"Cronograma";#N/A,#N/A,FALSE,"Cronogr. 2"}</definedName>
    <definedName name="_____________a3" localSheetId="14" hidden="1">{#N/A,#N/A,FALSE,"Cronograma";#N/A,#N/A,FALSE,"Cronogr. 2"}</definedName>
    <definedName name="_____________a3" hidden="1">{#N/A,#N/A,FALSE,"Cronograma";#N/A,#N/A,FALSE,"Cronogr. 2"}</definedName>
    <definedName name="_____________SET2006" localSheetId="14" hidden="1">{#N/A,#N/A,FALSE,"Cronograma";#N/A,#N/A,FALSE,"Cronogr. 2"}</definedName>
    <definedName name="_____________SET2006" hidden="1">{#N/A,#N/A,FALSE,"Cronograma";#N/A,#N/A,FALSE,"Cronogr. 2"}</definedName>
    <definedName name="____________a1" localSheetId="14" hidden="1">{"PET1",#N/A,TRUE,"PET";"PET2",#N/A,TRUE,"PET";"PET3",#N/A,TRUE,"PET";"GLASS1",#N/A,TRUE,"GLASS"}</definedName>
    <definedName name="____________a1" hidden="1">{"PET1",#N/A,TRUE,"PET";"PET2",#N/A,TRUE,"PET";"PET3",#N/A,TRUE,"PET";"GLASS1",#N/A,TRUE,"GLASS"}</definedName>
    <definedName name="____________a3" localSheetId="14" hidden="1">{#N/A,#N/A,FALSE,"Cronograma";#N/A,#N/A,FALSE,"Cronogr. 2"}</definedName>
    <definedName name="____________a3" hidden="1">{#N/A,#N/A,FALSE,"Cronograma";#N/A,#N/A,FALSE,"Cronogr. 2"}</definedName>
    <definedName name="____________CED10" localSheetId="14" hidden="1">{"Prenissas",#N/A,FALSE,"Consolidado (3)";"Lucros000",#N/A,FALSE,"Consolidado (3)";"LucrosHL",#N/A,FALSE,"Consolidado (3)";"Balanco",#N/A,FALSE,"Consolidado (3)";"FluxoC",#N/A,FALSE,"Consolidado (3)"}</definedName>
    <definedName name="____________CED10" hidden="1">{"Prenissas",#N/A,FALSE,"Consolidado (3)";"Lucros000",#N/A,FALSE,"Consolidado (3)";"LucrosHL",#N/A,FALSE,"Consolidado (3)";"Balanco",#N/A,FALSE,"Consolidado (3)";"FluxoC",#N/A,FALSE,"Consolidado (3)"}</definedName>
    <definedName name="____________CED101" localSheetId="14" hidden="1">{"Prenissas",#N/A,FALSE,"Consolidado (3)";"Lucros000",#N/A,FALSE,"Consolidado (3)";"LucrosHL",#N/A,FALSE,"Consolidado (3)";"Balanco",#N/A,FALSE,"Consolidado (3)";"FluxoC",#N/A,FALSE,"Consolidado (3)"}</definedName>
    <definedName name="____________CED101" hidden="1">{"Prenissas",#N/A,FALSE,"Consolidado (3)";"Lucros000",#N/A,FALSE,"Consolidado (3)";"LucrosHL",#N/A,FALSE,"Consolidado (3)";"Balanco",#N/A,FALSE,"Consolidado (3)";"FluxoC",#N/A,FALSE,"Consolidado (3)"}</definedName>
    <definedName name="____________CED11" localSheetId="14" hidden="1">{"miles",#N/A,FALSE,"LUCROS E PERDAS (US$ 000)";"hl",#N/A,FALSE,"LUCROS E PERDAS (US$ 000)"}</definedName>
    <definedName name="____________CED11" hidden="1">{"miles",#N/A,FALSE,"LUCROS E PERDAS (US$ 000)";"hl",#N/A,FALSE,"LUCROS E PERDAS (US$ 000)"}</definedName>
    <definedName name="____________CED112" localSheetId="14" hidden="1">{"miles",#N/A,FALSE,"LUCROS E PERDAS (US$ 000)";"hl",#N/A,FALSE,"LUCROS E PERDAS (US$ 000)"}</definedName>
    <definedName name="____________CED112" hidden="1">{"miles",#N/A,FALSE,"LUCROS E PERDAS (US$ 000)";"hl",#N/A,FALSE,"LUCROS E PERDAS (US$ 000)"}</definedName>
    <definedName name="____________ds13" localSheetId="14" hidden="1">{#N/A,#N/A,FALSE,"PRECIO FULL";#N/A,#N/A,FALSE,"LARA";#N/A,#N/A,FALSE,"CARACAS";#N/A,#N/A,FALSE,"DISBRACENTRO";#N/A,#N/A,FALSE,"ANDES";#N/A,#N/A,FALSE,"MAR CARIBE";#N/A,#N/A,FALSE,"RIO BEER";#N/A,#N/A,FALSE,"DISBRAH"}</definedName>
    <definedName name="____________ds13" hidden="1">{#N/A,#N/A,FALSE,"PRECIO FULL";#N/A,#N/A,FALSE,"LARA";#N/A,#N/A,FALSE,"CARACAS";#N/A,#N/A,FALSE,"DISBRACENTRO";#N/A,#N/A,FALSE,"ANDES";#N/A,#N/A,FALSE,"MAR CARIBE";#N/A,#N/A,FALSE,"RIO BEER";#N/A,#N/A,FALSE,"DISBRAH"}</definedName>
    <definedName name="____________f" localSheetId="14" hidden="1">{"RESUMEN",#N/A,FALSE,"RESUMEN";"RESUMEN_MARG",#N/A,FALSE,"RESUMEN"}</definedName>
    <definedName name="____________f" hidden="1">{"RESUMEN",#N/A,FALSE,"RESUMEN";"RESUMEN_MARG",#N/A,FALSE,"RESUMEN"}</definedName>
    <definedName name="____________imp2" localSheetId="14" hidden="1">{#N/A,#N/A,FALSE,"Hoja1";#N/A,#N/A,FALSE,"Hoja2"}</definedName>
    <definedName name="____________imp2" hidden="1">{#N/A,#N/A,FALSE,"Hoja1";#N/A,#N/A,FALSE,"Hoja2"}</definedName>
    <definedName name="____________kja9"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_________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__________ok1" localSheetId="14" hidden="1">{"Yr0TM1",#N/A,FALSE,"Line Data";"Yr0TM2",#N/A,FALSE,"Line Data";"Yr0TM3",#N/A,FALSE,"Line Data"}</definedName>
    <definedName name="____________ok1" hidden="1">{"Yr0TM1",#N/A,FALSE,"Line Data";"Yr0TM2",#N/A,FALSE,"Line Data";"Yr0TM3",#N/A,FALSE,"Line Data"}</definedName>
    <definedName name="____________SET2006" localSheetId="14" hidden="1">{#N/A,#N/A,FALSE,"Cronograma";#N/A,#N/A,FALSE,"Cronogr. 2"}</definedName>
    <definedName name="____________SET2006" hidden="1">{#N/A,#N/A,FALSE,"Cronograma";#N/A,#N/A,FALSE,"Cronogr. 2"}</definedName>
    <definedName name="___________a3" localSheetId="14" hidden="1">{#N/A,#N/A,FALSE,"Cronograma";#N/A,#N/A,FALSE,"Cronogr. 2"}</definedName>
    <definedName name="___________a3" hidden="1">{#N/A,#N/A,FALSE,"Cronograma";#N/A,#N/A,FALSE,"Cronogr. 2"}</definedName>
    <definedName name="___________SET2006" localSheetId="14" hidden="1">{#N/A,#N/A,FALSE,"Cronograma";#N/A,#N/A,FALSE,"Cronogr. 2"}</definedName>
    <definedName name="___________SET2006" hidden="1">{#N/A,#N/A,FALSE,"Cronograma";#N/A,#N/A,FALSE,"Cronogr. 2"}</definedName>
    <definedName name="__________a1" localSheetId="14" hidden="1">{"PET1",#N/A,TRUE,"PET";"PET2",#N/A,TRUE,"PET";"PET3",#N/A,TRUE,"PET";"GLASS1",#N/A,TRUE,"GLASS"}</definedName>
    <definedName name="__________a1" hidden="1">{"PET1",#N/A,TRUE,"PET";"PET2",#N/A,TRUE,"PET";"PET3",#N/A,TRUE,"PET";"GLASS1",#N/A,TRUE,"GLASS"}</definedName>
    <definedName name="__________a3" localSheetId="14" hidden="1">{#N/A,#N/A,FALSE,"Cronograma";#N/A,#N/A,FALSE,"Cronogr. 2"}</definedName>
    <definedName name="__________a3" hidden="1">{#N/A,#N/A,FALSE,"Cronograma";#N/A,#N/A,FALSE,"Cronogr. 2"}</definedName>
    <definedName name="__________CED10" localSheetId="14" hidden="1">{"Prenissas",#N/A,FALSE,"Consolidado (3)";"Lucros000",#N/A,FALSE,"Consolidado (3)";"LucrosHL",#N/A,FALSE,"Consolidado (3)";"Balanco",#N/A,FALSE,"Consolidado (3)";"FluxoC",#N/A,FALSE,"Consolidado (3)"}</definedName>
    <definedName name="__________CED10" hidden="1">{"Prenissas",#N/A,FALSE,"Consolidado (3)";"Lucros000",#N/A,FALSE,"Consolidado (3)";"LucrosHL",#N/A,FALSE,"Consolidado (3)";"Balanco",#N/A,FALSE,"Consolidado (3)";"FluxoC",#N/A,FALSE,"Consolidado (3)"}</definedName>
    <definedName name="__________CED101" localSheetId="14" hidden="1">{"Prenissas",#N/A,FALSE,"Consolidado (3)";"Lucros000",#N/A,FALSE,"Consolidado (3)";"LucrosHL",#N/A,FALSE,"Consolidado (3)";"Balanco",#N/A,FALSE,"Consolidado (3)";"FluxoC",#N/A,FALSE,"Consolidado (3)"}</definedName>
    <definedName name="__________CED101" hidden="1">{"Prenissas",#N/A,FALSE,"Consolidado (3)";"Lucros000",#N/A,FALSE,"Consolidado (3)";"LucrosHL",#N/A,FALSE,"Consolidado (3)";"Balanco",#N/A,FALSE,"Consolidado (3)";"FluxoC",#N/A,FALSE,"Consolidado (3)"}</definedName>
    <definedName name="__________CED11" localSheetId="14" hidden="1">{"miles",#N/A,FALSE,"LUCROS E PERDAS (US$ 000)";"hl",#N/A,FALSE,"LUCROS E PERDAS (US$ 000)"}</definedName>
    <definedName name="__________CED11" hidden="1">{"miles",#N/A,FALSE,"LUCROS E PERDAS (US$ 000)";"hl",#N/A,FALSE,"LUCROS E PERDAS (US$ 000)"}</definedName>
    <definedName name="__________CED112" localSheetId="14" hidden="1">{"miles",#N/A,FALSE,"LUCROS E PERDAS (US$ 000)";"hl",#N/A,FALSE,"LUCROS E PERDAS (US$ 000)"}</definedName>
    <definedName name="__________CED112" hidden="1">{"miles",#N/A,FALSE,"LUCROS E PERDAS (US$ 000)";"hl",#N/A,FALSE,"LUCROS E PERDAS (US$ 000)"}</definedName>
    <definedName name="__________ds13" localSheetId="14" hidden="1">{#N/A,#N/A,FALSE,"PRECIO FULL";#N/A,#N/A,FALSE,"LARA";#N/A,#N/A,FALSE,"CARACAS";#N/A,#N/A,FALSE,"DISBRACENTRO";#N/A,#N/A,FALSE,"ANDES";#N/A,#N/A,FALSE,"MAR CARIBE";#N/A,#N/A,FALSE,"RIO BEER";#N/A,#N/A,FALSE,"DISBRAH"}</definedName>
    <definedName name="__________ds13" hidden="1">{#N/A,#N/A,FALSE,"PRECIO FULL";#N/A,#N/A,FALSE,"LARA";#N/A,#N/A,FALSE,"CARACAS";#N/A,#N/A,FALSE,"DISBRACENTRO";#N/A,#N/A,FALSE,"ANDES";#N/A,#N/A,FALSE,"MAR CARIBE";#N/A,#N/A,FALSE,"RIO BEER";#N/A,#N/A,FALSE,"DISBRAH"}</definedName>
    <definedName name="__________f" localSheetId="14" hidden="1">{"RESUMEN",#N/A,FALSE,"RESUMEN";"RESUMEN_MARG",#N/A,FALSE,"RESUMEN"}</definedName>
    <definedName name="__________f" hidden="1">{"RESUMEN",#N/A,FALSE,"RESUMEN";"RESUMEN_MARG",#N/A,FALSE,"RESUMEN"}</definedName>
    <definedName name="__________imp2" localSheetId="14" hidden="1">{#N/A,#N/A,FALSE,"Hoja1";#N/A,#N/A,FALSE,"Hoja2"}</definedName>
    <definedName name="__________imp2" hidden="1">{#N/A,#N/A,FALSE,"Hoja1";#N/A,#N/A,FALSE,"Hoja2"}</definedName>
    <definedName name="__________kja9"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_______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________ok1" localSheetId="14" hidden="1">{"Yr0TM1",#N/A,FALSE,"Line Data";"Yr0TM2",#N/A,FALSE,"Line Data";"Yr0TM3",#N/A,FALSE,"Line Data"}</definedName>
    <definedName name="__________ok1" hidden="1">{"Yr0TM1",#N/A,FALSE,"Line Data";"Yr0TM2",#N/A,FALSE,"Line Data";"Yr0TM3",#N/A,FALSE,"Line Data"}</definedName>
    <definedName name="__________SET2006" localSheetId="14" hidden="1">{#N/A,#N/A,FALSE,"Cronograma";#N/A,#N/A,FALSE,"Cronogr. 2"}</definedName>
    <definedName name="__________SET2006" hidden="1">{#N/A,#N/A,FALSE,"Cronograma";#N/A,#N/A,FALSE,"Cronogr. 2"}</definedName>
    <definedName name="_________a1" localSheetId="14" hidden="1">{"PET1",#N/A,TRUE,"PET";"PET2",#N/A,TRUE,"PET";"PET3",#N/A,TRUE,"PET";"GLASS1",#N/A,TRUE,"GLASS"}</definedName>
    <definedName name="_________a1" hidden="1">{"PET1",#N/A,TRUE,"PET";"PET2",#N/A,TRUE,"PET";"PET3",#N/A,TRUE,"PET";"GLASS1",#N/A,TRUE,"GLASS"}</definedName>
    <definedName name="_________a3" localSheetId="14" hidden="1">{#N/A,#N/A,FALSE,"Cronograma";#N/A,#N/A,FALSE,"Cronogr. 2"}</definedName>
    <definedName name="_________a3" hidden="1">{#N/A,#N/A,FALSE,"Cronograma";#N/A,#N/A,FALSE,"Cronogr. 2"}</definedName>
    <definedName name="_________CED10" localSheetId="14" hidden="1">{"Prenissas",#N/A,FALSE,"Consolidado (3)";"Lucros000",#N/A,FALSE,"Consolidado (3)";"LucrosHL",#N/A,FALSE,"Consolidado (3)";"Balanco",#N/A,FALSE,"Consolidado (3)";"FluxoC",#N/A,FALSE,"Consolidado (3)"}</definedName>
    <definedName name="_________CED10" hidden="1">{"Prenissas",#N/A,FALSE,"Consolidado (3)";"Lucros000",#N/A,FALSE,"Consolidado (3)";"LucrosHL",#N/A,FALSE,"Consolidado (3)";"Balanco",#N/A,FALSE,"Consolidado (3)";"FluxoC",#N/A,FALSE,"Consolidado (3)"}</definedName>
    <definedName name="_________CED101" localSheetId="14" hidden="1">{"Prenissas",#N/A,FALSE,"Consolidado (3)";"Lucros000",#N/A,FALSE,"Consolidado (3)";"LucrosHL",#N/A,FALSE,"Consolidado (3)";"Balanco",#N/A,FALSE,"Consolidado (3)";"FluxoC",#N/A,FALSE,"Consolidado (3)"}</definedName>
    <definedName name="_________CED101" hidden="1">{"Prenissas",#N/A,FALSE,"Consolidado (3)";"Lucros000",#N/A,FALSE,"Consolidado (3)";"LucrosHL",#N/A,FALSE,"Consolidado (3)";"Balanco",#N/A,FALSE,"Consolidado (3)";"FluxoC",#N/A,FALSE,"Consolidado (3)"}</definedName>
    <definedName name="_________CED11" localSheetId="14" hidden="1">{"miles",#N/A,FALSE,"LUCROS E PERDAS (US$ 000)";"hl",#N/A,FALSE,"LUCROS E PERDAS (US$ 000)"}</definedName>
    <definedName name="_________CED11" hidden="1">{"miles",#N/A,FALSE,"LUCROS E PERDAS (US$ 000)";"hl",#N/A,FALSE,"LUCROS E PERDAS (US$ 000)"}</definedName>
    <definedName name="_________CED112" localSheetId="14" hidden="1">{"miles",#N/A,FALSE,"LUCROS E PERDAS (US$ 000)";"hl",#N/A,FALSE,"LUCROS E PERDAS (US$ 000)"}</definedName>
    <definedName name="_________CED112" hidden="1">{"miles",#N/A,FALSE,"LUCROS E PERDAS (US$ 000)";"hl",#N/A,FALSE,"LUCROS E PERDAS (US$ 000)"}</definedName>
    <definedName name="_________DIC2000" localSheetId="14" hidden="1">{#N/A,#N/A,FALSE,"Aging Summary";#N/A,#N/A,FALSE,"Ratio Analysis";#N/A,#N/A,FALSE,"Test 120 Day Accts";#N/A,#N/A,FALSE,"Tickmarks"}</definedName>
    <definedName name="_________DIC2000" hidden="1">{#N/A,#N/A,FALSE,"Aging Summary";#N/A,#N/A,FALSE,"Ratio Analysis";#N/A,#N/A,FALSE,"Test 120 Day Accts";#N/A,#N/A,FALSE,"Tickmarks"}</definedName>
    <definedName name="_________dic2004" localSheetId="14" hidden="1">{#N/A,#N/A,FALSE,"Aging Summary";#N/A,#N/A,FALSE,"Ratio Analysis";#N/A,#N/A,FALSE,"Test 120 Day Accts";#N/A,#N/A,FALSE,"Tickmarks"}</definedName>
    <definedName name="_________dic2004" hidden="1">{#N/A,#N/A,FALSE,"Aging Summary";#N/A,#N/A,FALSE,"Ratio Analysis";#N/A,#N/A,FALSE,"Test 120 Day Accts";#N/A,#N/A,FALSE,"Tickmarks"}</definedName>
    <definedName name="_________ds13" localSheetId="14" hidden="1">{#N/A,#N/A,FALSE,"PRECIO FULL";#N/A,#N/A,FALSE,"LARA";#N/A,#N/A,FALSE,"CARACAS";#N/A,#N/A,FALSE,"DISBRACENTRO";#N/A,#N/A,FALSE,"ANDES";#N/A,#N/A,FALSE,"MAR CARIBE";#N/A,#N/A,FALSE,"RIO BEER";#N/A,#N/A,FALSE,"DISBRAH"}</definedName>
    <definedName name="_________ds13" hidden="1">{#N/A,#N/A,FALSE,"PRECIO FULL";#N/A,#N/A,FALSE,"LARA";#N/A,#N/A,FALSE,"CARACAS";#N/A,#N/A,FALSE,"DISBRACENTRO";#N/A,#N/A,FALSE,"ANDES";#N/A,#N/A,FALSE,"MAR CARIBE";#N/A,#N/A,FALSE,"RIO BEER";#N/A,#N/A,FALSE,"DISBRAH"}</definedName>
    <definedName name="_________EF2" localSheetId="14" hidden="1">{#N/A,#N/A,FALSE,"Aging Summary";#N/A,#N/A,FALSE,"Ratio Analysis";#N/A,#N/A,FALSE,"Test 120 Day Accts";#N/A,#N/A,FALSE,"Tickmarks"}</definedName>
    <definedName name="_________EF2" hidden="1">{#N/A,#N/A,FALSE,"Aging Summary";#N/A,#N/A,FALSE,"Ratio Analysis";#N/A,#N/A,FALSE,"Test 120 Day Accts";#N/A,#N/A,FALSE,"Tickmarks"}</definedName>
    <definedName name="_________f" localSheetId="14" hidden="1">{"RESUMEN",#N/A,FALSE,"RESUMEN";"RESUMEN_MARG",#N/A,FALSE,"RESUMEN"}</definedName>
    <definedName name="_________f" hidden="1">{"RESUMEN",#N/A,FALSE,"RESUMEN";"RESUMEN_MARG",#N/A,FALSE,"RESUMEN"}</definedName>
    <definedName name="_________imp2" localSheetId="14" hidden="1">{#N/A,#N/A,FALSE,"Hoja1";#N/A,#N/A,FALSE,"Hoja2"}</definedName>
    <definedName name="_________imp2" hidden="1">{#N/A,#N/A,FALSE,"Hoja1";#N/A,#N/A,FALSE,"Hoja2"}</definedName>
    <definedName name="_________iso2010" localSheetId="14" hidden="1">{#N/A,#N/A,FALSE,"Resumen";#N/A,#N/A,FALSE,"Full";#N/A,"Carabeer",FALSE,"Dscto.";#N/A,"Disbracentro",FALSE,"Dscto.";#N/A,"Andes",FALSE,"Dscto.";#N/A,"Mar Caribe",FALSE,"Dscto.";#N/A,"Río Beer",FALSE,"Dscto.";#N/A,#N/A,FALSE,"P.L.Full";#N/A,#N/A,FALSE,"P.L.Desc."}</definedName>
    <definedName name="_________iso2010" hidden="1">{#N/A,#N/A,FALSE,"Resumen";#N/A,#N/A,FALSE,"Full";#N/A,"Carabeer",FALSE,"Dscto.";#N/A,"Disbracentro",FALSE,"Dscto.";#N/A,"Andes",FALSE,"Dscto.";#N/A,"Mar Caribe",FALSE,"Dscto.";#N/A,"Río Beer",FALSE,"Dscto.";#N/A,#N/A,FALSE,"P.L.Full";#N/A,#N/A,FALSE,"P.L.Desc."}</definedName>
    <definedName name="_________iso22" localSheetId="14" hidden="1">{"Yr2TM1",#N/A,FALSE,"Line Data";"Yr2TM2",#N/A,FALSE,"Line Data";"Yr2TM3",#N/A,FALSE,"Line Data"}</definedName>
    <definedName name="_________iso22" hidden="1">{"Yr2TM1",#N/A,FALSE,"Line Data";"Yr2TM2",#N/A,FALSE,"Line Data";"Yr2TM3",#N/A,FALSE,"Line Data"}</definedName>
    <definedName name="_________iso45" localSheetId="14" hidden="1">{#N/A,#N/A,FALSE,"PRECIO FULL";#N/A,#N/A,FALSE,"LARA";#N/A,#N/A,FALSE,"CARACAS";#N/A,#N/A,FALSE,"DISBRACENTRO";#N/A,#N/A,FALSE,"ANDES";#N/A,#N/A,FALSE,"MAR CARIBE";#N/A,#N/A,FALSE,"RIO BEER";#N/A,#N/A,FALSE,"DISBRAH"}</definedName>
    <definedName name="_________iso45" hidden="1">{#N/A,#N/A,FALSE,"PRECIO FULL";#N/A,#N/A,FALSE,"LARA";#N/A,#N/A,FALSE,"CARACAS";#N/A,#N/A,FALSE,"DISBRACENTRO";#N/A,#N/A,FALSE,"ANDES";#N/A,#N/A,FALSE,"MAR CARIBE";#N/A,#N/A,FALSE,"RIO BEER";#N/A,#N/A,FALSE,"DISBRAH"}</definedName>
    <definedName name="_________kja9"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______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_______ok1" localSheetId="14" hidden="1">{"Yr0TM1",#N/A,FALSE,"Line Data";"Yr0TM2",#N/A,FALSE,"Line Data";"Yr0TM3",#N/A,FALSE,"Line Data"}</definedName>
    <definedName name="_________ok1" hidden="1">{"Yr0TM1",#N/A,FALSE,"Line Data";"Yr0TM2",#N/A,FALSE,"Line Data";"Yr0TM3",#N/A,FALSE,"Line Data"}</definedName>
    <definedName name="_________SET2006" localSheetId="14" hidden="1">{#N/A,#N/A,FALSE,"Cronograma";#N/A,#N/A,FALSE,"Cronogr. 2"}</definedName>
    <definedName name="_________SET2006" hidden="1">{#N/A,#N/A,FALSE,"Cronograma";#N/A,#N/A,FALSE,"Cronogr. 2"}</definedName>
    <definedName name="________a3" localSheetId="14" hidden="1">{#N/A,#N/A,FALSE,"Cronograma";#N/A,#N/A,FALSE,"Cronogr. 2"}</definedName>
    <definedName name="________a3" hidden="1">{#N/A,#N/A,FALSE,"Cronograma";#N/A,#N/A,FALSE,"Cronogr. 2"}</definedName>
    <definedName name="________DIC2000" localSheetId="14" hidden="1">{#N/A,#N/A,FALSE,"Aging Summary";#N/A,#N/A,FALSE,"Ratio Analysis";#N/A,#N/A,FALSE,"Test 120 Day Accts";#N/A,#N/A,FALSE,"Tickmarks"}</definedName>
    <definedName name="________DIC2000" hidden="1">{#N/A,#N/A,FALSE,"Aging Summary";#N/A,#N/A,FALSE,"Ratio Analysis";#N/A,#N/A,FALSE,"Test 120 Day Accts";#N/A,#N/A,FALSE,"Tickmarks"}</definedName>
    <definedName name="________dic2004" localSheetId="14" hidden="1">{#N/A,#N/A,FALSE,"Aging Summary";#N/A,#N/A,FALSE,"Ratio Analysis";#N/A,#N/A,FALSE,"Test 120 Day Accts";#N/A,#N/A,FALSE,"Tickmarks"}</definedName>
    <definedName name="________dic2004" hidden="1">{#N/A,#N/A,FALSE,"Aging Summary";#N/A,#N/A,FALSE,"Ratio Analysis";#N/A,#N/A,FALSE,"Test 120 Day Accts";#N/A,#N/A,FALSE,"Tickmarks"}</definedName>
    <definedName name="________EF2" localSheetId="14" hidden="1">{#N/A,#N/A,FALSE,"Aging Summary";#N/A,#N/A,FALSE,"Ratio Analysis";#N/A,#N/A,FALSE,"Test 120 Day Accts";#N/A,#N/A,FALSE,"Tickmarks"}</definedName>
    <definedName name="________EF2" hidden="1">{#N/A,#N/A,FALSE,"Aging Summary";#N/A,#N/A,FALSE,"Ratio Analysis";#N/A,#N/A,FALSE,"Test 120 Day Accts";#N/A,#N/A,FALSE,"Tickmarks"}</definedName>
    <definedName name="________iso2010" localSheetId="14" hidden="1">{#N/A,#N/A,FALSE,"Resumen";#N/A,#N/A,FALSE,"Full";#N/A,"Carabeer",FALSE,"Dscto.";#N/A,"Disbracentro",FALSE,"Dscto.";#N/A,"Andes",FALSE,"Dscto.";#N/A,"Mar Caribe",FALSE,"Dscto.";#N/A,"Río Beer",FALSE,"Dscto.";#N/A,#N/A,FALSE,"P.L.Full";#N/A,#N/A,FALSE,"P.L.Desc."}</definedName>
    <definedName name="________iso2010" hidden="1">{#N/A,#N/A,FALSE,"Resumen";#N/A,#N/A,FALSE,"Full";#N/A,"Carabeer",FALSE,"Dscto.";#N/A,"Disbracentro",FALSE,"Dscto.";#N/A,"Andes",FALSE,"Dscto.";#N/A,"Mar Caribe",FALSE,"Dscto.";#N/A,"Río Beer",FALSE,"Dscto.";#N/A,#N/A,FALSE,"P.L.Full";#N/A,#N/A,FALSE,"P.L.Desc."}</definedName>
    <definedName name="________iso22" localSheetId="14" hidden="1">{"Yr2TM1",#N/A,FALSE,"Line Data";"Yr2TM2",#N/A,FALSE,"Line Data";"Yr2TM3",#N/A,FALSE,"Line Data"}</definedName>
    <definedName name="________iso22" hidden="1">{"Yr2TM1",#N/A,FALSE,"Line Data";"Yr2TM2",#N/A,FALSE,"Line Data";"Yr2TM3",#N/A,FALSE,"Line Data"}</definedName>
    <definedName name="________iso45" localSheetId="14" hidden="1">{#N/A,#N/A,FALSE,"PRECIO FULL";#N/A,#N/A,FALSE,"LARA";#N/A,#N/A,FALSE,"CARACAS";#N/A,#N/A,FALSE,"DISBRACENTRO";#N/A,#N/A,FALSE,"ANDES";#N/A,#N/A,FALSE,"MAR CARIBE";#N/A,#N/A,FALSE,"RIO BEER";#N/A,#N/A,FALSE,"DISBRAH"}</definedName>
    <definedName name="________iso45" hidden="1">{#N/A,#N/A,FALSE,"PRECIO FULL";#N/A,#N/A,FALSE,"LARA";#N/A,#N/A,FALSE,"CARACAS";#N/A,#N/A,FALSE,"DISBRACENTRO";#N/A,#N/A,FALSE,"ANDES";#N/A,#N/A,FALSE,"MAR CARIBE";#N/A,#N/A,FALSE,"RIO BEER";#N/A,#N/A,FALSE,"DISBRAH"}</definedName>
    <definedName name="________SET2006" localSheetId="14" hidden="1">{#N/A,#N/A,FALSE,"Cronograma";#N/A,#N/A,FALSE,"Cronogr. 2"}</definedName>
    <definedName name="________SET2006" hidden="1">{#N/A,#N/A,FALSE,"Cronograma";#N/A,#N/A,FALSE,"Cronogr. 2"}</definedName>
    <definedName name="_______a1" localSheetId="14" hidden="1">{"PET1",#N/A,TRUE,"PET";"PET2",#N/A,TRUE,"PET";"PET3",#N/A,TRUE,"PET";"GLASS1",#N/A,TRUE,"GLASS"}</definedName>
    <definedName name="_______a1" hidden="1">{"PET1",#N/A,TRUE,"PET";"PET2",#N/A,TRUE,"PET";"PET3",#N/A,TRUE,"PET";"GLASS1",#N/A,TRUE,"GLASS"}</definedName>
    <definedName name="_______a3" localSheetId="14" hidden="1">{#N/A,#N/A,FALSE,"Cronograma";#N/A,#N/A,FALSE,"Cronogr. 2"}</definedName>
    <definedName name="_______a3" hidden="1">{#N/A,#N/A,FALSE,"Cronograma";#N/A,#N/A,FALSE,"Cronogr. 2"}</definedName>
    <definedName name="_______CED10" localSheetId="14" hidden="1">{"Prenissas",#N/A,FALSE,"Consolidado (3)";"Lucros000",#N/A,FALSE,"Consolidado (3)";"LucrosHL",#N/A,FALSE,"Consolidado (3)";"Balanco",#N/A,FALSE,"Consolidado (3)";"FluxoC",#N/A,FALSE,"Consolidado (3)"}</definedName>
    <definedName name="_______CED10" hidden="1">{"Prenissas",#N/A,FALSE,"Consolidado (3)";"Lucros000",#N/A,FALSE,"Consolidado (3)";"LucrosHL",#N/A,FALSE,"Consolidado (3)";"Balanco",#N/A,FALSE,"Consolidado (3)";"FluxoC",#N/A,FALSE,"Consolidado (3)"}</definedName>
    <definedName name="_______CED101" localSheetId="14" hidden="1">{"Prenissas",#N/A,FALSE,"Consolidado (3)";"Lucros000",#N/A,FALSE,"Consolidado (3)";"LucrosHL",#N/A,FALSE,"Consolidado (3)";"Balanco",#N/A,FALSE,"Consolidado (3)";"FluxoC",#N/A,FALSE,"Consolidado (3)"}</definedName>
    <definedName name="_______CED101" hidden="1">{"Prenissas",#N/A,FALSE,"Consolidado (3)";"Lucros000",#N/A,FALSE,"Consolidado (3)";"LucrosHL",#N/A,FALSE,"Consolidado (3)";"Balanco",#N/A,FALSE,"Consolidado (3)";"FluxoC",#N/A,FALSE,"Consolidado (3)"}</definedName>
    <definedName name="_______CED11" localSheetId="14" hidden="1">{"miles",#N/A,FALSE,"LUCROS E PERDAS (US$ 000)";"hl",#N/A,FALSE,"LUCROS E PERDAS (US$ 000)"}</definedName>
    <definedName name="_______CED11" hidden="1">{"miles",#N/A,FALSE,"LUCROS E PERDAS (US$ 000)";"hl",#N/A,FALSE,"LUCROS E PERDAS (US$ 000)"}</definedName>
    <definedName name="_______CED112" localSheetId="14" hidden="1">{"miles",#N/A,FALSE,"LUCROS E PERDAS (US$ 000)";"hl",#N/A,FALSE,"LUCROS E PERDAS (US$ 000)"}</definedName>
    <definedName name="_______CED112" hidden="1">{"miles",#N/A,FALSE,"LUCROS E PERDAS (US$ 000)";"hl",#N/A,FALSE,"LUCROS E PERDAS (US$ 000)"}</definedName>
    <definedName name="_______DIC2000" localSheetId="14" hidden="1">{#N/A,#N/A,FALSE,"Aging Summary";#N/A,#N/A,FALSE,"Ratio Analysis";#N/A,#N/A,FALSE,"Test 120 Day Accts";#N/A,#N/A,FALSE,"Tickmarks"}</definedName>
    <definedName name="_______DIC2000" hidden="1">{#N/A,#N/A,FALSE,"Aging Summary";#N/A,#N/A,FALSE,"Ratio Analysis";#N/A,#N/A,FALSE,"Test 120 Day Accts";#N/A,#N/A,FALSE,"Tickmarks"}</definedName>
    <definedName name="_______dic2004" localSheetId="14" hidden="1">{#N/A,#N/A,FALSE,"Aging Summary";#N/A,#N/A,FALSE,"Ratio Analysis";#N/A,#N/A,FALSE,"Test 120 Day Accts";#N/A,#N/A,FALSE,"Tickmarks"}</definedName>
    <definedName name="_______dic2004" hidden="1">{#N/A,#N/A,FALSE,"Aging Summary";#N/A,#N/A,FALSE,"Ratio Analysis";#N/A,#N/A,FALSE,"Test 120 Day Accts";#N/A,#N/A,FALSE,"Tickmarks"}</definedName>
    <definedName name="_______ds13" localSheetId="14" hidden="1">{#N/A,#N/A,FALSE,"PRECIO FULL";#N/A,#N/A,FALSE,"LARA";#N/A,#N/A,FALSE,"CARACAS";#N/A,#N/A,FALSE,"DISBRACENTRO";#N/A,#N/A,FALSE,"ANDES";#N/A,#N/A,FALSE,"MAR CARIBE";#N/A,#N/A,FALSE,"RIO BEER";#N/A,#N/A,FALSE,"DISBRAH"}</definedName>
    <definedName name="_______ds13" hidden="1">{#N/A,#N/A,FALSE,"PRECIO FULL";#N/A,#N/A,FALSE,"LARA";#N/A,#N/A,FALSE,"CARACAS";#N/A,#N/A,FALSE,"DISBRACENTRO";#N/A,#N/A,FALSE,"ANDES";#N/A,#N/A,FALSE,"MAR CARIBE";#N/A,#N/A,FALSE,"RIO BEER";#N/A,#N/A,FALSE,"DISBRAH"}</definedName>
    <definedName name="_______EF2" localSheetId="14" hidden="1">{#N/A,#N/A,FALSE,"Aging Summary";#N/A,#N/A,FALSE,"Ratio Analysis";#N/A,#N/A,FALSE,"Test 120 Day Accts";#N/A,#N/A,FALSE,"Tickmarks"}</definedName>
    <definedName name="_______EF2" hidden="1">{#N/A,#N/A,FALSE,"Aging Summary";#N/A,#N/A,FALSE,"Ratio Analysis";#N/A,#N/A,FALSE,"Test 120 Day Accts";#N/A,#N/A,FALSE,"Tickmarks"}</definedName>
    <definedName name="_______f" localSheetId="14" hidden="1">{"RESUMEN",#N/A,FALSE,"RESUMEN";"RESUMEN_MARG",#N/A,FALSE,"RESUMEN"}</definedName>
    <definedName name="_______f" hidden="1">{"RESUMEN",#N/A,FALSE,"RESUMEN";"RESUMEN_MARG",#N/A,FALSE,"RESUMEN"}</definedName>
    <definedName name="_______imp2" localSheetId="14" hidden="1">{#N/A,#N/A,FALSE,"Hoja1";#N/A,#N/A,FALSE,"Hoja2"}</definedName>
    <definedName name="_______imp2" hidden="1">{#N/A,#N/A,FALSE,"Hoja1";#N/A,#N/A,FALSE,"Hoja2"}</definedName>
    <definedName name="_______kja9"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____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_____ok1" localSheetId="14" hidden="1">{"Yr0TM1",#N/A,FALSE,"Line Data";"Yr0TM2",#N/A,FALSE,"Line Data";"Yr0TM3",#N/A,FALSE,"Line Data"}</definedName>
    <definedName name="_______ok1" hidden="1">{"Yr0TM1",#N/A,FALSE,"Line Data";"Yr0TM2",#N/A,FALSE,"Line Data";"Yr0TM3",#N/A,FALSE,"Line Data"}</definedName>
    <definedName name="_______SET2006" localSheetId="14" hidden="1">{#N/A,#N/A,FALSE,"Cronograma";#N/A,#N/A,FALSE,"Cronogr. 2"}</definedName>
    <definedName name="_______SET2006" hidden="1">{#N/A,#N/A,FALSE,"Cronograma";#N/A,#N/A,FALSE,"Cronogr. 2"}</definedName>
    <definedName name="______a1" localSheetId="14" hidden="1">{"PET1",#N/A,TRUE,"PET";"PET2",#N/A,TRUE,"PET";"PET3",#N/A,TRUE,"PET";"GLASS1",#N/A,TRUE,"GLASS"}</definedName>
    <definedName name="______a1" hidden="1">{"PET1",#N/A,TRUE,"PET";"PET2",#N/A,TRUE,"PET";"PET3",#N/A,TRUE,"PET";"GLASS1",#N/A,TRUE,"GLASS"}</definedName>
    <definedName name="______a3" localSheetId="14" hidden="1">{#N/A,#N/A,FALSE,"Cronograma";#N/A,#N/A,FALSE,"Cronogr. 2"}</definedName>
    <definedName name="______a3" hidden="1">{#N/A,#N/A,FALSE,"Cronograma";#N/A,#N/A,FALSE,"Cronogr. 2"}</definedName>
    <definedName name="______CED10" localSheetId="14" hidden="1">{"Prenissas",#N/A,FALSE,"Consolidado (3)";"Lucros000",#N/A,FALSE,"Consolidado (3)";"LucrosHL",#N/A,FALSE,"Consolidado (3)";"Balanco",#N/A,FALSE,"Consolidado (3)";"FluxoC",#N/A,FALSE,"Consolidado (3)"}</definedName>
    <definedName name="______CED10" hidden="1">{"Prenissas",#N/A,FALSE,"Consolidado (3)";"Lucros000",#N/A,FALSE,"Consolidado (3)";"LucrosHL",#N/A,FALSE,"Consolidado (3)";"Balanco",#N/A,FALSE,"Consolidado (3)";"FluxoC",#N/A,FALSE,"Consolidado (3)"}</definedName>
    <definedName name="______CED101" localSheetId="14" hidden="1">{"Prenissas",#N/A,FALSE,"Consolidado (3)";"Lucros000",#N/A,FALSE,"Consolidado (3)";"LucrosHL",#N/A,FALSE,"Consolidado (3)";"Balanco",#N/A,FALSE,"Consolidado (3)";"FluxoC",#N/A,FALSE,"Consolidado (3)"}</definedName>
    <definedName name="______CED101" hidden="1">{"Prenissas",#N/A,FALSE,"Consolidado (3)";"Lucros000",#N/A,FALSE,"Consolidado (3)";"LucrosHL",#N/A,FALSE,"Consolidado (3)";"Balanco",#N/A,FALSE,"Consolidado (3)";"FluxoC",#N/A,FALSE,"Consolidado (3)"}</definedName>
    <definedName name="______CED11" localSheetId="14" hidden="1">{"miles",#N/A,FALSE,"LUCROS E PERDAS (US$ 000)";"hl",#N/A,FALSE,"LUCROS E PERDAS (US$ 000)"}</definedName>
    <definedName name="______CED11" hidden="1">{"miles",#N/A,FALSE,"LUCROS E PERDAS (US$ 000)";"hl",#N/A,FALSE,"LUCROS E PERDAS (US$ 000)"}</definedName>
    <definedName name="______CED112" localSheetId="14" hidden="1">{"miles",#N/A,FALSE,"LUCROS E PERDAS (US$ 000)";"hl",#N/A,FALSE,"LUCROS E PERDAS (US$ 000)"}</definedName>
    <definedName name="______CED112" hidden="1">{"miles",#N/A,FALSE,"LUCROS E PERDAS (US$ 000)";"hl",#N/A,FALSE,"LUCROS E PERDAS (US$ 000)"}</definedName>
    <definedName name="______DIC2000" localSheetId="14" hidden="1">{#N/A,#N/A,FALSE,"Aging Summary";#N/A,#N/A,FALSE,"Ratio Analysis";#N/A,#N/A,FALSE,"Test 120 Day Accts";#N/A,#N/A,FALSE,"Tickmarks"}</definedName>
    <definedName name="______DIC2000" hidden="1">{#N/A,#N/A,FALSE,"Aging Summary";#N/A,#N/A,FALSE,"Ratio Analysis";#N/A,#N/A,FALSE,"Test 120 Day Accts";#N/A,#N/A,FALSE,"Tickmarks"}</definedName>
    <definedName name="______dic2004" localSheetId="14" hidden="1">{#N/A,#N/A,FALSE,"Aging Summary";#N/A,#N/A,FALSE,"Ratio Analysis";#N/A,#N/A,FALSE,"Test 120 Day Accts";#N/A,#N/A,FALSE,"Tickmarks"}</definedName>
    <definedName name="______dic2004" hidden="1">{#N/A,#N/A,FALSE,"Aging Summary";#N/A,#N/A,FALSE,"Ratio Analysis";#N/A,#N/A,FALSE,"Test 120 Day Accts";#N/A,#N/A,FALSE,"Tickmarks"}</definedName>
    <definedName name="______ds13" localSheetId="14" hidden="1">{#N/A,#N/A,FALSE,"PRECIO FULL";#N/A,#N/A,FALSE,"LARA";#N/A,#N/A,FALSE,"CARACAS";#N/A,#N/A,FALSE,"DISBRACENTRO";#N/A,#N/A,FALSE,"ANDES";#N/A,#N/A,FALSE,"MAR CARIBE";#N/A,#N/A,FALSE,"RIO BEER";#N/A,#N/A,FALSE,"DISBRAH"}</definedName>
    <definedName name="______ds13" hidden="1">{#N/A,#N/A,FALSE,"PRECIO FULL";#N/A,#N/A,FALSE,"LARA";#N/A,#N/A,FALSE,"CARACAS";#N/A,#N/A,FALSE,"DISBRACENTRO";#N/A,#N/A,FALSE,"ANDES";#N/A,#N/A,FALSE,"MAR CARIBE";#N/A,#N/A,FALSE,"RIO BEER";#N/A,#N/A,FALSE,"DISBRAH"}</definedName>
    <definedName name="______EF2" localSheetId="14" hidden="1">{#N/A,#N/A,FALSE,"Aging Summary";#N/A,#N/A,FALSE,"Ratio Analysis";#N/A,#N/A,FALSE,"Test 120 Day Accts";#N/A,#N/A,FALSE,"Tickmarks"}</definedName>
    <definedName name="______EF2" hidden="1">{#N/A,#N/A,FALSE,"Aging Summary";#N/A,#N/A,FALSE,"Ratio Analysis";#N/A,#N/A,FALSE,"Test 120 Day Accts";#N/A,#N/A,FALSE,"Tickmarks"}</definedName>
    <definedName name="______f" localSheetId="14" hidden="1">{"RESUMEN",#N/A,FALSE,"RESUMEN";"RESUMEN_MARG",#N/A,FALSE,"RESUMEN"}</definedName>
    <definedName name="______f" hidden="1">{"RESUMEN",#N/A,FALSE,"RESUMEN";"RESUMEN_MARG",#N/A,FALSE,"RESUMEN"}</definedName>
    <definedName name="______imp2" localSheetId="14" hidden="1">{#N/A,#N/A,FALSE,"Hoja1";#N/A,#N/A,FALSE,"Hoja2"}</definedName>
    <definedName name="______imp2" hidden="1">{#N/A,#N/A,FALSE,"Hoja1";#N/A,#N/A,FALSE,"Hoja2"}</definedName>
    <definedName name="______iso2010" localSheetId="14" hidden="1">{#N/A,#N/A,FALSE,"Resumen";#N/A,#N/A,FALSE,"Full";#N/A,"Carabeer",FALSE,"Dscto.";#N/A,"Disbracentro",FALSE,"Dscto.";#N/A,"Andes",FALSE,"Dscto.";#N/A,"Mar Caribe",FALSE,"Dscto.";#N/A,"Río Beer",FALSE,"Dscto.";#N/A,#N/A,FALSE,"P.L.Full";#N/A,#N/A,FALSE,"P.L.Desc."}</definedName>
    <definedName name="______iso2010" hidden="1">{#N/A,#N/A,FALSE,"Resumen";#N/A,#N/A,FALSE,"Full";#N/A,"Carabeer",FALSE,"Dscto.";#N/A,"Disbracentro",FALSE,"Dscto.";#N/A,"Andes",FALSE,"Dscto.";#N/A,"Mar Caribe",FALSE,"Dscto.";#N/A,"Río Beer",FALSE,"Dscto.";#N/A,#N/A,FALSE,"P.L.Full";#N/A,#N/A,FALSE,"P.L.Desc."}</definedName>
    <definedName name="______iso22" localSheetId="14" hidden="1">{"Yr2TM1",#N/A,FALSE,"Line Data";"Yr2TM2",#N/A,FALSE,"Line Data";"Yr2TM3",#N/A,FALSE,"Line Data"}</definedName>
    <definedName name="______iso22" hidden="1">{"Yr2TM1",#N/A,FALSE,"Line Data";"Yr2TM2",#N/A,FALSE,"Line Data";"Yr2TM3",#N/A,FALSE,"Line Data"}</definedName>
    <definedName name="______iso45" localSheetId="14" hidden="1">{#N/A,#N/A,FALSE,"PRECIO FULL";#N/A,#N/A,FALSE,"LARA";#N/A,#N/A,FALSE,"CARACAS";#N/A,#N/A,FALSE,"DISBRACENTRO";#N/A,#N/A,FALSE,"ANDES";#N/A,#N/A,FALSE,"MAR CARIBE";#N/A,#N/A,FALSE,"RIO BEER";#N/A,#N/A,FALSE,"DISBRAH"}</definedName>
    <definedName name="______iso45" hidden="1">{#N/A,#N/A,FALSE,"PRECIO FULL";#N/A,#N/A,FALSE,"LARA";#N/A,#N/A,FALSE,"CARACAS";#N/A,#N/A,FALSE,"DISBRACENTRO";#N/A,#N/A,FALSE,"ANDES";#N/A,#N/A,FALSE,"MAR CARIBE";#N/A,#N/A,FALSE,"RIO BEER";#N/A,#N/A,FALSE,"DISBRAH"}</definedName>
    <definedName name="______kja9"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___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____ok1" localSheetId="14" hidden="1">{"Yr0TM1",#N/A,FALSE,"Line Data";"Yr0TM2",#N/A,FALSE,"Line Data";"Yr0TM3",#N/A,FALSE,"Line Data"}</definedName>
    <definedName name="______ok1" hidden="1">{"Yr0TM1",#N/A,FALSE,"Line Data";"Yr0TM2",#N/A,FALSE,"Line Data";"Yr0TM3",#N/A,FALSE,"Line Data"}</definedName>
    <definedName name="______SET2006" localSheetId="14" hidden="1">{#N/A,#N/A,FALSE,"Cronograma";#N/A,#N/A,FALSE,"Cronogr. 2"}</definedName>
    <definedName name="______SET2006" hidden="1">{#N/A,#N/A,FALSE,"Cronograma";#N/A,#N/A,FALSE,"Cronogr. 2"}</definedName>
    <definedName name="_____a3" localSheetId="14" hidden="1">{#N/A,#N/A,FALSE,"Cronograma";#N/A,#N/A,FALSE,"Cronogr. 2"}</definedName>
    <definedName name="_____a3" hidden="1">{#N/A,#N/A,FALSE,"Cronograma";#N/A,#N/A,FALSE,"Cronogr. 2"}</definedName>
    <definedName name="_____DIC2000" localSheetId="14" hidden="1">{#N/A,#N/A,FALSE,"Aging Summary";#N/A,#N/A,FALSE,"Ratio Analysis";#N/A,#N/A,FALSE,"Test 120 Day Accts";#N/A,#N/A,FALSE,"Tickmarks"}</definedName>
    <definedName name="_____DIC2000" hidden="1">{#N/A,#N/A,FALSE,"Aging Summary";#N/A,#N/A,FALSE,"Ratio Analysis";#N/A,#N/A,FALSE,"Test 120 Day Accts";#N/A,#N/A,FALSE,"Tickmarks"}</definedName>
    <definedName name="_____dic2004" localSheetId="14" hidden="1">{#N/A,#N/A,FALSE,"Aging Summary";#N/A,#N/A,FALSE,"Ratio Analysis";#N/A,#N/A,FALSE,"Test 120 Day Accts";#N/A,#N/A,FALSE,"Tickmarks"}</definedName>
    <definedName name="_____dic2004" hidden="1">{#N/A,#N/A,FALSE,"Aging Summary";#N/A,#N/A,FALSE,"Ratio Analysis";#N/A,#N/A,FALSE,"Test 120 Day Accts";#N/A,#N/A,FALSE,"Tickmarks"}</definedName>
    <definedName name="_____EF2" localSheetId="14" hidden="1">{#N/A,#N/A,FALSE,"Aging Summary";#N/A,#N/A,FALSE,"Ratio Analysis";#N/A,#N/A,FALSE,"Test 120 Day Accts";#N/A,#N/A,FALSE,"Tickmarks"}</definedName>
    <definedName name="_____EF2" hidden="1">{#N/A,#N/A,FALSE,"Aging Summary";#N/A,#N/A,FALSE,"Ratio Analysis";#N/A,#N/A,FALSE,"Test 120 Day Accts";#N/A,#N/A,FALSE,"Tickmarks"}</definedName>
    <definedName name="_____iso2010" localSheetId="14" hidden="1">{#N/A,#N/A,FALSE,"Resumen";#N/A,#N/A,FALSE,"Full";#N/A,"Carabeer",FALSE,"Dscto.";#N/A,"Disbracentro",FALSE,"Dscto.";#N/A,"Andes",FALSE,"Dscto.";#N/A,"Mar Caribe",FALSE,"Dscto.";#N/A,"Río Beer",FALSE,"Dscto.";#N/A,#N/A,FALSE,"P.L.Full";#N/A,#N/A,FALSE,"P.L.Desc."}</definedName>
    <definedName name="_____iso2010" hidden="1">{#N/A,#N/A,FALSE,"Resumen";#N/A,#N/A,FALSE,"Full";#N/A,"Carabeer",FALSE,"Dscto.";#N/A,"Disbracentro",FALSE,"Dscto.";#N/A,"Andes",FALSE,"Dscto.";#N/A,"Mar Caribe",FALSE,"Dscto.";#N/A,"Río Beer",FALSE,"Dscto.";#N/A,#N/A,FALSE,"P.L.Full";#N/A,#N/A,FALSE,"P.L.Desc."}</definedName>
    <definedName name="_____iso22" localSheetId="14" hidden="1">{"Yr2TM1",#N/A,FALSE,"Line Data";"Yr2TM2",#N/A,FALSE,"Line Data";"Yr2TM3",#N/A,FALSE,"Line Data"}</definedName>
    <definedName name="_____iso22" hidden="1">{"Yr2TM1",#N/A,FALSE,"Line Data";"Yr2TM2",#N/A,FALSE,"Line Data";"Yr2TM3",#N/A,FALSE,"Line Data"}</definedName>
    <definedName name="_____iso45" localSheetId="14" hidden="1">{#N/A,#N/A,FALSE,"PRECIO FULL";#N/A,#N/A,FALSE,"LARA";#N/A,#N/A,FALSE,"CARACAS";#N/A,#N/A,FALSE,"DISBRACENTRO";#N/A,#N/A,FALSE,"ANDES";#N/A,#N/A,FALSE,"MAR CARIBE";#N/A,#N/A,FALSE,"RIO BEER";#N/A,#N/A,FALSE,"DISBRAH"}</definedName>
    <definedName name="_____iso45" hidden="1">{#N/A,#N/A,FALSE,"PRECIO FULL";#N/A,#N/A,FALSE,"LARA";#N/A,#N/A,FALSE,"CARACAS";#N/A,#N/A,FALSE,"DISBRACENTRO";#N/A,#N/A,FALSE,"ANDES";#N/A,#N/A,FALSE,"MAR CARIBE";#N/A,#N/A,FALSE,"RIO BEER";#N/A,#N/A,FALSE,"DISBRAH"}</definedName>
    <definedName name="_____SET2006" localSheetId="14" hidden="1">{#N/A,#N/A,FALSE,"Cronograma";#N/A,#N/A,FALSE,"Cronogr. 2"}</definedName>
    <definedName name="_____SET2006" hidden="1">{#N/A,#N/A,FALSE,"Cronograma";#N/A,#N/A,FALSE,"Cronogr. 2"}</definedName>
    <definedName name="____a1" localSheetId="14" hidden="1">{"PET1",#N/A,TRUE,"PET";"PET2",#N/A,TRUE,"PET";"PET3",#N/A,TRUE,"PET";"GLASS1",#N/A,TRUE,"GLASS"}</definedName>
    <definedName name="____a1" hidden="1">{"PET1",#N/A,TRUE,"PET";"PET2",#N/A,TRUE,"PET";"PET3",#N/A,TRUE,"PET";"GLASS1",#N/A,TRUE,"GLASS"}</definedName>
    <definedName name="____a3" localSheetId="14" hidden="1">{#N/A,#N/A,FALSE,"Cronograma";#N/A,#N/A,FALSE,"Cronogr. 2"}</definedName>
    <definedName name="____a3" hidden="1">{#N/A,#N/A,FALSE,"Cronograma";#N/A,#N/A,FALSE,"Cronogr. 2"}</definedName>
    <definedName name="____CED10" localSheetId="14" hidden="1">{"Prenissas",#N/A,FALSE,"Consolidado (3)";"Lucros000",#N/A,FALSE,"Consolidado (3)";"LucrosHL",#N/A,FALSE,"Consolidado (3)";"Balanco",#N/A,FALSE,"Consolidado (3)";"FluxoC",#N/A,FALSE,"Consolidado (3)"}</definedName>
    <definedName name="____CED10" hidden="1">{"Prenissas",#N/A,FALSE,"Consolidado (3)";"Lucros000",#N/A,FALSE,"Consolidado (3)";"LucrosHL",#N/A,FALSE,"Consolidado (3)";"Balanco",#N/A,FALSE,"Consolidado (3)";"FluxoC",#N/A,FALSE,"Consolidado (3)"}</definedName>
    <definedName name="____CED101" localSheetId="14" hidden="1">{"Prenissas",#N/A,FALSE,"Consolidado (3)";"Lucros000",#N/A,FALSE,"Consolidado (3)";"LucrosHL",#N/A,FALSE,"Consolidado (3)";"Balanco",#N/A,FALSE,"Consolidado (3)";"FluxoC",#N/A,FALSE,"Consolidado (3)"}</definedName>
    <definedName name="____CED101" hidden="1">{"Prenissas",#N/A,FALSE,"Consolidado (3)";"Lucros000",#N/A,FALSE,"Consolidado (3)";"LucrosHL",#N/A,FALSE,"Consolidado (3)";"Balanco",#N/A,FALSE,"Consolidado (3)";"FluxoC",#N/A,FALSE,"Consolidado (3)"}</definedName>
    <definedName name="____CED11" localSheetId="14" hidden="1">{"miles",#N/A,FALSE,"LUCROS E PERDAS (US$ 000)";"hl",#N/A,FALSE,"LUCROS E PERDAS (US$ 000)"}</definedName>
    <definedName name="____CED11" hidden="1">{"miles",#N/A,FALSE,"LUCROS E PERDAS (US$ 000)";"hl",#N/A,FALSE,"LUCROS E PERDAS (US$ 000)"}</definedName>
    <definedName name="____CED112" localSheetId="14" hidden="1">{"miles",#N/A,FALSE,"LUCROS E PERDAS (US$ 000)";"hl",#N/A,FALSE,"LUCROS E PERDAS (US$ 000)"}</definedName>
    <definedName name="____CED112" hidden="1">{"miles",#N/A,FALSE,"LUCROS E PERDAS (US$ 000)";"hl",#N/A,FALSE,"LUCROS E PERDAS (US$ 000)"}</definedName>
    <definedName name="____DIC2000" localSheetId="14" hidden="1">{#N/A,#N/A,FALSE,"Aging Summary";#N/A,#N/A,FALSE,"Ratio Analysis";#N/A,#N/A,FALSE,"Test 120 Day Accts";#N/A,#N/A,FALSE,"Tickmarks"}</definedName>
    <definedName name="____DIC2000" hidden="1">{#N/A,#N/A,FALSE,"Aging Summary";#N/A,#N/A,FALSE,"Ratio Analysis";#N/A,#N/A,FALSE,"Test 120 Day Accts";#N/A,#N/A,FALSE,"Tickmarks"}</definedName>
    <definedName name="____dic2004" localSheetId="14" hidden="1">{#N/A,#N/A,FALSE,"Aging Summary";#N/A,#N/A,FALSE,"Ratio Analysis";#N/A,#N/A,FALSE,"Test 120 Day Accts";#N/A,#N/A,FALSE,"Tickmarks"}</definedName>
    <definedName name="____dic2004" hidden="1">{#N/A,#N/A,FALSE,"Aging Summary";#N/A,#N/A,FALSE,"Ratio Analysis";#N/A,#N/A,FALSE,"Test 120 Day Accts";#N/A,#N/A,FALSE,"Tickmarks"}</definedName>
    <definedName name="____ds13" localSheetId="14" hidden="1">{#N/A,#N/A,FALSE,"PRECIO FULL";#N/A,#N/A,FALSE,"LARA";#N/A,#N/A,FALSE,"CARACAS";#N/A,#N/A,FALSE,"DISBRACENTRO";#N/A,#N/A,FALSE,"ANDES";#N/A,#N/A,FALSE,"MAR CARIBE";#N/A,#N/A,FALSE,"RIO BEER";#N/A,#N/A,FALSE,"DISBRAH"}</definedName>
    <definedName name="____ds13" hidden="1">{#N/A,#N/A,FALSE,"PRECIO FULL";#N/A,#N/A,FALSE,"LARA";#N/A,#N/A,FALSE,"CARACAS";#N/A,#N/A,FALSE,"DISBRACENTRO";#N/A,#N/A,FALSE,"ANDES";#N/A,#N/A,FALSE,"MAR CARIBE";#N/A,#N/A,FALSE,"RIO BEER";#N/A,#N/A,FALSE,"DISBRAH"}</definedName>
    <definedName name="____EF2" localSheetId="14" hidden="1">{#N/A,#N/A,FALSE,"Aging Summary";#N/A,#N/A,FALSE,"Ratio Analysis";#N/A,#N/A,FALSE,"Test 120 Day Accts";#N/A,#N/A,FALSE,"Tickmarks"}</definedName>
    <definedName name="____EF2" hidden="1">{#N/A,#N/A,FALSE,"Aging Summary";#N/A,#N/A,FALSE,"Ratio Analysis";#N/A,#N/A,FALSE,"Test 120 Day Accts";#N/A,#N/A,FALSE,"Tickmarks"}</definedName>
    <definedName name="____f" localSheetId="14" hidden="1">{"RESUMEN",#N/A,FALSE,"RESUMEN";"RESUMEN_MARG",#N/A,FALSE,"RESUMEN"}</definedName>
    <definedName name="____f" hidden="1">{"RESUMEN",#N/A,FALSE,"RESUMEN";"RESUMEN_MARG",#N/A,FALSE,"RESUMEN"}</definedName>
    <definedName name="____imp2" localSheetId="14" hidden="1">{#N/A,#N/A,FALSE,"Hoja1";#N/A,#N/A,FALSE,"Hoja2"}</definedName>
    <definedName name="____imp2" hidden="1">{#N/A,#N/A,FALSE,"Hoja1";#N/A,#N/A,FALSE,"Hoja2"}</definedName>
    <definedName name="____iso2010" localSheetId="14" hidden="1">{#N/A,#N/A,FALSE,"Resumen";#N/A,#N/A,FALSE,"Full";#N/A,"Carabeer",FALSE,"Dscto.";#N/A,"Disbracentro",FALSE,"Dscto.";#N/A,"Andes",FALSE,"Dscto.";#N/A,"Mar Caribe",FALSE,"Dscto.";#N/A,"Río Beer",FALSE,"Dscto.";#N/A,#N/A,FALSE,"P.L.Full";#N/A,#N/A,FALSE,"P.L.Desc."}</definedName>
    <definedName name="____iso2010" hidden="1">{#N/A,#N/A,FALSE,"Resumen";#N/A,#N/A,FALSE,"Full";#N/A,"Carabeer",FALSE,"Dscto.";#N/A,"Disbracentro",FALSE,"Dscto.";#N/A,"Andes",FALSE,"Dscto.";#N/A,"Mar Caribe",FALSE,"Dscto.";#N/A,"Río Beer",FALSE,"Dscto.";#N/A,#N/A,FALSE,"P.L.Full";#N/A,#N/A,FALSE,"P.L.Desc."}</definedName>
    <definedName name="____iso22" localSheetId="14" hidden="1">{"Yr2TM1",#N/A,FALSE,"Line Data";"Yr2TM2",#N/A,FALSE,"Line Data";"Yr2TM3",#N/A,FALSE,"Line Data"}</definedName>
    <definedName name="____iso22" hidden="1">{"Yr2TM1",#N/A,FALSE,"Line Data";"Yr2TM2",#N/A,FALSE,"Line Data";"Yr2TM3",#N/A,FALSE,"Line Data"}</definedName>
    <definedName name="____iso45" localSheetId="14" hidden="1">{#N/A,#N/A,FALSE,"PRECIO FULL";#N/A,#N/A,FALSE,"LARA";#N/A,#N/A,FALSE,"CARACAS";#N/A,#N/A,FALSE,"DISBRACENTRO";#N/A,#N/A,FALSE,"ANDES";#N/A,#N/A,FALSE,"MAR CARIBE";#N/A,#N/A,FALSE,"RIO BEER";#N/A,#N/A,FALSE,"DISBRAH"}</definedName>
    <definedName name="____iso45" hidden="1">{#N/A,#N/A,FALSE,"PRECIO FULL";#N/A,#N/A,FALSE,"LARA";#N/A,#N/A,FALSE,"CARACAS";#N/A,#N/A,FALSE,"DISBRACENTRO";#N/A,#N/A,FALSE,"ANDES";#N/A,#N/A,FALSE,"MAR CARIBE";#N/A,#N/A,FALSE,"RIO BEER";#N/A,#N/A,FALSE,"DISBRAH"}</definedName>
    <definedName name="____kja9"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_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__ok1" localSheetId="14" hidden="1">{"Yr0TM1",#N/A,FALSE,"Line Data";"Yr0TM2",#N/A,FALSE,"Line Data";"Yr0TM3",#N/A,FALSE,"Line Data"}</definedName>
    <definedName name="____ok1" hidden="1">{"Yr0TM1",#N/A,FALSE,"Line Data";"Yr0TM2",#N/A,FALSE,"Line Data";"Yr0TM3",#N/A,FALSE,"Line Data"}</definedName>
    <definedName name="____SET2006" localSheetId="14" hidden="1">{#N/A,#N/A,FALSE,"Cronograma";#N/A,#N/A,FALSE,"Cronogr. 2"}</definedName>
    <definedName name="____SET2006" hidden="1">{#N/A,#N/A,FALSE,"Cronograma";#N/A,#N/A,FALSE,"Cronogr. 2"}</definedName>
    <definedName name="___a3" localSheetId="14" hidden="1">{#N/A,#N/A,FALSE,"Cronograma";#N/A,#N/A,FALSE,"Cronogr. 2"}</definedName>
    <definedName name="___a3" hidden="1">{#N/A,#N/A,FALSE,"Cronograma";#N/A,#N/A,FALSE,"Cronogr. 2"}</definedName>
    <definedName name="___DIC2000" localSheetId="14" hidden="1">{#N/A,#N/A,FALSE,"Aging Summary";#N/A,#N/A,FALSE,"Ratio Analysis";#N/A,#N/A,FALSE,"Test 120 Day Accts";#N/A,#N/A,FALSE,"Tickmarks"}</definedName>
    <definedName name="___DIC2000" hidden="1">{#N/A,#N/A,FALSE,"Aging Summary";#N/A,#N/A,FALSE,"Ratio Analysis";#N/A,#N/A,FALSE,"Test 120 Day Accts";#N/A,#N/A,FALSE,"Tickmarks"}</definedName>
    <definedName name="___dic2004" localSheetId="14" hidden="1">{#N/A,#N/A,FALSE,"Aging Summary";#N/A,#N/A,FALSE,"Ratio Analysis";#N/A,#N/A,FALSE,"Test 120 Day Accts";#N/A,#N/A,FALSE,"Tickmarks"}</definedName>
    <definedName name="___dic2004" hidden="1">{#N/A,#N/A,FALSE,"Aging Summary";#N/A,#N/A,FALSE,"Ratio Analysis";#N/A,#N/A,FALSE,"Test 120 Day Accts";#N/A,#N/A,FALSE,"Tickmarks"}</definedName>
    <definedName name="___EF2" localSheetId="14" hidden="1">{#N/A,#N/A,FALSE,"Aging Summary";#N/A,#N/A,FALSE,"Ratio Analysis";#N/A,#N/A,FALSE,"Test 120 Day Accts";#N/A,#N/A,FALSE,"Tickmarks"}</definedName>
    <definedName name="___EF2" hidden="1">{#N/A,#N/A,FALSE,"Aging Summary";#N/A,#N/A,FALSE,"Ratio Analysis";#N/A,#N/A,FALSE,"Test 120 Day Accts";#N/A,#N/A,FALSE,"Tickmarks"}</definedName>
    <definedName name="___iso2010" localSheetId="14" hidden="1">{#N/A,#N/A,FALSE,"Resumen";#N/A,#N/A,FALSE,"Full";#N/A,"Carabeer",FALSE,"Dscto.";#N/A,"Disbracentro",FALSE,"Dscto.";#N/A,"Andes",FALSE,"Dscto.";#N/A,"Mar Caribe",FALSE,"Dscto.";#N/A,"Río Beer",FALSE,"Dscto.";#N/A,#N/A,FALSE,"P.L.Full";#N/A,#N/A,FALSE,"P.L.Desc."}</definedName>
    <definedName name="___iso2010" hidden="1">{#N/A,#N/A,FALSE,"Resumen";#N/A,#N/A,FALSE,"Full";#N/A,"Carabeer",FALSE,"Dscto.";#N/A,"Disbracentro",FALSE,"Dscto.";#N/A,"Andes",FALSE,"Dscto.";#N/A,"Mar Caribe",FALSE,"Dscto.";#N/A,"Río Beer",FALSE,"Dscto.";#N/A,#N/A,FALSE,"P.L.Full";#N/A,#N/A,FALSE,"P.L.Desc."}</definedName>
    <definedName name="___iso22" localSheetId="14" hidden="1">{"Yr2TM1",#N/A,FALSE,"Line Data";"Yr2TM2",#N/A,FALSE,"Line Data";"Yr2TM3",#N/A,FALSE,"Line Data"}</definedName>
    <definedName name="___iso22" hidden="1">{"Yr2TM1",#N/A,FALSE,"Line Data";"Yr2TM2",#N/A,FALSE,"Line Data";"Yr2TM3",#N/A,FALSE,"Line Data"}</definedName>
    <definedName name="___iso45" localSheetId="14" hidden="1">{#N/A,#N/A,FALSE,"PRECIO FULL";#N/A,#N/A,FALSE,"LARA";#N/A,#N/A,FALSE,"CARACAS";#N/A,#N/A,FALSE,"DISBRACENTRO";#N/A,#N/A,FALSE,"ANDES";#N/A,#N/A,FALSE,"MAR CARIBE";#N/A,#N/A,FALSE,"RIO BEER";#N/A,#N/A,FALSE,"DISBRAH"}</definedName>
    <definedName name="___iso45" hidden="1">{#N/A,#N/A,FALSE,"PRECIO FULL";#N/A,#N/A,FALSE,"LARA";#N/A,#N/A,FALSE,"CARACAS";#N/A,#N/A,FALSE,"DISBRACENTRO";#N/A,#N/A,FALSE,"ANDES";#N/A,#N/A,FALSE,"MAR CARIBE";#N/A,#N/A,FALSE,"RIO BEER";#N/A,#N/A,FALSE,"DISBRAH"}</definedName>
    <definedName name="___SET2006" localSheetId="14" hidden="1">{#N/A,#N/A,FALSE,"Cronograma";#N/A,#N/A,FALSE,"Cronogr. 2"}</definedName>
    <definedName name="___SET2006" hidden="1">{#N/A,#N/A,FALSE,"Cronograma";#N/A,#N/A,FALSE,"Cronogr. 2"}</definedName>
    <definedName name="__a1" localSheetId="14" hidden="1">{"PET1",#N/A,TRUE,"PET";"PET2",#N/A,TRUE,"PET";"PET3",#N/A,TRUE,"PET";"GLASS1",#N/A,TRUE,"GLASS"}</definedName>
    <definedName name="__a1" hidden="1">{"PET1",#N/A,TRUE,"PET";"PET2",#N/A,TRUE,"PET";"PET3",#N/A,TRUE,"PET";"GLASS1",#N/A,TRUE,"GLASS"}</definedName>
    <definedName name="__a3" localSheetId="14" hidden="1">{#N/A,#N/A,FALSE,"Cronograma";#N/A,#N/A,FALSE,"Cronogr. 2"}</definedName>
    <definedName name="__a3" hidden="1">{#N/A,#N/A,FALSE,"Cronograma";#N/A,#N/A,FALSE,"Cronogr. 2"}</definedName>
    <definedName name="__CED10" localSheetId="14" hidden="1">{"Prenissas",#N/A,FALSE,"Consolidado (3)";"Lucros000",#N/A,FALSE,"Consolidado (3)";"LucrosHL",#N/A,FALSE,"Consolidado (3)";"Balanco",#N/A,FALSE,"Consolidado (3)";"FluxoC",#N/A,FALSE,"Consolidado (3)"}</definedName>
    <definedName name="__CED10" hidden="1">{"Prenissas",#N/A,FALSE,"Consolidado (3)";"Lucros000",#N/A,FALSE,"Consolidado (3)";"LucrosHL",#N/A,FALSE,"Consolidado (3)";"Balanco",#N/A,FALSE,"Consolidado (3)";"FluxoC",#N/A,FALSE,"Consolidado (3)"}</definedName>
    <definedName name="__CED101" localSheetId="14" hidden="1">{"Prenissas",#N/A,FALSE,"Consolidado (3)";"Lucros000",#N/A,FALSE,"Consolidado (3)";"LucrosHL",#N/A,FALSE,"Consolidado (3)";"Balanco",#N/A,FALSE,"Consolidado (3)";"FluxoC",#N/A,FALSE,"Consolidado (3)"}</definedName>
    <definedName name="__CED101" hidden="1">{"Prenissas",#N/A,FALSE,"Consolidado (3)";"Lucros000",#N/A,FALSE,"Consolidado (3)";"LucrosHL",#N/A,FALSE,"Consolidado (3)";"Balanco",#N/A,FALSE,"Consolidado (3)";"FluxoC",#N/A,FALSE,"Consolidado (3)"}</definedName>
    <definedName name="__CED11" localSheetId="14" hidden="1">{"miles",#N/A,FALSE,"LUCROS E PERDAS (US$ 000)";"hl",#N/A,FALSE,"LUCROS E PERDAS (US$ 000)"}</definedName>
    <definedName name="__CED11" hidden="1">{"miles",#N/A,FALSE,"LUCROS E PERDAS (US$ 000)";"hl",#N/A,FALSE,"LUCROS E PERDAS (US$ 000)"}</definedName>
    <definedName name="__CED112" localSheetId="14" hidden="1">{"miles",#N/A,FALSE,"LUCROS E PERDAS (US$ 000)";"hl",#N/A,FALSE,"LUCROS E PERDAS (US$ 000)"}</definedName>
    <definedName name="__CED112" hidden="1">{"miles",#N/A,FALSE,"LUCROS E PERDAS (US$ 000)";"hl",#N/A,FALSE,"LUCROS E PERDAS (US$ 000)"}</definedName>
    <definedName name="__DIC2000" localSheetId="14" hidden="1">{#N/A,#N/A,FALSE,"Aging Summary";#N/A,#N/A,FALSE,"Ratio Analysis";#N/A,#N/A,FALSE,"Test 120 Day Accts";#N/A,#N/A,FALSE,"Tickmarks"}</definedName>
    <definedName name="__DIC2000" hidden="1">{#N/A,#N/A,FALSE,"Aging Summary";#N/A,#N/A,FALSE,"Ratio Analysis";#N/A,#N/A,FALSE,"Test 120 Day Accts";#N/A,#N/A,FALSE,"Tickmarks"}</definedName>
    <definedName name="__dic2004" localSheetId="14" hidden="1">{#N/A,#N/A,FALSE,"Aging Summary";#N/A,#N/A,FALSE,"Ratio Analysis";#N/A,#N/A,FALSE,"Test 120 Day Accts";#N/A,#N/A,FALSE,"Tickmarks"}</definedName>
    <definedName name="__dic2004" hidden="1">{#N/A,#N/A,FALSE,"Aging Summary";#N/A,#N/A,FALSE,"Ratio Analysis";#N/A,#N/A,FALSE,"Test 120 Day Accts";#N/A,#N/A,FALSE,"Tickmarks"}</definedName>
    <definedName name="__ds13" localSheetId="14" hidden="1">{#N/A,#N/A,FALSE,"PRECIO FULL";#N/A,#N/A,FALSE,"LARA";#N/A,#N/A,FALSE,"CARACAS";#N/A,#N/A,FALSE,"DISBRACENTRO";#N/A,#N/A,FALSE,"ANDES";#N/A,#N/A,FALSE,"MAR CARIBE";#N/A,#N/A,FALSE,"RIO BEER";#N/A,#N/A,FALSE,"DISBRAH"}</definedName>
    <definedName name="__ds13" hidden="1">{#N/A,#N/A,FALSE,"PRECIO FULL";#N/A,#N/A,FALSE,"LARA";#N/A,#N/A,FALSE,"CARACAS";#N/A,#N/A,FALSE,"DISBRACENTRO";#N/A,#N/A,FALSE,"ANDES";#N/A,#N/A,FALSE,"MAR CARIBE";#N/A,#N/A,FALSE,"RIO BEER";#N/A,#N/A,FALSE,"DISBRAH"}</definedName>
    <definedName name="__EF2" localSheetId="14" hidden="1">{#N/A,#N/A,FALSE,"Aging Summary";#N/A,#N/A,FALSE,"Ratio Analysis";#N/A,#N/A,FALSE,"Test 120 Day Accts";#N/A,#N/A,FALSE,"Tickmarks"}</definedName>
    <definedName name="__EF2" hidden="1">{#N/A,#N/A,FALSE,"Aging Summary";#N/A,#N/A,FALSE,"Ratio Analysis";#N/A,#N/A,FALSE,"Test 120 Day Accts";#N/A,#N/A,FALSE,"Tickmarks"}</definedName>
    <definedName name="__f" localSheetId="14" hidden="1">{"RESUMEN",#N/A,FALSE,"RESUMEN";"RESUMEN_MARG",#N/A,FALSE,"RESUMEN"}</definedName>
    <definedName name="__f" hidden="1">{"RESUMEN",#N/A,FALSE,"RESUMEN";"RESUMEN_MARG",#N/A,FALSE,"RESUMEN"}</definedName>
    <definedName name="__FDS_HYPERLINK_TOGGLE_STATE__" hidden="1">"ON"</definedName>
    <definedName name="__imp2" localSheetId="14" hidden="1">{#N/A,#N/A,FALSE,"Hoja1";#N/A,#N/A,FALSE,"Hoja2"}</definedName>
    <definedName name="__imp2" hidden="1">{#N/A,#N/A,FALSE,"Hoja1";#N/A,#N/A,FALSE,"Hoja2"}</definedName>
    <definedName name="__iso2010" localSheetId="14" hidden="1">{#N/A,#N/A,FALSE,"Resumen";#N/A,#N/A,FALSE,"Full";#N/A,"Carabeer",FALSE,"Dscto.";#N/A,"Disbracentro",FALSE,"Dscto.";#N/A,"Andes",FALSE,"Dscto.";#N/A,"Mar Caribe",FALSE,"Dscto.";#N/A,"Río Beer",FALSE,"Dscto.";#N/A,#N/A,FALSE,"P.L.Full";#N/A,#N/A,FALSE,"P.L.Desc."}</definedName>
    <definedName name="__iso2010" hidden="1">{#N/A,#N/A,FALSE,"Resumen";#N/A,#N/A,FALSE,"Full";#N/A,"Carabeer",FALSE,"Dscto.";#N/A,"Disbracentro",FALSE,"Dscto.";#N/A,"Andes",FALSE,"Dscto.";#N/A,"Mar Caribe",FALSE,"Dscto.";#N/A,"Río Beer",FALSE,"Dscto.";#N/A,#N/A,FALSE,"P.L.Full";#N/A,#N/A,FALSE,"P.L.Desc."}</definedName>
    <definedName name="__iso22" localSheetId="14" hidden="1">{"Yr2TM1",#N/A,FALSE,"Line Data";"Yr2TM2",#N/A,FALSE,"Line Data";"Yr2TM3",#N/A,FALSE,"Line Data"}</definedName>
    <definedName name="__iso22" hidden="1">{"Yr2TM1",#N/A,FALSE,"Line Data";"Yr2TM2",#N/A,FALSE,"Line Data";"Yr2TM3",#N/A,FALSE,"Line Data"}</definedName>
    <definedName name="__iso45" localSheetId="14" hidden="1">{#N/A,#N/A,FALSE,"PRECIO FULL";#N/A,#N/A,FALSE,"LARA";#N/A,#N/A,FALSE,"CARACAS";#N/A,#N/A,FALSE,"DISBRACENTRO";#N/A,#N/A,FALSE,"ANDES";#N/A,#N/A,FALSE,"MAR CARIBE";#N/A,#N/A,FALSE,"RIO BEER";#N/A,#N/A,FALSE,"DISBRAH"}</definedName>
    <definedName name="__iso45" hidden="1">{#N/A,#N/A,FALSE,"PRECIO FULL";#N/A,#N/A,FALSE,"LARA";#N/A,#N/A,FALSE,"CARACAS";#N/A,#N/A,FALSE,"DISBRACENTRO";#N/A,#N/A,FALSE,"ANDES";#N/A,#N/A,FALSE,"MAR CARIBE";#N/A,#N/A,FALSE,"RIO BEER";#N/A,#N/A,FALSE,"DISBRAH"}</definedName>
    <definedName name="__kja9"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kja9"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__ok1" localSheetId="14" hidden="1">{"Yr0TM1",#N/A,FALSE,"Line Data";"Yr0TM2",#N/A,FALSE,"Line Data";"Yr0TM3",#N/A,FALSE,"Line Data"}</definedName>
    <definedName name="__ok1" hidden="1">{"Yr0TM1",#N/A,FALSE,"Line Data";"Yr0TM2",#N/A,FALSE,"Line Data";"Yr0TM3",#N/A,FALSE,"Line Data"}</definedName>
    <definedName name="__SET2006" localSheetId="14" hidden="1">{#N/A,#N/A,FALSE,"Cronograma";#N/A,#N/A,FALSE,"Cronogr. 2"}</definedName>
    <definedName name="__SET2006" hidden="1">{#N/A,#N/A,FALSE,"Cronograma";#N/A,#N/A,FALSE,"Cronogr. 2"}</definedName>
    <definedName name="_a3" localSheetId="14" hidden="1">{#N/A,#N/A,FALSE,"Cronograma";#N/A,#N/A,FALSE,"Cronogr. 2"}</definedName>
    <definedName name="_a3" hidden="1">{#N/A,#N/A,FALSE,"Cronograma";#N/A,#N/A,FALSE,"Cronogr. 2"}</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6</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1</definedName>
    <definedName name="_AtRisk_SimSetting_ReportOptionCustomItemSummaryGraphType02" hidden="1">1</definedName>
    <definedName name="_AtRisk_SimSetting_ReportOptionCustomItemSummaryGraphType03" hidden="1">1</definedName>
    <definedName name="_AtRisk_SimSetting_ReportOptionCustomItemSummaryGraphType04" hidden="1">1</definedName>
    <definedName name="_AtRisk_SimSetting_ReportOptionCustomItemSummaryGraphType05" hidden="1">1</definedName>
    <definedName name="_AtRisk_SimSetting_ReportOptionCustomItemSummaryGraphType06" hidden="1">1</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DIC2000" localSheetId="14" hidden="1">{#N/A,#N/A,FALSE,"Aging Summary";#N/A,#N/A,FALSE,"Ratio Analysis";#N/A,#N/A,FALSE,"Test 120 Day Accts";#N/A,#N/A,FALSE,"Tickmarks"}</definedName>
    <definedName name="_DIC2000" hidden="1">{#N/A,#N/A,FALSE,"Aging Summary";#N/A,#N/A,FALSE,"Ratio Analysis";#N/A,#N/A,FALSE,"Test 120 Day Accts";#N/A,#N/A,FALSE,"Tickmarks"}</definedName>
    <definedName name="_dic2004" localSheetId="14" hidden="1">{#N/A,#N/A,FALSE,"Aging Summary";#N/A,#N/A,FALSE,"Ratio Analysis";#N/A,#N/A,FALSE,"Test 120 Day Accts";#N/A,#N/A,FALSE,"Tickmarks"}</definedName>
    <definedName name="_dic2004" hidden="1">{#N/A,#N/A,FALSE,"Aging Summary";#N/A,#N/A,FALSE,"Ratio Analysis";#N/A,#N/A,FALSE,"Test 120 Day Accts";#N/A,#N/A,FALSE,"Tickmarks"}</definedName>
    <definedName name="_EF2" localSheetId="14" hidden="1">{#N/A,#N/A,FALSE,"Aging Summary";#N/A,#N/A,FALSE,"Ratio Analysis";#N/A,#N/A,FALSE,"Test 120 Day Accts";#N/A,#N/A,FALSE,"Tickmarks"}</definedName>
    <definedName name="_EF2" hidden="1">{#N/A,#N/A,FALSE,"Aging Summary";#N/A,#N/A,FALSE,"Ratio Analysis";#N/A,#N/A,FALSE,"Test 120 Day Accts";#N/A,#N/A,FALSE,"Tickmarks"}</definedName>
    <definedName name="_Fill" hidden="1">#REF!</definedName>
    <definedName name="_iso2010" localSheetId="14" hidden="1">{#N/A,#N/A,FALSE,"Resumen";#N/A,#N/A,FALSE,"Full";#N/A,"Carabeer",FALSE,"Dscto.";#N/A,"Disbracentro",FALSE,"Dscto.";#N/A,"Andes",FALSE,"Dscto.";#N/A,"Mar Caribe",FALSE,"Dscto.";#N/A,"Río Beer",FALSE,"Dscto.";#N/A,#N/A,FALSE,"P.L.Full";#N/A,#N/A,FALSE,"P.L.Desc."}</definedName>
    <definedName name="_iso2010" hidden="1">{#N/A,#N/A,FALSE,"Resumen";#N/A,#N/A,FALSE,"Full";#N/A,"Carabeer",FALSE,"Dscto.";#N/A,"Disbracentro",FALSE,"Dscto.";#N/A,"Andes",FALSE,"Dscto.";#N/A,"Mar Caribe",FALSE,"Dscto.";#N/A,"Río Beer",FALSE,"Dscto.";#N/A,#N/A,FALSE,"P.L.Full";#N/A,#N/A,FALSE,"P.L.Desc."}</definedName>
    <definedName name="_iso22" localSheetId="14" hidden="1">{"Yr2TM1",#N/A,FALSE,"Line Data";"Yr2TM2",#N/A,FALSE,"Line Data";"Yr2TM3",#N/A,FALSE,"Line Data"}</definedName>
    <definedName name="_iso22" hidden="1">{"Yr2TM1",#N/A,FALSE,"Line Data";"Yr2TM2",#N/A,FALSE,"Line Data";"Yr2TM3",#N/A,FALSE,"Line Data"}</definedName>
    <definedName name="_iso45" localSheetId="14" hidden="1">{#N/A,#N/A,FALSE,"PRECIO FULL";#N/A,#N/A,FALSE,"LARA";#N/A,#N/A,FALSE,"CARACAS";#N/A,#N/A,FALSE,"DISBRACENTRO";#N/A,#N/A,FALSE,"ANDES";#N/A,#N/A,FALSE,"MAR CARIBE";#N/A,#N/A,FALSE,"RIO BEER";#N/A,#N/A,FALSE,"DISBRAH"}</definedName>
    <definedName name="_iso45" hidden="1">{#N/A,#N/A,FALSE,"PRECIO FULL";#N/A,#N/A,FALSE,"LARA";#N/A,#N/A,FALSE,"CARACAS";#N/A,#N/A,FALSE,"DISBRACENTRO";#N/A,#N/A,FALSE,"ANDES";#N/A,#N/A,FALSE,"MAR CARIBE";#N/A,#N/A,FALSE,"RIO BEER";#N/A,#N/A,FALSE,"DISBRAH"}</definedName>
    <definedName name="_Key1" hidden="1">#REF!</definedName>
    <definedName name="_key2" hidden="1">#REF!</definedName>
    <definedName name="_Key3" hidden="1">#REF!</definedName>
    <definedName name="_Order1" hidden="1">255</definedName>
    <definedName name="_Order2" hidden="1">255</definedName>
    <definedName name="_Parse_Out" hidden="1">#REF!</definedName>
    <definedName name="_Regression_Out" hidden="1">#REF!</definedName>
    <definedName name="_Regression_X" hidden="1">#REF!</definedName>
    <definedName name="_Regression_Y" hidden="1">#REF!</definedName>
    <definedName name="_SET2006" localSheetId="14" hidden="1">{#N/A,#N/A,FALSE,"Cronograma";#N/A,#N/A,FALSE,"Cronogr. 2"}</definedName>
    <definedName name="_SET2006" hidden="1">{#N/A,#N/A,FALSE,"Cronograma";#N/A,#N/A,FALSE,"Cronogr. 2"}</definedName>
    <definedName name="_Sort" hidden="1">#REF!</definedName>
    <definedName name="_Sort2" hidden="1">#REF!</definedName>
    <definedName name="aaa" localSheetId="14" hidden="1">{#N/A,#N/A,FALSE,"Aging Summary";#N/A,#N/A,FALSE,"Ratio Analysis";#N/A,#N/A,FALSE,"Test 120 Day Accts";#N/A,#N/A,FALSE,"Tickmarks"}</definedName>
    <definedName name="aaa" hidden="1">{#N/A,#N/A,FALSE,"Aging Summary";#N/A,#N/A,FALSE,"Ratio Analysis";#N/A,#N/A,FALSE,"Test 120 Day Accts";#N/A,#N/A,FALSE,"Tickmarks"}</definedName>
    <definedName name="aaaa" localSheetId="14" hidden="1">{#N/A,#N/A,FALSE,"Aging Summary";#N/A,#N/A,FALSE,"Ratio Analysis";#N/A,#N/A,FALSE,"Test 120 Day Accts";#N/A,#N/A,FALSE,"Tickmarks"}</definedName>
    <definedName name="aaaa" hidden="1">{#N/A,#N/A,FALSE,"Aging Summary";#N/A,#N/A,FALSE,"Ratio Analysis";#N/A,#N/A,FALSE,"Test 120 Day Accts";#N/A,#N/A,FALSE,"Tickmarks"}</definedName>
    <definedName name="AAAAA" localSheetId="14" hidden="1">{#N/A,#N/A,FALSE,"PRECIO FULL";#N/A,#N/A,FALSE,"LARA";#N/A,#N/A,FALSE,"CARACAS";#N/A,#N/A,FALSE,"DISBRACENTRO";#N/A,#N/A,FALSE,"ANDES";#N/A,#N/A,FALSE,"MAR CARIBE";#N/A,#N/A,FALSE,"RIO BEER";#N/A,#N/A,FALSE,"DISBRAH"}</definedName>
    <definedName name="AAAAA" hidden="1">{#N/A,#N/A,FALSE,"PRECIO FULL";#N/A,#N/A,FALSE,"LARA";#N/A,#N/A,FALSE,"CARACAS";#N/A,#N/A,FALSE,"DISBRACENTRO";#N/A,#N/A,FALSE,"ANDES";#N/A,#N/A,FALSE,"MAR CARIBE";#N/A,#N/A,FALSE,"RIO BEER";#N/A,#N/A,FALSE,"DISBRAH"}</definedName>
    <definedName name="aaaaaaaa" localSheetId="14" hidden="1">{"CAP VOL",#N/A,FALSE,"CAPITAL";"CAP VAR",#N/A,FALSE,"CAPITAL";"CAP FIJ",#N/A,FALSE,"CAPITAL";"CAP CONS",#N/A,FALSE,"CAPITAL";"CAP DATA",#N/A,FALSE,"CAPITAL"}</definedName>
    <definedName name="aaaaaaaa" hidden="1">{"CAP VOL",#N/A,FALSE,"CAPITAL";"CAP VAR",#N/A,FALSE,"CAPITAL";"CAP FIJ",#N/A,FALSE,"CAPITAL";"CAP CONS",#N/A,FALSE,"CAPITAL";"CAP DATA",#N/A,FALSE,"CAPITAL"}</definedName>
    <definedName name="aald" localSheetId="14" hidden="1">{#N/A,#N/A,FALSE,"Hoja1";#N/A,#N/A,FALSE,"Hoja2"}</definedName>
    <definedName name="aald" hidden="1">{#N/A,#N/A,FALSE,"Hoja1";#N/A,#N/A,FALSE,"Hoja2"}</definedName>
    <definedName name="aasa" hidden="1">#REF!</definedName>
    <definedName name="AASS" localSheetId="14" hidden="1">{"RESUMEN",#N/A,FALSE,"RESUMEN";"RESUMEN_MARG",#N/A,FALSE,"RESUMEN"}</definedName>
    <definedName name="AASS" hidden="1">{"RESUMEN",#N/A,FALSE,"RESUMEN";"RESUMEN_MARG",#N/A,FALSE,"RESUMEN"}</definedName>
    <definedName name="ab" localSheetId="14" hidden="1">{"CAP VOL",#N/A,FALSE,"CAPITAL";"CAP VAR",#N/A,FALSE,"CAPITAL";"CAP FIJ",#N/A,FALSE,"CAPITAL";"CAP CONS",#N/A,FALSE,"CAPITAL";"CAP DATA",#N/A,FALSE,"CAPITAL"}</definedName>
    <definedName name="ab" hidden="1">{"CAP VOL",#N/A,FALSE,"CAPITAL";"CAP VAR",#N/A,FALSE,"CAPITAL";"CAP FIJ",#N/A,FALSE,"CAPITAL";"CAP CONS",#N/A,FALSE,"CAPITAL";"CAP DATA",#N/A,FALSE,"CAPITAL"}</definedName>
    <definedName name="AccessDatabase" hidden="1">"C:\Ejercicios Libro\Ejercicios Finales\No 4 BD PERSONAL.mdb"</definedName>
    <definedName name="AG" localSheetId="14" hidden="1">{#N/A,#N/A,FALSE,"Cronograma";#N/A,#N/A,FALSE,"Cronogr. 2"}</definedName>
    <definedName name="AG" hidden="1">{#N/A,#N/A,FALSE,"Cronograma";#N/A,#N/A,FALSE,"Cronogr. 2"}</definedName>
    <definedName name="AI" localSheetId="14" hidden="1">{#N/A,#N/A,FALSE,"Hoja1";#N/A,#N/A,FALSE,"Hoja2"}</definedName>
    <definedName name="AI" hidden="1">{#N/A,#N/A,FALSE,"Hoja1";#N/A,#N/A,FALSE,"Hoja2"}</definedName>
    <definedName name="alcira" localSheetId="14" hidden="1">{"Cons_Occ_Lar",#N/A,FALSE,"márgenes";"Cen_met",#N/A,FALSE,"márgenes";"Ori_pl",#N/A,FALSE,"márgenes"}</definedName>
    <definedName name="alcira" hidden="1">{"Cons_Occ_Lar",#N/A,FALSE,"márgenes";"Cen_met",#N/A,FALSE,"márgenes";"Ori_pl",#N/A,FALSE,"márgenes"}</definedName>
    <definedName name="ALH" localSheetId="14" hidden="1">{#N/A,"Carabeer",FALSE,"Dscto.";#N/A,"Disbracentro",FALSE,"Dscto.";#N/A,"Río Beer",FALSE,"Dscto.";#N/A,"Andes",FALSE,"Dscto."}</definedName>
    <definedName name="ALH" hidden="1">{#N/A,"Carabeer",FALSE,"Dscto.";#N/A,"Disbracentro",FALSE,"Dscto.";#N/A,"Río Beer",FALSE,"Dscto.";#N/A,"Andes",FALSE,"Dscto."}</definedName>
    <definedName name="ALVIN" localSheetId="14" hidden="1">{"Yr0TM1",#N/A,FALSE,"Line Data";"Yr0TM2",#N/A,FALSE,"Line Data";"Yr0TM3",#N/A,FALSE,"Line Data"}</definedName>
    <definedName name="ALVIN" hidden="1">{"Yr0TM1",#N/A,FALSE,"Line Data";"Yr0TM2",#N/A,FALSE,"Line Data";"Yr0TM3",#N/A,FALSE,"Line Data"}</definedName>
    <definedName name="anexo22" localSheetId="14" hidden="1">{#N/A,#N/A,FALSE,"Aging Summary";#N/A,#N/A,FALSE,"Ratio Analysis";#N/A,#N/A,FALSE,"Test 120 Day Accts";#N/A,#N/A,FALSE,"Tickmarks"}</definedName>
    <definedName name="anexo22" hidden="1">{#N/A,#N/A,FALSE,"Aging Summary";#N/A,#N/A,FALSE,"Ratio Analysis";#N/A,#N/A,FALSE,"Test 120 Day Accts";#N/A,#N/A,FALSE,"Tickmarks"}</definedName>
    <definedName name="anscount" hidden="1">2</definedName>
    <definedName name="AS2DocOpenMode" hidden="1">"AS2DocumentEdit"</definedName>
    <definedName name="ASAS" localSheetId="14" hidden="1">{"RESUMEN",#N/A,FALSE,"RESUMEN";"RESUMEN_MARG",#N/A,FALSE,"RESUMEN"}</definedName>
    <definedName name="ASAS" hidden="1">{"RESUMEN",#N/A,FALSE,"RESUMEN";"RESUMEN_MARG",#N/A,FALSE,"RESUMEN"}</definedName>
    <definedName name="asdasda" localSheetId="14" hidden="1">{"prem1",#N/A,FALSE,"Consolidado";"pl_us",#N/A,FALSE,"Consolidado";"pl_hl",#N/A,FALSE,"Consolidado";"bs",#N/A,FALSE,"Consolidado";"cf",#N/A,FALSE,"Consolidado"}</definedName>
    <definedName name="asdasda" hidden="1">{"prem1",#N/A,FALSE,"Consolidado";"pl_us",#N/A,FALSE,"Consolidado";"pl_hl",#N/A,FALSE,"Consolidado";"bs",#N/A,FALSE,"Consolidado";"cf",#N/A,FALSE,"Consolidado"}</definedName>
    <definedName name="ASDE" localSheetId="14" hidden="1">{#N/A,#N/A,FALSE,"FIN AÑO"}</definedName>
    <definedName name="ASDE" hidden="1">{#N/A,#N/A,FALSE,"FIN AÑO"}</definedName>
    <definedName name="asdqw" localSheetId="14" hidden="1">{"CAP VOL",#N/A,FALSE,"CAPITAL";"CAP VAR",#N/A,FALSE,"CAPITAL";"CAP FIJ",#N/A,FALSE,"CAPITAL";"CAP CONS",#N/A,FALSE,"CAPITAL";"CAP DATA",#N/A,FALSE,"CAPITAL"}</definedName>
    <definedName name="asdqw" hidden="1">{"CAP VOL",#N/A,FALSE,"CAPITAL";"CAP VAR",#N/A,FALSE,"CAPITAL";"CAP FIJ",#N/A,FALSE,"CAPITAL";"CAP CONS",#N/A,FALSE,"CAPITAL";"CAP DATA",#N/A,FALSE,"CAPITAL"}</definedName>
    <definedName name="asdsa" localSheetId="14" hidden="1">{"Yr2TM1",#N/A,FALSE,"Line Data";"Yr2TM2",#N/A,FALSE,"Line Data";"Yr2TM3",#N/A,FALSE,"Line Data"}</definedName>
    <definedName name="asdsa" hidden="1">{"Yr2TM1",#N/A,FALSE,"Line Data";"Yr2TM2",#N/A,FALSE,"Line Data";"Yr2TM3",#N/A,FALSE,"Line Data"}</definedName>
    <definedName name="asñl" localSheetId="14" hidden="1">{#N/A,#N/A,FALSE,"RGD$";#N/A,#N/A,FALSE,"BG$";#N/A,#N/A,FALSE,"FC$"}</definedName>
    <definedName name="asñl" hidden="1">{#N/A,#N/A,FALSE,"RGD$";#N/A,#N/A,FALSE,"BG$";#N/A,#N/A,FALSE,"FC$"}</definedName>
    <definedName name="ass" localSheetId="14" hidden="1">{#N/A,#N/A,FALSE,"Hoja1";#N/A,#N/A,FALSE,"Hoja2"}</definedName>
    <definedName name="ass" hidden="1">{#N/A,#N/A,FALSE,"Hoja1";#N/A,#N/A,FALSE,"Hoja2"}</definedName>
    <definedName name="ASSSS" localSheetId="14" hidden="1">{#N/A,#N/A,FALSE,"PRECIO FULL";#N/A,#N/A,FALSE,"LARA";#N/A,#N/A,FALSE,"CARACAS";#N/A,#N/A,FALSE,"DISBRACENTRO";#N/A,#N/A,FALSE,"ANDES";#N/A,#N/A,FALSE,"MAR CARIBE";#N/A,#N/A,FALSE,"RIO BEER";#N/A,#N/A,FALSE,"DISBRAH"}</definedName>
    <definedName name="ASSSS" hidden="1">{#N/A,#N/A,FALSE,"PRECIO FULL";#N/A,#N/A,FALSE,"LARA";#N/A,#N/A,FALSE,"CARACAS";#N/A,#N/A,FALSE,"DISBRACENTRO";#N/A,#N/A,FALSE,"ANDES";#N/A,#N/A,FALSE,"MAR CARIBE";#N/A,#N/A,FALSE,"RIO BEER";#N/A,#N/A,FALSE,"DISBRAH"}</definedName>
    <definedName name="asx" localSheetId="14" hidden="1">{"Prenissas",#N/A,FALSE,"Consolidado (3)";"Lucros000",#N/A,FALSE,"Consolidado (3)";"LucrosHL",#N/A,FALSE,"Consolidado (3)";"Balanco",#N/A,FALSE,"Consolidado (3)";"FluxoC",#N/A,FALSE,"Consolidado (3)"}</definedName>
    <definedName name="asx" hidden="1">{"Prenissas",#N/A,FALSE,"Consolidado (3)";"Lucros000",#N/A,FALSE,"Consolidado (3)";"LucrosHL",#N/A,FALSE,"Consolidado (3)";"Balanco",#N/A,FALSE,"Consolidado (3)";"FluxoC",#N/A,FALSE,"Consolidado (3)"}</definedName>
    <definedName name="awe" localSheetId="14" hidden="1">{"total",#N/A,FALSE,"TOTAL $";"totalhl",#N/A,FALSE,"TOTAL $HL";"vol",#N/A,FALSE,"VOLUMEN";"xprod1",#N/A,FALSE,"X PROD";"xprod2",#N/A,FALSE,"X PROD";"finaño1",#N/A,FALSE,"FIN AÑO Meta";"finaño2",#N/A,FALSE,"FIN AÑO Meta"}</definedName>
    <definedName name="awe" hidden="1">{"total",#N/A,FALSE,"TOTAL $";"totalhl",#N/A,FALSE,"TOTAL $HL";"vol",#N/A,FALSE,"VOLUMEN";"xprod1",#N/A,FALSE,"X PROD";"xprod2",#N/A,FALSE,"X PROD";"finaño1",#N/A,FALSE,"FIN AÑO Meta";"finaño2",#N/A,FALSE,"FIN AÑO Meta"}</definedName>
    <definedName name="AWER" localSheetId="14" hidden="1">{"total",#N/A,FALSE,"TOTAL $";"totalhl",#N/A,FALSE,"TOTAL $HL";"vol",#N/A,FALSE,"VOLUMEN";"xprod1",#N/A,FALSE,"X PROD";"xprod2",#N/A,FALSE,"X PROD";"finaño1",#N/A,FALSE,"FIN AÑO Meta";"finaño2",#N/A,FALSE,"FIN AÑO Meta"}</definedName>
    <definedName name="AWER" hidden="1">{"total",#N/A,FALSE,"TOTAL $";"totalhl",#N/A,FALSE,"TOTAL $HL";"vol",#N/A,FALSE,"VOLUMEN";"xprod1",#N/A,FALSE,"X PROD";"xprod2",#N/A,FALSE,"X PROD";"finaño1",#N/A,FALSE,"FIN AÑO Meta";"finaño2",#N/A,FALSE,"FIN AÑO Meta"}</definedName>
    <definedName name="babab" localSheetId="14" hidden="1">{#N/A,#N/A,FALSE,"Hoja1";#N/A,#N/A,FALSE,"Hoja2"}</definedName>
    <definedName name="babab" hidden="1">{#N/A,#N/A,FALSE,"Hoja1";#N/A,#N/A,FALSE,"Hoja2"}</definedName>
    <definedName name="BABABB" localSheetId="14" hidden="1">{#N/A,#N/A,FALSE,"Hoja1";#N/A,#N/A,FALSE,"Hoja2"}</definedName>
    <definedName name="BABABB" hidden="1">{#N/A,#N/A,FALSE,"Hoja1";#N/A,#N/A,FALSE,"Hoja2"}</definedName>
    <definedName name="BaseYear" localSheetId="9">#REF!</definedName>
    <definedName name="BaseYear" localSheetId="6">#REF!</definedName>
    <definedName name="BaseYear" localSheetId="7">#REF!</definedName>
    <definedName name="BaseYear">#REF!</definedName>
    <definedName name="bbb" localSheetId="14" hidden="1">{#N/A,#N/A,FALSE,"Aging Summary";#N/A,#N/A,FALSE,"Ratio Analysis";#N/A,#N/A,FALSE,"Test 120 Day Accts";#N/A,#N/A,FALSE,"Tickmarks"}</definedName>
    <definedName name="bbb" hidden="1">{#N/A,#N/A,FALSE,"Aging Summary";#N/A,#N/A,FALSE,"Ratio Analysis";#N/A,#N/A,FALSE,"Test 120 Day Accts";#N/A,#N/A,FALSE,"Tickmarks"}</definedName>
    <definedName name="bbbb" localSheetId="14" hidden="1">{#N/A,#N/A,FALSE,"FASE1";#N/A,#N/A,FALSE,"FASE2";#N/A,#N/A,FALSE,"FASE3";#N/A,#N/A,FALSE,"FASE4";#N/A,#N/A,FALSE,"FASE5";#N/A,#N/A,FALSE,"FASE6";#N/A,#N/A,FALSE,"FASE7";#N/A,#N/A,FALSE,"FASE8";#N/A,#N/A,FALSE,"FASE9";#N/A,#N/A,FALSE,"FASE10";#N/A,#N/A,FALSE,"EQUIPAMENTOS";#N/A,#N/A,FALSE,"MOI";#N/A,#N/A,FALSE,"CANTEIRO";#N/A,#N/A,FALSE,"TERCEIROS";#N/A,#N/A,FALSE,"DCO";#N/A,#N/A,FALSE,"RESUMO"}</definedName>
    <definedName name="bbbb" hidden="1">{#N/A,#N/A,FALSE,"FASE1";#N/A,#N/A,FALSE,"FASE2";#N/A,#N/A,FALSE,"FASE3";#N/A,#N/A,FALSE,"FASE4";#N/A,#N/A,FALSE,"FASE5";#N/A,#N/A,FALSE,"FASE6";#N/A,#N/A,FALSE,"FASE7";#N/A,#N/A,FALSE,"FASE8";#N/A,#N/A,FALSE,"FASE9";#N/A,#N/A,FALSE,"FASE10";#N/A,#N/A,FALSE,"EQUIPAMENTOS";#N/A,#N/A,FALSE,"MOI";#N/A,#N/A,FALSE,"CANTEIRO";#N/A,#N/A,FALSE,"TERCEIROS";#N/A,#N/A,FALSE,"DCO";#N/A,#N/A,FALSE,"RESUMO"}</definedName>
    <definedName name="bbbbb" localSheetId="14" hidden="1">{#N/A,#N/A,FALSE,"Hoja1";#N/A,#N/A,FALSE,"Hoja2"}</definedName>
    <definedName name="bbbbb" hidden="1">{#N/A,#N/A,FALSE,"Hoja1";#N/A,#N/A,FALSE,"Hoja2"}</definedName>
    <definedName name="BLPH1" hidden="1">#REF!</definedName>
    <definedName name="BLPH100" hidden="1">#REF!</definedName>
    <definedName name="BLPH101" hidden="1">#REF!</definedName>
    <definedName name="BLPH102" hidden="1">#REF!</definedName>
    <definedName name="BLPH103" hidden="1">#REF!</definedName>
    <definedName name="BLPH104" hidden="1">#REF!</definedName>
    <definedName name="BLPH107" hidden="1">#REF!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6" hidden="1">#REF!</definedName>
    <definedName name="BLPH97" hidden="1">#REF!</definedName>
    <definedName name="BLPH98" hidden="1">#REF!</definedName>
    <definedName name="BLPH99" hidden="1">#REF!</definedName>
    <definedName name="bnb" localSheetId="14" hidden="1">{#N/A,#N/A,FALSE,"Hoja1";#N/A,#N/A,FALSE,"Hoja2"}</definedName>
    <definedName name="bnb" hidden="1">{#N/A,#N/A,FALSE,"Hoja1";#N/A,#N/A,FALSE,"Hoja2"}</definedName>
    <definedName name="BOMBAS" localSheetId="14"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BOMBAS"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Bueno" hidden="1">#REF!</definedName>
    <definedName name="bvbv" localSheetId="14" hidden="1">{"prem1",#N/A,FALSE,"Consolidado";"pl_us",#N/A,FALSE,"Consolidado";"pl_hl",#N/A,FALSE,"Consolidado";"bs",#N/A,FALSE,"Consolidado";"cf",#N/A,FALSE,"Consolidado"}</definedName>
    <definedName name="bvbv" hidden="1">{"prem1",#N/A,FALSE,"Consolidado";"pl_us",#N/A,FALSE,"Consolidado";"pl_hl",#N/A,FALSE,"Consolidado";"bs",#N/A,FALSE,"Consolidado";"cf",#N/A,FALSE,"Consolidado"}</definedName>
    <definedName name="bvbvbv" localSheetId="14" hidden="1">{#N/A,"Carabeer",FALSE,"Dscto.";#N/A,"Disbracentro",FALSE,"Dscto.";#N/A,"Río Beer",FALSE,"Dscto.";#N/A,"Andes",FALSE,"Dscto."}</definedName>
    <definedName name="bvbvbv" hidden="1">{#N/A,"Carabeer",FALSE,"Dscto.";#N/A,"Disbracentro",FALSE,"Dscto.";#N/A,"Río Beer",FALSE,"Dscto.";#N/A,"Andes",FALSE,"Dscto."}</definedName>
    <definedName name="bvbvgfhg" localSheetId="14" hidden="1">{"prem1",#N/A,FALSE,"Consolidado";"pl_us",#N/A,FALSE,"Consolidado";"pl_hl",#N/A,FALSE,"Consolidado";"bs",#N/A,FALSE,"Consolidado";"cf",#N/A,FALSE,"Consolidado"}</definedName>
    <definedName name="bvbvgfhg" hidden="1">{"prem1",#N/A,FALSE,"Consolidado";"pl_us",#N/A,FALSE,"Consolidado";"pl_hl",#N/A,FALSE,"Consolidado";"bs",#N/A,FALSE,"Consolidado";"cf",#N/A,FALSE,"Consolidado"}</definedName>
    <definedName name="bvcbcbf" localSheetId="14" hidden="1">{"miles",#N/A,FALSE,"LUCROS E PERDAS (US$ 000)";"hl",#N/A,FALSE,"LUCROS E PERDAS (US$ 000)"}</definedName>
    <definedName name="bvcbcbf" hidden="1">{"miles",#N/A,FALSE,"LUCROS E PERDAS (US$ 000)";"hl",#N/A,FALSE,"LUCROS E PERDAS (US$ 000)"}</definedName>
    <definedName name="bvhfhgff" localSheetId="14" hidden="1">{#N/A,#N/A,FALSE,"Hoja1";#N/A,#N/A,FALSE,"Hoja2"}</definedName>
    <definedName name="bvhfhgff" hidden="1">{#N/A,#N/A,FALSE,"Hoja1";#N/A,#N/A,FALSE,"Hoja2"}</definedName>
    <definedName name="bvnbvnv" localSheetId="14" hidden="1">{"prem1",#N/A,FALSE,"Consolidado";"pl_us",#N/A,FALSE,"Consolidado";"pl_hl",#N/A,FALSE,"Consolidado";"bs",#N/A,FALSE,"Consolidado";"cf",#N/A,FALSE,"Consolidado"}</definedName>
    <definedName name="bvnbvnv" hidden="1">{"prem1",#N/A,FALSE,"Consolidado";"pl_us",#N/A,FALSE,"Consolidado";"pl_hl",#N/A,FALSE,"Consolidado";"bs",#N/A,FALSE,"Consolidado";"cf",#N/A,FALSE,"Consolidado"}</definedName>
    <definedName name="bxbcbcv" localSheetId="14" hidden="1">{"Prenissas",#N/A,FALSE,"Consolidado (3)";"Lucros000",#N/A,FALSE,"Consolidado (3)";"LucrosHL",#N/A,FALSE,"Consolidado (3)";"Balanco",#N/A,FALSE,"Consolidado (3)";"FluxoC",#N/A,FALSE,"Consolidado (3)"}</definedName>
    <definedName name="bxbcbcv" hidden="1">{"Prenissas",#N/A,FALSE,"Consolidado (3)";"Lucros000",#N/A,FALSE,"Consolidado (3)";"LucrosHL",#N/A,FALSE,"Consolidado (3)";"Balanco",#N/A,FALSE,"Consolidado (3)";"FluxoC",#N/A,FALSE,"Consolidado (3)"}</definedName>
    <definedName name="caas" localSheetId="14" hidden="1">{"bs",#N/A,FALSE,"Consolidado";"cf",#N/A,FALSE,"Consolidado";"pl_hl",#N/A,FALSE,"Consolidado";"pl_us",#N/A,FALSE,"Consolidado";"Prem1",#N/A,FALSE,"Consolidado"}</definedName>
    <definedName name="caas" hidden="1">{"bs",#N/A,FALSE,"Consolidado";"cf",#N/A,FALSE,"Consolidado";"pl_hl",#N/A,FALSE,"Consolidado";"pl_us",#N/A,FALSE,"Consolidado";"Prem1",#N/A,FALSE,"Consolidado"}</definedName>
    <definedName name="CAASS" localSheetId="14" hidden="1">{"bs",#N/A,FALSE,"Consolidado";"cf",#N/A,FALSE,"Consolidado";"pl_hl",#N/A,FALSE,"Consolidado";"pl_us",#N/A,FALSE,"Consolidado";"Prem1",#N/A,FALSE,"Consolidado"}</definedName>
    <definedName name="CAASS" hidden="1">{"bs",#N/A,FALSE,"Consolidado";"cf",#N/A,FALSE,"Consolidado";"pl_hl",#N/A,FALSE,"Consolidado";"pl_us",#N/A,FALSE,"Consolidado";"Prem1",#N/A,FALSE,"Consolidado"}</definedName>
    <definedName name="capacity" localSheetId="14" hidden="1">{"Demand Forecast",#N/A,TRUE,"Demand Forecast";"Seasonality",#N/A,TRUE,"Seasonality";"GraphPetTotal",#N/A,TRUE,"PET";"GraphPet1",#N/A,TRUE,"PET";"GraphPet2",#N/A,TRUE,"PET";"GraphGlassTotal",#N/A,TRUE,"GLASS";"GraphGlass1",#N/A,TRUE,"GLASS";"Allocation &amp; Efficiency",#N/A,TRUE,"Line Data"}</definedName>
    <definedName name="capacity" hidden="1">{"Demand Forecast",#N/A,TRUE,"Demand Forecast";"Seasonality",#N/A,TRUE,"Seasonality";"GraphPetTotal",#N/A,TRUE,"PET";"GraphPet1",#N/A,TRUE,"PET";"GraphPet2",#N/A,TRUE,"PET";"GraphGlassTotal",#N/A,TRUE,"GLASS";"GraphGlass1",#N/A,TRUE,"GLASS";"Allocation &amp; Efficiency",#N/A,TRUE,"Line Data"}</definedName>
    <definedName name="CBWorkbookPriority" hidden="1">-1935235038</definedName>
    <definedName name="CC" hidden="1">#REF!</definedName>
    <definedName name="ccc" localSheetId="14" hidden="1">{#N/A,#N/A,FALSE,"FASE1";#N/A,#N/A,FALSE,"FASE2";#N/A,#N/A,FALSE,"FASE3";#N/A,#N/A,FALSE,"FASE4";#N/A,#N/A,FALSE,"FASE5";#N/A,#N/A,FALSE,"FASE6";#N/A,#N/A,FALSE,"FASE7";#N/A,#N/A,FALSE,"FASE8";#N/A,#N/A,FALSE,"FASE9";#N/A,#N/A,FALSE,"FASE10";#N/A,#N/A,FALSE,"EQUIPAMENTOS";#N/A,#N/A,FALSE,"MOI";#N/A,#N/A,FALSE,"CANTEIRO";#N/A,#N/A,FALSE,"TERCEIROS";#N/A,#N/A,FALSE,"DCO";#N/A,#N/A,FALSE,"RESUMO"}</definedName>
    <definedName name="ccc" hidden="1">{#N/A,#N/A,FALSE,"FASE1";#N/A,#N/A,FALSE,"FASE2";#N/A,#N/A,FALSE,"FASE3";#N/A,#N/A,FALSE,"FASE4";#N/A,#N/A,FALSE,"FASE5";#N/A,#N/A,FALSE,"FASE6";#N/A,#N/A,FALSE,"FASE7";#N/A,#N/A,FALSE,"FASE8";#N/A,#N/A,FALSE,"FASE9";#N/A,#N/A,FALSE,"FASE10";#N/A,#N/A,FALSE,"EQUIPAMENTOS";#N/A,#N/A,FALSE,"MOI";#N/A,#N/A,FALSE,"CANTEIRO";#N/A,#N/A,FALSE,"TERCEIROS";#N/A,#N/A,FALSE,"DCO";#N/A,#N/A,FALSE,"RESUMO"}</definedName>
    <definedName name="ccccc" localSheetId="14" hidden="1">{#N/A,#N/A,FALSE,"Resumen";#N/A,#N/A,FALSE,"Full";#N/A,"Carabeer",FALSE,"Dscto.";#N/A,"Disbracentro",FALSE,"Dscto.";#N/A,"Andes",FALSE,"Dscto.";#N/A,"Mar Caribe",FALSE,"Dscto.";#N/A,"Río Beer",FALSE,"Dscto.";#N/A,#N/A,FALSE,"P.L.Full";#N/A,#N/A,FALSE,"P.L.Desc."}</definedName>
    <definedName name="ccccc" hidden="1">{#N/A,#N/A,FALSE,"Resumen";#N/A,#N/A,FALSE,"Full";#N/A,"Carabeer",FALSE,"Dscto.";#N/A,"Disbracentro",FALSE,"Dscto.";#N/A,"Andes",FALSE,"Dscto.";#N/A,"Mar Caribe",FALSE,"Dscto.";#N/A,"Río Beer",FALSE,"Dscto.";#N/A,#N/A,FALSE,"P.L.Full";#N/A,#N/A,FALSE,"P.L.Desc."}</definedName>
    <definedName name="cd" localSheetId="14" hidden="1">{"CAP VOL",#N/A,FALSE,"CAPITAL";"CAP VAR",#N/A,FALSE,"CAPITAL";"CAP FIJ",#N/A,FALSE,"CAPITAL";"CAP CONS",#N/A,FALSE,"CAPITAL";"CAP DATA",#N/A,FALSE,"CAPITAL"}</definedName>
    <definedName name="cd" hidden="1">{"CAP VOL",#N/A,FALSE,"CAPITAL";"CAP VAR",#N/A,FALSE,"CAPITAL";"CAP FIJ",#N/A,FALSE,"CAPITAL";"CAP CONS",#N/A,FALSE,"CAPITAL";"CAP DATA",#N/A,FALSE,"CAPITAL"}</definedName>
    <definedName name="CLIENTE" localSheetId="14" hidden="1">{#N/A,#N/A,FALSE,"Cronograma";#N/A,#N/A,FALSE,"Cronogr. 2"}</definedName>
    <definedName name="CLIENTE" hidden="1">{#N/A,#N/A,FALSE,"Cronograma";#N/A,#N/A,FALSE,"Cronogr. 2"}</definedName>
    <definedName name="CO"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omm" localSheetId="14" hidden="1">{"miles",#N/A,FALSE,"LUCROS E PERDAS (US$ 000)";"hl",#N/A,FALSE,"LUCROS E PERDAS (US$ 000)"}</definedName>
    <definedName name="Comm" hidden="1">{"miles",#N/A,FALSE,"LUCROS E PERDAS (US$ 000)";"hl",#N/A,FALSE,"LUCROS E PERDAS (US$ 000)"}</definedName>
    <definedName name="Completa" localSheetId="14" hidden="1">{#N/A,#N/A,FALSE,"Cronograma";#N/A,#N/A,FALSE,"Cronogr. 2"}</definedName>
    <definedName name="Completa" hidden="1">{#N/A,#N/A,FALSE,"Cronograma";#N/A,#N/A,FALSE,"Cronogr. 2"}</definedName>
    <definedName name="CONCL" localSheetId="14"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CONCL"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concorrentes" localSheetId="14" hidden="1">{#N/A,#N/A,FALSE,"Cronograma";#N/A,#N/A,FALSE,"Cronogr. 2"}</definedName>
    <definedName name="concorrentes" hidden="1">{#N/A,#N/A,FALSE,"Cronograma";#N/A,#N/A,FALSE,"Cronogr. 2"}</definedName>
    <definedName name="CREC_NACIONAL">EEFF!$Q$17</definedName>
    <definedName name="cucaç"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ucaç"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cvbhgf" localSheetId="14" hidden="1">{"CAP VOL",#N/A,FALSE,"CAPITAL";"CAP VAR",#N/A,FALSE,"CAPITAL";"CAP FIJ",#N/A,FALSE,"CAPITAL";"CAP CONS",#N/A,FALSE,"CAPITAL";"CAP DATA",#N/A,FALSE,"CAPITAL"}</definedName>
    <definedName name="cvbhgf" hidden="1">{"CAP VOL",#N/A,FALSE,"CAPITAL";"CAP VAR",#N/A,FALSE,"CAPITAL";"CAP FIJ",#N/A,FALSE,"CAPITAL";"CAP CONS",#N/A,FALSE,"CAPITAL";"CAP DATA",#N/A,FALSE,"CAPITAL"}</definedName>
    <definedName name="cxcx" localSheetId="14" hidden="1">{"CAP VOL",#N/A,FALSE,"CAPITAL";"CAP VAR",#N/A,FALSE,"CAPITAL";"CAP FIJ",#N/A,FALSE,"CAPITAL";"CAP CONS",#N/A,FALSE,"CAPITAL";"CAP DATA",#N/A,FALSE,"CAPITAL"}</definedName>
    <definedName name="cxcx" hidden="1">{"CAP VOL",#N/A,FALSE,"CAPITAL";"CAP VAR",#N/A,FALSE,"CAPITAL";"CAP FIJ",#N/A,FALSE,"CAPITAL";"CAP CONS",#N/A,FALSE,"CAPITAL";"CAP DATA",#N/A,FALSE,"CAPITAL"}</definedName>
    <definedName name="dasasd" localSheetId="14" hidden="1">{#N/A,#N/A,FALSE,"Hoja1";#N/A,#N/A,FALSE,"Hoja2"}</definedName>
    <definedName name="dasasd" hidden="1">{#N/A,#N/A,FALSE,"Hoja1";#N/A,#N/A,FALSE,"Hoja2"}</definedName>
    <definedName name="dasasdads" localSheetId="14" hidden="1">{#N/A,#N/A,FALSE,"Hoja1";#N/A,#N/A,FALSE,"Hoja2"}</definedName>
    <definedName name="dasasdads" hidden="1">{#N/A,#N/A,FALSE,"Hoja1";#N/A,#N/A,FALSE,"Hoja2"}</definedName>
    <definedName name="dd" localSheetId="14" hidden="1">{#N/A,#N/A,FALSE,"Aging Summary";#N/A,#N/A,FALSE,"Ratio Analysis";#N/A,#N/A,FALSE,"Test 120 Day Accts";#N/A,#N/A,FALSE,"Tickmarks"}</definedName>
    <definedName name="dd" hidden="1">{#N/A,#N/A,FALSE,"Aging Summary";#N/A,#N/A,FALSE,"Ratio Analysis";#N/A,#N/A,FALSE,"Test 120 Day Accts";#N/A,#N/A,FALSE,"Tickmarks"}</definedName>
    <definedName name="DDD" localSheetId="14" hidden="1">{"Cons_Occ_Lar",#N/A,FALSE,"márgenes";"Cen_met",#N/A,FALSE,"márgenes";"Ori_pl",#N/A,FALSE,"márgenes"}</definedName>
    <definedName name="DDD" hidden="1">{"Cons_Occ_Lar",#N/A,FALSE,"márgenes";"Cen_met",#N/A,FALSE,"márgenes";"Ori_pl",#N/A,FALSE,"márgenes"}</definedName>
    <definedName name="dddd" localSheetId="14" hidden="1">{#N/A,#N/A,FALSE,"Aging Summary";#N/A,#N/A,FALSE,"Ratio Analysis";#N/A,#N/A,FALSE,"Test 120 Day Accts";#N/A,#N/A,FALSE,"Tickmarks"}</definedName>
    <definedName name="dddd" hidden="1">{#N/A,#N/A,FALSE,"Aging Summary";#N/A,#N/A,FALSE,"Ratio Analysis";#N/A,#N/A,FALSE,"Test 120 Day Accts";#N/A,#N/A,FALSE,"Tickmarks"}</definedName>
    <definedName name="DDDDDDDD" localSheetId="14" hidden="1">{"CAP VOL",#N/A,FALSE,"CAPITAL";"CAP VAR",#N/A,FALSE,"CAPITAL";"CAP FIJ",#N/A,FALSE,"CAPITAL";"CAP CONS",#N/A,FALSE,"CAPITAL";"CAP DATA",#N/A,FALSE,"CAPITAL"}</definedName>
    <definedName name="DDDDDDDD" hidden="1">{"CAP VOL",#N/A,FALSE,"CAPITAL";"CAP VAR",#N/A,FALSE,"CAPITAL";"CAP FIJ",#N/A,FALSE,"CAPITAL";"CAP CONS",#N/A,FALSE,"CAPITAL";"CAP DATA",#N/A,FALSE,"CAPITAL"}</definedName>
    <definedName name="DDDSSS" localSheetId="14" hidden="1">{"RESUMEN",#N/A,FALSE,"RESUMEN";"RESUMEN_MARG",#N/A,FALSE,"RESUMEN"}</definedName>
    <definedName name="DDDSSS" hidden="1">{"RESUMEN",#N/A,FALSE,"RESUMEN";"RESUMEN_MARG",#N/A,FALSE,"RESUMEN"}</definedName>
    <definedName name="DDFD" localSheetId="14" hidden="1">{"RESUMEN",#N/A,FALSE,"RESUMEN";"RESUMEN_MARG",#N/A,FALSE,"RESUMEN"}</definedName>
    <definedName name="DDFD" hidden="1">{"RESUMEN",#N/A,FALSE,"RESUMEN";"RESUMEN_MARG",#N/A,FALSE,"RESUMEN"}</definedName>
    <definedName name="DDKOKO" localSheetId="14" hidden="1">{"RESUMEN",#N/A,FALSE,"RESUMEN";"RESUMEN_MARG",#N/A,FALSE,"RESUMEN"}</definedName>
    <definedName name="DDKOKO" hidden="1">{"RESUMEN",#N/A,FALSE,"RESUMEN";"RESUMEN_MARG",#N/A,FALSE,"RESUMEN"}</definedName>
    <definedName name="DDSDSSD"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DSDSS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eede" localSheetId="14" hidden="1">{"CAP VOL",#N/A,FALSE,"CAPITAL";"CAP VAR",#N/A,FALSE,"CAPITAL";"CAP FIJ",#N/A,FALSE,"CAPITAL";"CAP CONS",#N/A,FALSE,"CAPITAL";"CAP DATA",#N/A,FALSE,"CAPITAL"}</definedName>
    <definedName name="deede" hidden="1">{"CAP VOL",#N/A,FALSE,"CAPITAL";"CAP VAR",#N/A,FALSE,"CAPITAL";"CAP FIJ",#N/A,FALSE,"CAPITAL";"CAP CONS",#N/A,FALSE,"CAPITAL";"CAP DATA",#N/A,FALSE,"CAPITAL"}</definedName>
    <definedName name="DFD" localSheetId="14" hidden="1">{#N/A,#N/A,FALSE,"RGD$";#N/A,#N/A,FALSE,"BG$";#N/A,#N/A,FALSE,"FC$"}</definedName>
    <definedName name="DFD" hidden="1">{#N/A,#N/A,FALSE,"RGD$";#N/A,#N/A,FALSE,"BG$";#N/A,#N/A,FALSE,"FC$"}</definedName>
    <definedName name="dfdf" localSheetId="14" hidden="1">{"Real",#N/A,FALSE,"CONSOLIDADO";"Real",#N/A,FALSE,"OCCIDENTE";"Real",#N/A,FALSE,"LARA";"Real",#N/A,FALSE,"CENTRO";"Real",#N/A,FALSE,"METROPOLITANA";"Real",#N/A,FALSE,"ORIENTE";"Real",#N/A,FALSE,"Pto.libre"}</definedName>
    <definedName name="dfdf" hidden="1">{"Real",#N/A,FALSE,"CONSOLIDADO";"Real",#N/A,FALSE,"OCCIDENTE";"Real",#N/A,FALSE,"LARA";"Real",#N/A,FALSE,"CENTRO";"Real",#N/A,FALSE,"METROPOLITANA";"Real",#N/A,FALSE,"ORIENTE";"Real",#N/A,FALSE,"Pto.libre"}</definedName>
    <definedName name="dfdsf"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ds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gdfgs" localSheetId="14" hidden="1">{#N/A,#N/A,FALSE,"PRECIO FULL";#N/A,#N/A,FALSE,"LARA";#N/A,#N/A,FALSE,"CARACAS";#N/A,#N/A,FALSE,"DISBRACENTRO";#N/A,#N/A,FALSE,"ANDES";#N/A,#N/A,FALSE,"MAR CARIBE";#N/A,#N/A,FALSE,"RIO BEER";#N/A,#N/A,FALSE,"DISBRAH"}</definedName>
    <definedName name="dfgdfgs" hidden="1">{#N/A,#N/A,FALSE,"PRECIO FULL";#N/A,#N/A,FALSE,"LARA";#N/A,#N/A,FALSE,"CARACAS";#N/A,#N/A,FALSE,"DISBRACENTRO";#N/A,#N/A,FALSE,"ANDES";#N/A,#N/A,FALSE,"MAR CARIBE";#N/A,#N/A,FALSE,"RIO BEER";#N/A,#N/A,FALSE,"DISBRAH"}</definedName>
    <definedName name="dfgdgf" localSheetId="14" hidden="1">{#N/A,#N/A,FALSE,"FIN AÑO"}</definedName>
    <definedName name="dfgdgf" hidden="1">{#N/A,#N/A,FALSE,"FIN AÑO"}</definedName>
    <definedName name="dfgsd" localSheetId="14" hidden="1">{"CAP VOL",#N/A,FALSE,"CAPITAL";"CAP VAR",#N/A,FALSE,"CAPITAL";"CAP FIJ",#N/A,FALSE,"CAPITAL";"CAP CONS",#N/A,FALSE,"CAPITAL";"CAP DATA",#N/A,FALSE,"CAPITAL"}</definedName>
    <definedName name="dfgsd" hidden="1">{"CAP VOL",#N/A,FALSE,"CAPITAL";"CAP VAR",#N/A,FALSE,"CAPITAL";"CAP FIJ",#N/A,FALSE,"CAPITAL";"CAP CONS",#N/A,FALSE,"CAPITAL";"CAP DATA",#N/A,FALSE,"CAPITAL"}</definedName>
    <definedName name="dfs" localSheetId="14" hidden="1">{"Real",#N/A,FALSE,"CONSOLIDADO";"Real",#N/A,FALSE,"OCCIDENTE";"Real",#N/A,FALSE,"LARA";"Real",#N/A,FALSE,"CENTRO";"Real",#N/A,FALSE,"METROPOLITANA";"Real",#N/A,FALSE,"ORIENTE";"Real",#N/A,FALSE,"Pto.libre"}</definedName>
    <definedName name="dfs" hidden="1">{"Real",#N/A,FALSE,"CONSOLIDADO";"Real",#N/A,FALSE,"OCCIDENTE";"Real",#N/A,FALSE,"LARA";"Real",#N/A,FALSE,"CENTRO";"Real",#N/A,FALSE,"METROPOLITANA";"Real",#N/A,FALSE,"ORIENTE";"Real",#N/A,FALSE,"Pto.libre"}</definedName>
    <definedName name="dfsdf"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d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fsfsdf" localSheetId="14" hidden="1">{"prem1",#N/A,FALSE,"Consolidado";"pl_us",#N/A,FALSE,"Consolidado";"pl_hl",#N/A,FALSE,"Consolidado";"bs",#N/A,FALSE,"Consolidado";"cf",#N/A,FALSE,"Consolidado"}</definedName>
    <definedName name="dfsfsdf" hidden="1">{"prem1",#N/A,FALSE,"Consolidado";"pl_us",#N/A,FALSE,"Consolidado";"pl_hl",#N/A,FALSE,"Consolidado";"bs",#N/A,FALSE,"Consolidado";"cf",#N/A,FALSE,"Consolidado"}</definedName>
    <definedName name="dfss" localSheetId="14" hidden="1">{#N/A,#N/A,FALSE,"FIN AÑO"}</definedName>
    <definedName name="dfss" hidden="1">{#N/A,#N/A,FALSE,"FIN AÑO"}</definedName>
    <definedName name="diaz" localSheetId="14" hidden="1">{#N/A,#N/A,FALSE,"Aging Summary";#N/A,#N/A,FALSE,"Ratio Analysis";#N/A,#N/A,FALSE,"Test 120 Day Accts";#N/A,#N/A,FALSE,"Tickmarks"}</definedName>
    <definedName name="diaz" hidden="1">{#N/A,#N/A,FALSE,"Aging Summary";#N/A,#N/A,FALSE,"Ratio Analysis";#N/A,#N/A,FALSE,"Test 120 Day Accts";#N/A,#N/A,FALSE,"Tickmarks"}</definedName>
    <definedName name="digo" localSheetId="14" hidden="1">{"RESUMEN",#N/A,FALSE,"RESUMEN";"RESUMEN_MARG",#N/A,FALSE,"RESUMEN"}</definedName>
    <definedName name="digo" hidden="1">{"RESUMEN",#N/A,FALSE,"RESUMEN";"RESUMEN_MARG",#N/A,FALSE,"RESUMEN"}</definedName>
    <definedName name="DiscountRate" localSheetId="9">#REF!</definedName>
    <definedName name="DiscountRate" localSheetId="6">#REF!</definedName>
    <definedName name="DiscountRate" localSheetId="7">#REF!</definedName>
    <definedName name="DiscountRate">#REF!</definedName>
    <definedName name="DJHJH" localSheetId="14" hidden="1">{#N/A,#N/A,FALSE,"PRECIO FULL";#N/A,#N/A,FALSE,"LARA";#N/A,#N/A,FALSE,"CARACAS";#N/A,#N/A,FALSE,"DISBRACENTRO";#N/A,#N/A,FALSE,"ANDES";#N/A,#N/A,FALSE,"MAR CARIBE";#N/A,#N/A,FALSE,"RIO BEER";#N/A,#N/A,FALSE,"DISBRAH"}</definedName>
    <definedName name="DJHJH" hidden="1">{#N/A,#N/A,FALSE,"PRECIO FULL";#N/A,#N/A,FALSE,"LARA";#N/A,#N/A,FALSE,"CARACAS";#N/A,#N/A,FALSE,"DISBRACENTRO";#N/A,#N/A,FALSE,"ANDES";#N/A,#N/A,FALSE,"MAR CARIBE";#N/A,#N/A,FALSE,"RIO BEER";#N/A,#N/A,FALSE,"DISBRAH"}</definedName>
    <definedName name="DJJKJ" localSheetId="14" hidden="1">{"RESUMEN",#N/A,FALSE,"RESUMEN";"RESUMEN_MARG",#N/A,FALSE,"RESUMEN"}</definedName>
    <definedName name="DJJKJ" hidden="1">{"RESUMEN",#N/A,FALSE,"RESUMEN";"RESUMEN_MARG",#N/A,FALSE,"RESUMEN"}</definedName>
    <definedName name="DJLJLKJLK" localSheetId="14" hidden="1">{#N/A,#N/A,FALSE,"PRECIO FULL";#N/A,#N/A,FALSE,"LARA";#N/A,#N/A,FALSE,"CARACAS";#N/A,#N/A,FALSE,"DISBRACENTRO";#N/A,#N/A,FALSE,"ANDES";#N/A,#N/A,FALSE,"MAR CARIBE";#N/A,#N/A,FALSE,"RIO BEER";#N/A,#N/A,FALSE,"DISBRAH"}</definedName>
    <definedName name="DJLJLKJLK" hidden="1">{#N/A,#N/A,FALSE,"PRECIO FULL";#N/A,#N/A,FALSE,"LARA";#N/A,#N/A,FALSE,"CARACAS";#N/A,#N/A,FALSE,"DISBRACENTRO";#N/A,#N/A,FALSE,"ANDES";#N/A,#N/A,FALSE,"MAR CARIBE";#N/A,#N/A,FALSE,"RIO BEER";#N/A,#N/A,FALSE,"DISBRAH"}</definedName>
    <definedName name="DKLJJK" localSheetId="14" hidden="1">{#N/A,#N/A,FALSE,"PRECIO FULL";#N/A,#N/A,FALSE,"LARA";#N/A,#N/A,FALSE,"CARACAS";#N/A,#N/A,FALSE,"DISBRACENTRO";#N/A,#N/A,FALSE,"ANDES";#N/A,#N/A,FALSE,"MAR CARIBE";#N/A,#N/A,FALSE,"RIO BEER";#N/A,#N/A,FALSE,"DISBRAH"}</definedName>
    <definedName name="DKLJJK" hidden="1">{#N/A,#N/A,FALSE,"PRECIO FULL";#N/A,#N/A,FALSE,"LARA";#N/A,#N/A,FALSE,"CARACAS";#N/A,#N/A,FALSE,"DISBRACENTRO";#N/A,#N/A,FALSE,"ANDES";#N/A,#N/A,FALSE,"MAR CARIBE";#N/A,#N/A,FALSE,"RIO BEER";#N/A,#N/A,FALSE,"DISBRAH"}</definedName>
    <definedName name="DLKKKLÑK" localSheetId="14" hidden="1">{#N/A,#N/A,FALSE,"RGD$";#N/A,#N/A,FALSE,"BG$";#N/A,#N/A,FALSE,"FC$"}</definedName>
    <definedName name="DLKKKLÑK" hidden="1">{#N/A,#N/A,FALSE,"RGD$";#N/A,#N/A,FALSE,"BG$";#N/A,#N/A,FALSE,"FC$"}</definedName>
    <definedName name="DLKLKLK" localSheetId="14" hidden="1">{#N/A,#N/A,FALSE,"RGD$";#N/A,#N/A,FALSE,"BG$";#N/A,#N/A,FALSE,"FC$"}</definedName>
    <definedName name="DLKLKLK" hidden="1">{#N/A,#N/A,FALSE,"RGD$";#N/A,#N/A,FALSE,"BG$";#N/A,#N/A,FALSE,"FC$"}</definedName>
    <definedName name="DLÑLÑ" localSheetId="14" hidden="1">{"CAP VOL",#N/A,FALSE,"CAPITAL";"CAP VAR",#N/A,FALSE,"CAPITAL";"CAP FIJ",#N/A,FALSE,"CAPITAL";"CAP CONS",#N/A,FALSE,"CAPITAL";"CAP DATA",#N/A,FALSE,"CAPITAL"}</definedName>
    <definedName name="DLÑLÑ" hidden="1">{"CAP VOL",#N/A,FALSE,"CAPITAL";"CAP VAR",#N/A,FALSE,"CAPITAL";"CAP FIJ",#N/A,FALSE,"CAPITAL";"CAP CONS",#N/A,FALSE,"CAPITAL";"CAP DATA",#N/A,FALSE,"CAPITAL"}</definedName>
    <definedName name="DÑLS" localSheetId="14" hidden="1">{#N/A,#N/A,FALSE,"PRECIO FULL";#N/A,#N/A,FALSE,"LARA";#N/A,#N/A,FALSE,"CARACAS";#N/A,#N/A,FALSE,"DISBRACENTRO";#N/A,#N/A,FALSE,"ANDES";#N/A,#N/A,FALSE,"MAR CARIBE";#N/A,#N/A,FALSE,"RIO BEER";#N/A,#N/A,FALSE,"DISBRAH"}</definedName>
    <definedName name="DÑLS" hidden="1">{#N/A,#N/A,FALSE,"PRECIO FULL";#N/A,#N/A,FALSE,"LARA";#N/A,#N/A,FALSE,"CARACAS";#N/A,#N/A,FALSE,"DISBRACENTRO";#N/A,#N/A,FALSE,"ANDES";#N/A,#N/A,FALSE,"MAR CARIBE";#N/A,#N/A,FALSE,"RIO BEER";#N/A,#N/A,FALSE,"DISBRAH"}</definedName>
    <definedName name="Dominio" localSheetId="14" hidden="1">{"CAP VOL",#N/A,FALSE,"CAPITAL";"CAP VAR",#N/A,FALSE,"CAPITAL";"CAP FIJ",#N/A,FALSE,"CAPITAL";"CAP CONS",#N/A,FALSE,"CAPITAL";"CAP DATA",#N/A,FALSE,"CAPITAL"}</definedName>
    <definedName name="Dominio" hidden="1">{"CAP VOL",#N/A,FALSE,"CAPITAL";"CAP VAR",#N/A,FALSE,"CAPITAL";"CAP FIJ",#N/A,FALSE,"CAPITAL";"CAP CONS",#N/A,FALSE,"CAPITAL";"CAP DATA",#N/A,FALSE,"CAPITAL"}</definedName>
    <definedName name="dsasd" localSheetId="14" hidden="1">{"Cons_Occ_Lar",#N/A,FALSE,"márgenes";"Cen_met",#N/A,FALSE,"márgenes";"Ori_pl",#N/A,FALSE,"márgenes"}</definedName>
    <definedName name="dsasd" hidden="1">{"Cons_Occ_Lar",#N/A,FALSE,"márgenes";"Cen_met",#N/A,FALSE,"márgenes";"Ori_pl",#N/A,FALSE,"márgenes"}</definedName>
    <definedName name="dsc" localSheetId="14" hidden="1">{#N/A,#N/A,FALSE,"Hoja1";#N/A,#N/A,FALSE,"Hoja2"}</definedName>
    <definedName name="dsc" hidden="1">{#N/A,#N/A,FALSE,"Hoja1";#N/A,#N/A,FALSE,"Hoja2"}</definedName>
    <definedName name="DSCA" localSheetId="14" hidden="1">{#N/A,#N/A,FALSE,"Hoja1";#N/A,#N/A,FALSE,"Hoja2"}</definedName>
    <definedName name="DSCA" hidden="1">{#N/A,#N/A,FALSE,"Hoja1";#N/A,#N/A,FALSE,"Hoja2"}</definedName>
    <definedName name="dsda"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JKJKLJ" localSheetId="14" hidden="1">{"Real",#N/A,FALSE,"CONSOLIDADO";"Real",#N/A,FALSE,"OCCIDENTE";"Real",#N/A,FALSE,"LARA";"Real",#N/A,FALSE,"CENTRO";"Real",#N/A,FALSE,"METROPOLITANA";"Real",#N/A,FALSE,"ORIENTE";"Real",#N/A,FALSE,"Pto.libre"}</definedName>
    <definedName name="DSDJKJKLJ" hidden="1">{"Real",#N/A,FALSE,"CONSOLIDADO";"Real",#N/A,FALSE,"OCCIDENTE";"Real",#N/A,FALSE,"LARA";"Real",#N/A,FALSE,"CENTRO";"Real",#N/A,FALSE,"METROPOLITANA";"Real",#N/A,FALSE,"ORIENTE";"Real",#N/A,FALSE,"Pto.libre"}</definedName>
    <definedName name="dsds"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dsd" localSheetId="14" hidden="1">{#N/A,#N/A,FALSE,"Hoja1";#N/A,#N/A,FALSE,"Hoja2"}</definedName>
    <definedName name="dsdsd" hidden="1">{#N/A,#N/A,FALSE,"Hoja1";#N/A,#N/A,FALSE,"Hoja2"}</definedName>
    <definedName name="DSF" localSheetId="14" hidden="1">{#N/A,#N/A,FALSE,"Hoja1";#N/A,#N/A,FALSE,"Hoja2"}</definedName>
    <definedName name="DSF" hidden="1">{#N/A,#N/A,FALSE,"Hoja1";#N/A,#N/A,FALSE,"Hoja2"}</definedName>
    <definedName name="dsfd" localSheetId="14" hidden="1">{"RESUMEN",#N/A,FALSE,"RESUMEN";"RESUMEN_MARG",#N/A,FALSE,"RESUMEN"}</definedName>
    <definedName name="dsfd" hidden="1">{"RESUMEN",#N/A,FALSE,"RESUMEN";"RESUMEN_MARG",#N/A,FALSE,"RESUMEN"}</definedName>
    <definedName name="dsfds" localSheetId="14" hidden="1">{"CAP VOL",#N/A,FALSE,"CAPITAL";"CAP VAR",#N/A,FALSE,"CAPITAL";"CAP FIJ",#N/A,FALSE,"CAPITAL";"CAP CONS",#N/A,FALSE,"CAPITAL";"CAP DATA",#N/A,FALSE,"CAPITAL"}</definedName>
    <definedName name="dsfds" hidden="1">{"CAP VOL",#N/A,FALSE,"CAPITAL";"CAP VAR",#N/A,FALSE,"CAPITAL";"CAP FIJ",#N/A,FALSE,"CAPITAL";"CAP CONS",#N/A,FALSE,"CAPITAL";"CAP DATA",#N/A,FALSE,"CAPITAL"}</definedName>
    <definedName name="dsfsd" localSheetId="14" hidden="1">{"CAP VOL",#N/A,FALSE,"CAPITAL";"CAP VAR",#N/A,FALSE,"CAPITAL";"CAP FIJ",#N/A,FALSE,"CAPITAL";"CAP CONS",#N/A,FALSE,"CAPITAL";"CAP DATA",#N/A,FALSE,"CAPITAL"}</definedName>
    <definedName name="dsfsd" hidden="1">{"CAP VOL",#N/A,FALSE,"CAPITAL";"CAP VAR",#N/A,FALSE,"CAPITAL";"CAP FIJ",#N/A,FALSE,"CAPITAL";"CAP CONS",#N/A,FALSE,"CAPITAL";"CAP DATA",#N/A,FALSE,"CAPITAL"}</definedName>
    <definedName name="DSKKLÑ"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KKLÑ"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dssdsd" localSheetId="14" hidden="1">{#N/A,#N/A,FALSE,"Hoja1";#N/A,#N/A,FALSE,"Hoja2"}</definedName>
    <definedName name="dssdsd" hidden="1">{#N/A,#N/A,FALSE,"Hoja1";#N/A,#N/A,FALSE,"Hoja2"}</definedName>
    <definedName name="DSSSSSSSSS" localSheetId="14" hidden="1">{"Cons_Occ_Lar",#N/A,FALSE,"márgenes";"Cen_met",#N/A,FALSE,"márgenes";"Ori_pl",#N/A,FALSE,"márgenes"}</definedName>
    <definedName name="DSSSSSSSSS" hidden="1">{"Cons_Occ_Lar",#N/A,FALSE,"márgenes";"Cen_met",#N/A,FALSE,"márgenes";"Ori_pl",#N/A,FALSE,"márgenes"}</definedName>
    <definedName name="dsx" localSheetId="14" hidden="1">{"prem1",#N/A,FALSE,"Consolidado";"pl_us",#N/A,FALSE,"Consolidado";"pl_hl",#N/A,FALSE,"Consolidado";"bs",#N/A,FALSE,"Consolidado";"cf",#N/A,FALSE,"Consolidado"}</definedName>
    <definedName name="dsx" hidden="1">{"prem1",#N/A,FALSE,"Consolidado";"pl_us",#N/A,FALSE,"Consolidado";"pl_hl",#N/A,FALSE,"Consolidado";"bs",#N/A,FALSE,"Consolidado";"cf",#N/A,FALSE,"Consolidado"}</definedName>
    <definedName name="DSXA" localSheetId="14" hidden="1">{"prem1",#N/A,FALSE,"Consolidado";"pl_us",#N/A,FALSE,"Consolidado";"pl_hl",#N/A,FALSE,"Consolidado";"bs",#N/A,FALSE,"Consolidado";"cf",#N/A,FALSE,"Consolidado"}</definedName>
    <definedName name="DSXA" hidden="1">{"prem1",#N/A,FALSE,"Consolidado";"pl_us",#N/A,FALSE,"Consolidado";"pl_hl",#N/A,FALSE,"Consolidado";"bs",#N/A,FALSE,"Consolidado";"cf",#N/A,FALSE,"Consolidado"}</definedName>
    <definedName name="dx" localSheetId="14" hidden="1">{"miles",#N/A,FALSE,"LUCROS E PERDAS (US$ 000)";"hl",#N/A,FALSE,"LUCROS E PERDAS (US$ 000)"}</definedName>
    <definedName name="dx" hidden="1">{"miles",#N/A,FALSE,"LUCROS E PERDAS (US$ 000)";"hl",#N/A,FALSE,"LUCROS E PERDAS (US$ 000)"}</definedName>
    <definedName name="DXC" localSheetId="14" hidden="1">{"miles",#N/A,FALSE,"LUCROS E PERDAS (US$ 000)";"hl",#N/A,FALSE,"LUCROS E PERDAS (US$ 000)"}</definedName>
    <definedName name="DXC" hidden="1">{"miles",#N/A,FALSE,"LUCROS E PERDAS (US$ 000)";"hl",#N/A,FALSE,"LUCROS E PERDAS (US$ 000)"}</definedName>
    <definedName name="EDFWEDF" localSheetId="14" hidden="1">{#N/A,#N/A,FALSE,"Aging Summary";#N/A,#N/A,FALSE,"Ratio Analysis";#N/A,#N/A,FALSE,"Test 120 Day Accts";#N/A,#N/A,FALSE,"Tickmarks"}</definedName>
    <definedName name="EDFWEDF" hidden="1">{#N/A,#N/A,FALSE,"Aging Summary";#N/A,#N/A,FALSE,"Ratio Analysis";#N/A,#N/A,FALSE,"Test 120 Day Accts";#N/A,#N/A,FALSE,"Tickmarks"}</definedName>
    <definedName name="ee" localSheetId="14" hidden="1">{"CAP VOL",#N/A,FALSE,"CAPITAL";"CAP VAR",#N/A,FALSE,"CAPITAL";"CAP FIJ",#N/A,FALSE,"CAPITAL";"CAP CONS",#N/A,FALSE,"CAPITAL";"CAP DATA",#N/A,FALSE,"CAPITAL"}</definedName>
    <definedName name="ee" hidden="1">{"CAP VOL",#N/A,FALSE,"CAPITAL";"CAP VAR",#N/A,FALSE,"CAPITAL";"CAP FIJ",#N/A,FALSE,"CAPITAL";"CAP CONS",#N/A,FALSE,"CAPITAL";"CAP DATA",#N/A,FALSE,"CAPITAL"}</definedName>
    <definedName name="eee" localSheetId="14" hidden="1">{"RESUMEN",#N/A,FALSE,"RESUMEN";"RESUMEN_MARG",#N/A,FALSE,"RESUMEN"}</definedName>
    <definedName name="eee" hidden="1">{"RESUMEN",#N/A,FALSE,"RESUMEN";"RESUMEN_MARG",#N/A,FALSE,"RESUMEN"}</definedName>
    <definedName name="eeee" localSheetId="14" hidden="1">{#N/A,#N/A,FALSE,"Hoja1";#N/A,#N/A,FALSE,"Hoja2"}</definedName>
    <definedName name="eeee" hidden="1">{#N/A,#N/A,FALSE,"Hoja1";#N/A,#N/A,FALSE,"Hoja2"}</definedName>
    <definedName name="eeff" localSheetId="14" hidden="1">{#N/A,#N/A,FALSE,"Aging Summary";#N/A,#N/A,FALSE,"Ratio Analysis";#N/A,#N/A,FALSE,"Test 120 Day Accts";#N/A,#N/A,FALSE,"Tickmarks"}</definedName>
    <definedName name="eeff" hidden="1">{#N/A,#N/A,FALSE,"Aging Summary";#N/A,#N/A,FALSE,"Ratio Analysis";#N/A,#N/A,FALSE,"Test 120 Day Accts";#N/A,#N/A,FALSE,"Tickmarks"}</definedName>
    <definedName name="eer" localSheetId="14" hidden="1">{#N/A,#N/A,FALSE,"Hoja1";#N/A,#N/A,FALSE,"Hoja2"}</definedName>
    <definedName name="eer" hidden="1">{#N/A,#N/A,FALSE,"Hoja1";#N/A,#N/A,FALSE,"Hoja2"}</definedName>
    <definedName name="EF" localSheetId="14" hidden="1">{#N/A,#N/A,FALSE,"Aging Summary";#N/A,#N/A,FALSE,"Ratio Analysis";#N/A,#N/A,FALSE,"Test 120 Day Accts";#N/A,#N/A,FALSE,"Tickmarks"}</definedName>
    <definedName name="EF" hidden="1">{#N/A,#N/A,FALSE,"Aging Summary";#N/A,#N/A,FALSE,"Ratio Analysis";#N/A,#N/A,FALSE,"Test 120 Day Accts";#N/A,#N/A,FALSE,"Tickmarks"}</definedName>
    <definedName name="EFGETGE" localSheetId="14" hidden="1">{#N/A,#N/A,FALSE,"Aging Summary";#N/A,#N/A,FALSE,"Ratio Analysis";#N/A,#N/A,FALSE,"Test 120 Day Accts";#N/A,#N/A,FALSE,"Tickmarks"}</definedName>
    <definedName name="EFGETGE" hidden="1">{#N/A,#N/A,FALSE,"Aging Summary";#N/A,#N/A,FALSE,"Ratio Analysis";#N/A,#N/A,FALSE,"Test 120 Day Accts";#N/A,#N/A,FALSE,"Tickmarks"}</definedName>
    <definedName name="ENRIQUE.03" localSheetId="14" hidden="1">{"Yr1TM1",#N/A,FALSE,"Line Data";"Yr1TM2",#N/A,FALSE,"Line Data";"Yr1TM3",#N/A,FALSE,"Line Data"}</definedName>
    <definedName name="ENRIQUE.03" hidden="1">{"Yr1TM1",#N/A,FALSE,"Line Data";"Yr1TM2",#N/A,FALSE,"Line Data";"Yr1TM3",#N/A,FALSE,"Line Data"}</definedName>
    <definedName name="epsa" localSheetId="14" hidden="1">{"Real",#N/A,FALSE,"CONSOLIDADO";"Real",#N/A,FALSE,"OCCIDENTE";"Real",#N/A,FALSE,"LARA";"Real",#N/A,FALSE,"CENTRO";"Real",#N/A,FALSE,"METROPOLITANA";"Real",#N/A,FALSE,"ORIENTE";"Real",#N/A,FALSE,"Pto.libre"}</definedName>
    <definedName name="epsa" hidden="1">{"Real",#N/A,FALSE,"CONSOLIDADO";"Real",#N/A,FALSE,"OCCIDENTE";"Real",#N/A,FALSE,"LARA";"Real",#N/A,FALSE,"CENTRO";"Real",#N/A,FALSE,"METROPOLITANA";"Real",#N/A,FALSE,"ORIENTE";"Real",#N/A,FALSE,"Pto.libre"}</definedName>
    <definedName name="erer" localSheetId="14" hidden="1">{#N/A,#N/A,FALSE,"Hoja1";#N/A,#N/A,FALSE,"Hoja2"}</definedName>
    <definedName name="erer" hidden="1">{#N/A,#N/A,FALSE,"Hoja1";#N/A,#N/A,FALSE,"Hoja2"}</definedName>
    <definedName name="ERERE" localSheetId="14" hidden="1">{#N/A,#N/A,FALSE,"Hoja1";#N/A,#N/A,FALSE,"Hoja2"}</definedName>
    <definedName name="ERERE" hidden="1">{#N/A,#N/A,FALSE,"Hoja1";#N/A,#N/A,FALSE,"Hoja2"}</definedName>
    <definedName name="ERICK" hidden="1">#REF!</definedName>
    <definedName name="Erosion" localSheetId="9">#REF!</definedName>
    <definedName name="Erosion" localSheetId="6">#REF!</definedName>
    <definedName name="Erosion" localSheetId="7">#REF!</definedName>
    <definedName name="Erosion">#REF!</definedName>
    <definedName name="erre" localSheetId="14" hidden="1">{"CAP VOL",#N/A,FALSE,"CAPITAL";"CAP VAR",#N/A,FALSE,"CAPITAL";"CAP FIJ",#N/A,FALSE,"CAPITAL";"CAP CONS",#N/A,FALSE,"CAPITAL";"CAP DATA",#N/A,FALSE,"CAPITAL"}</definedName>
    <definedName name="erre" hidden="1">{"CAP VOL",#N/A,FALSE,"CAPITAL";"CAP VAR",#N/A,FALSE,"CAPITAL";"CAP FIJ",#N/A,FALSE,"CAPITAL";"CAP CONS",#N/A,FALSE,"CAPITAL";"CAP DATA",#N/A,FALSE,"CAPITAL"}</definedName>
    <definedName name="ERRER" localSheetId="14" hidden="1">{"CAP VOL",#N/A,FALSE,"CAPITAL";"CAP VAR",#N/A,FALSE,"CAPITAL";"CAP FIJ",#N/A,FALSE,"CAPITAL";"CAP CONS",#N/A,FALSE,"CAPITAL";"CAP DATA",#N/A,FALSE,"CAPITAL"}</definedName>
    <definedName name="ERRER" hidden="1">{"CAP VOL",#N/A,FALSE,"CAPITAL";"CAP VAR",#N/A,FALSE,"CAPITAL";"CAP FIJ",#N/A,FALSE,"CAPITAL";"CAP CONS",#N/A,FALSE,"CAPITAL";"CAP DATA",#N/A,FALSE,"CAPITAL"}</definedName>
    <definedName name="EVE" localSheetId="14" hidden="1">{"Yr0TM1",#N/A,FALSE,"Line Data";"Yr0TM2",#N/A,FALSE,"Line Data";"Yr0TM3",#N/A,FALSE,"Line Data"}</definedName>
    <definedName name="EVE" hidden="1">{"Yr0TM1",#N/A,FALSE,"Line Data";"Yr0TM2",#N/A,FALSE,"Line Data";"Yr0TM3",#N/A,FALSE,"Line Data"}</definedName>
    <definedName name="ew" localSheetId="14"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FACTOR" localSheetId="14" hidden="1">{"Demand Forecast",#N/A,TRUE,"Demand Forecast";"Seasonality",#N/A,TRUE,"Seasonality";"GraphPetTotal",#N/A,TRUE,"PET";"GraphPet1",#N/A,TRUE,"PET";"GraphPet2",#N/A,TRUE,"PET";"GraphGlassTotal",#N/A,TRUE,"GLASS";"GraphGlass1",#N/A,TRUE,"GLASS";"Allocation &amp; Efficiency",#N/A,TRUE,"Line Data"}</definedName>
    <definedName name="FACTOR" hidden="1">{"Demand Forecast",#N/A,TRUE,"Demand Forecast";"Seasonality",#N/A,TRUE,"Seasonality";"GraphPetTotal",#N/A,TRUE,"PET";"GraphPet1",#N/A,TRUE,"PET";"GraphPet2",#N/A,TRUE,"PET";"GraphGlassTotal",#N/A,TRUE,"GLASS";"GraphGlass1",#N/A,TRUE,"GLASS";"Allocation &amp; Efficiency",#N/A,TRUE,"Line Data"}</definedName>
    <definedName name="fcvxc" localSheetId="14" hidden="1">{#N/A,#N/A,FALSE,"Hoja1";#N/A,#N/A,FALSE,"Hoja2"}</definedName>
    <definedName name="fcvxc" hidden="1">{#N/A,#N/A,FALSE,"Hoja1";#N/A,#N/A,FALSE,"Hoja2"}</definedName>
    <definedName name="fd" hidden="1">#REF!</definedName>
    <definedName name="fddfr" localSheetId="14" hidden="1">{"Prenissas",#N/A,FALSE,"Consolidado (3)";"Lucros000",#N/A,FALSE,"Consolidado (3)";"LucrosHL",#N/A,FALSE,"Consolidado (3)";"Balanco",#N/A,FALSE,"Consolidado (3)";"FluxoC",#N/A,FALSE,"Consolidado (3)"}</definedName>
    <definedName name="fddfr" hidden="1">{"Prenissas",#N/A,FALSE,"Consolidado (3)";"Lucros000",#N/A,FALSE,"Consolidado (3)";"LucrosHL",#N/A,FALSE,"Consolidado (3)";"Balanco",#N/A,FALSE,"Consolidado (3)";"FluxoC",#N/A,FALSE,"Consolidado (3)"}</definedName>
    <definedName name="fdgdfg" localSheetId="14" hidden="1">{"RESUMEN",#N/A,FALSE,"RESUMEN";"RESUMEN_MARG",#N/A,FALSE,"RESUMEN"}</definedName>
    <definedName name="fdgdfg" hidden="1">{"RESUMEN",#N/A,FALSE,"RESUMEN";"RESUMEN_MARG",#N/A,FALSE,"RESUMEN"}</definedName>
    <definedName name="fds" localSheetId="14" hidden="1">{"Cons_Occ_Lar",#N/A,FALSE,"márgenes";"Cen_met",#N/A,FALSE,"márgenes";"Ori_pl",#N/A,FALSE,"márgenes"}</definedName>
    <definedName name="fds" hidden="1">{"Cons_Occ_Lar",#N/A,FALSE,"márgenes";"Cen_met",#N/A,FALSE,"márgenes";"Ori_pl",#N/A,FALSE,"márgenes"}</definedName>
    <definedName name="fdsd" localSheetId="14" hidden="1">{"RESUMEN",#N/A,FALSE,"RESUMEN";"RESUMEN_MARG",#N/A,FALSE,"RESUMEN"}</definedName>
    <definedName name="fdsd" hidden="1">{"RESUMEN",#N/A,FALSE,"RESUMEN";"RESUMEN_MARG",#N/A,FALSE,"RESUMEN"}</definedName>
    <definedName name="fdsdfs" localSheetId="14" hidden="1">{"prem1",#N/A,FALSE,"Consolidado";"pl_us",#N/A,FALSE,"Consolidado";"pl_hl",#N/A,FALSE,"Consolidado";"bs",#N/A,FALSE,"Consolidado";"cf",#N/A,FALSE,"Consolidado"}</definedName>
    <definedName name="fdsdfs" hidden="1">{"prem1",#N/A,FALSE,"Consolidado";"pl_us",#N/A,FALSE,"Consolidado";"pl_hl",#N/A,FALSE,"Consolidado";"bs",#N/A,FALSE,"Consolidado";"cf",#N/A,FALSE,"Consolidado"}</definedName>
    <definedName name="fdsfsdf" localSheetId="14" hidden="1">{#N/A,#N/A,FALSE,"Hoja1";#N/A,#N/A,FALSE,"Hoja2"}</definedName>
    <definedName name="fdsfsdf" hidden="1">{#N/A,#N/A,FALSE,"Hoja1";#N/A,#N/A,FALSE,"Hoja2"}</definedName>
    <definedName name="fdsfsew" localSheetId="14" hidden="1">{#N/A,#N/A,FALSE,"Hoja1";#N/A,#N/A,FALSE,"Hoja2"}</definedName>
    <definedName name="fdsfsew" hidden="1">{#N/A,#N/A,FALSE,"Hoja1";#N/A,#N/A,FALSE,"Hoja2"}</definedName>
    <definedName name="fdssdfsdf" localSheetId="14" hidden="1">{"miles",#N/A,FALSE,"LUCROS E PERDAS (US$ 000)";"hl",#N/A,FALSE,"LUCROS E PERDAS (US$ 000)"}</definedName>
    <definedName name="fdssdfsdf" hidden="1">{"miles",#N/A,FALSE,"LUCROS E PERDAS (US$ 000)";"hl",#N/A,FALSE,"LUCROS E PERDAS (US$ 000)"}</definedName>
    <definedName name="fe" localSheetId="14" hidden="1">{#N/A,#N/A,FALSE,"RGD$";#N/A,#N/A,FALSE,"BG$";#N/A,#N/A,FALSE,"FC$"}</definedName>
    <definedName name="fe" hidden="1">{#N/A,#N/A,FALSE,"RGD$";#N/A,#N/A,FALSE,"BG$";#N/A,#N/A,FALSE,"FC$"}</definedName>
    <definedName name="ffd" localSheetId="14" hidden="1">{#N/A,#N/A,FALSE,"PRECIO FULL";#N/A,#N/A,FALSE,"LARA";#N/A,#N/A,FALSE,"CARACAS";#N/A,#N/A,FALSE,"DISBRACENTRO";#N/A,#N/A,FALSE,"ANDES";#N/A,#N/A,FALSE,"MAR CARIBE";#N/A,#N/A,FALSE,"RIO BEER";#N/A,#N/A,FALSE,"DISBRAH"}</definedName>
    <definedName name="ffd" hidden="1">{#N/A,#N/A,FALSE,"PRECIO FULL";#N/A,#N/A,FALSE,"LARA";#N/A,#N/A,FALSE,"CARACAS";#N/A,#N/A,FALSE,"DISBRACENTRO";#N/A,#N/A,FALSE,"ANDES";#N/A,#N/A,FALSE,"MAR CARIBE";#N/A,#N/A,FALSE,"RIO BEER";#N/A,#N/A,FALSE,"DISBRAH"}</definedName>
    <definedName name="ffdds" localSheetId="14" hidden="1">{"Cons_Occ_Lar",#N/A,FALSE,"márgenes";"Cen_met",#N/A,FALSE,"márgenes";"Ori_pl",#N/A,FALSE,"márgenes"}</definedName>
    <definedName name="ffdds" hidden="1">{"Cons_Occ_Lar",#N/A,FALSE,"márgenes";"Cen_met",#N/A,FALSE,"márgenes";"Ori_pl",#N/A,FALSE,"márgenes"}</definedName>
    <definedName name="ffdgwe" localSheetId="14" hidden="1">{"Real",#N/A,FALSE,"CONSOLIDADO";"Real",#N/A,FALSE,"OCCIDENTE";"Real",#N/A,FALSE,"LARA";"Real",#N/A,FALSE,"CENTRO";"Real",#N/A,FALSE,"METROPOLITANA";"Real",#N/A,FALSE,"ORIENTE";"Real",#N/A,FALSE,"Pto.libre"}</definedName>
    <definedName name="ffdgwe" hidden="1">{"Real",#N/A,FALSE,"CONSOLIDADO";"Real",#N/A,FALSE,"OCCIDENTE";"Real",#N/A,FALSE,"LARA";"Real",#N/A,FALSE,"CENTRO";"Real",#N/A,FALSE,"METROPOLITANA";"Real",#N/A,FALSE,"ORIENTE";"Real",#N/A,FALSE,"Pto.libre"}</definedName>
    <definedName name="fff" localSheetId="14" hidden="1">{"Cons_Occ_Lar",#N/A,FALSE,"márgenes";"Cen_met",#N/A,FALSE,"márgenes";"Ori_pl",#N/A,FALSE,"márgenes"}</definedName>
    <definedName name="fff" hidden="1">{"Cons_Occ_Lar",#N/A,FALSE,"márgenes";"Cen_met",#N/A,FALSE,"márgenes";"Ori_pl",#N/A,FALSE,"márgenes"}</definedName>
    <definedName name="ffff" localSheetId="14" hidden="1">{"CAP VOL",#N/A,FALSE,"CAPITAL";"CAP VAR",#N/A,FALSE,"CAPITAL";"CAP FIJ",#N/A,FALSE,"CAPITAL";"CAP CONS",#N/A,FALSE,"CAPITAL";"CAP DATA",#N/A,FALSE,"CAPITAL"}</definedName>
    <definedName name="ffff" hidden="1">{"CAP VOL",#N/A,FALSE,"CAPITAL";"CAP VAR",#N/A,FALSE,"CAPITAL";"CAP FIJ",#N/A,FALSE,"CAPITAL";"CAP CONS",#N/A,FALSE,"CAPITAL";"CAP DATA",#N/A,FALSE,"CAPITAL"}</definedName>
    <definedName name="fffff" localSheetId="14" hidden="1">{#N/A,#N/A,FALSE,"Hoja1";#N/A,#N/A,FALSE,"Hoja2"}</definedName>
    <definedName name="fffff" hidden="1">{#N/A,#N/A,FALSE,"Hoja1";#N/A,#N/A,FALSE,"Hoja2"}</definedName>
    <definedName name="FFFFFFFF" localSheetId="14" hidden="1">{#N/A,#N/A,FALSE,"PRECIO FULL";#N/A,#N/A,FALSE,"LARA";#N/A,#N/A,FALSE,"CARACAS";#N/A,#N/A,FALSE,"DISBRACENTRO";#N/A,#N/A,FALSE,"ANDES";#N/A,#N/A,FALSE,"MAR CARIBE";#N/A,#N/A,FALSE,"RIO BEER";#N/A,#N/A,FALSE,"DISBRAH"}</definedName>
    <definedName name="FFFFFFFF" hidden="1">{#N/A,#N/A,FALSE,"PRECIO FULL";#N/A,#N/A,FALSE,"LARA";#N/A,#N/A,FALSE,"CARACAS";#N/A,#N/A,FALSE,"DISBRACENTRO";#N/A,#N/A,FALSE,"ANDES";#N/A,#N/A,FALSE,"MAR CARIBE";#N/A,#N/A,FALSE,"RIO BEER";#N/A,#N/A,FALSE,"DISBRAH"}</definedName>
    <definedName name="ffffffffff" localSheetId="14" hidden="1">{#N/A,#N/A,FALSE,"P.L.Full";#N/A,#N/A,FALSE,"P.L.Desc."}</definedName>
    <definedName name="ffffffffff" hidden="1">{#N/A,#N/A,FALSE,"P.L.Full";#N/A,#N/A,FALSE,"P.L.Desc."}</definedName>
    <definedName name="fghfghf" localSheetId="14" hidden="1">{"prem1",#N/A,FALSE,"Consolidado";"pl_us",#N/A,FALSE,"Consolidado";"pl_hl",#N/A,FALSE,"Consolidado";"bs",#N/A,FALSE,"Consolidado";"cf",#N/A,FALSE,"Consolidado"}</definedName>
    <definedName name="fghfghf" hidden="1">{"prem1",#N/A,FALSE,"Consolidado";"pl_us",#N/A,FALSE,"Consolidado";"pl_hl",#N/A,FALSE,"Consolidado";"bs",#N/A,FALSE,"Consolidado";"cf",#N/A,FALSE,"Consolidado"}</definedName>
    <definedName name="FKKF"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KKF"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fluxo" localSheetId="14" hidden="1">{"a_assump1",#N/A,FALSE,"BPlan 96-00 - Base";"a_assump2",#N/A,FALSE,"BPlan 96-00 - Base";"a_plus",#N/A,FALSE,"BPlan 96-00 - Base";"a_bs",#N/A,FALSE,"BPlan 96-00 - Base";"a_cf",#N/A,FALSE,"BPlan 96-00 - Base";"a_irrbase",#N/A,FALSE,"BPlan 96-00 - Base";"a_notes",#N/A,FALSE,"BPlan 96-00 - Base"}</definedName>
    <definedName name="fluxo" hidden="1">{"a_assump1",#N/A,FALSE,"BPlan 96-00 - Base";"a_assump2",#N/A,FALSE,"BPlan 96-00 - Base";"a_plus",#N/A,FALSE,"BPlan 96-00 - Base";"a_bs",#N/A,FALSE,"BPlan 96-00 - Base";"a_cf",#N/A,FALSE,"BPlan 96-00 - Base";"a_irrbase",#N/A,FALSE,"BPlan 96-00 - Base";"a_notes",#N/A,FALSE,"BPlan 96-00 - Base"}</definedName>
    <definedName name="fo" localSheetId="14" hidden="1">{"a_assump1",#N/A,FALSE,"BPlan 96-00 - Base";"a_assump2",#N/A,FALSE,"BPlan 96-00 - Base";"a_plus",#N/A,FALSE,"BPlan 96-00 - Base";"a_bs",#N/A,FALSE,"BPlan 96-00 - Base";"a_cf",#N/A,FALSE,"BPlan 96-00 - Base";"a_irrbase",#N/A,FALSE,"BPlan 96-00 - Base";"a_notes",#N/A,FALSE,"BPlan 96-00 - Base"}</definedName>
    <definedName name="fo" hidden="1">{"a_assump1",#N/A,FALSE,"BPlan 96-00 - Base";"a_assump2",#N/A,FALSE,"BPlan 96-00 - Base";"a_plus",#N/A,FALSE,"BPlan 96-00 - Base";"a_bs",#N/A,FALSE,"BPlan 96-00 - Base";"a_cf",#N/A,FALSE,"BPlan 96-00 - Base";"a_irrbase",#N/A,FALSE,"BPlan 96-00 - Base";"a_notes",#N/A,FALSE,"BPlan 96-00 - Base"}</definedName>
    <definedName name="FodaGuate" localSheetId="14" hidden="1">{"Yr1TM1",#N/A,FALSE,"Line Data";"Yr1TM2",#N/A,FALSE,"Line Data";"Yr1TM3",#N/A,FALSE,"Line Data"}</definedName>
    <definedName name="FodaGuate" hidden="1">{"Yr1TM1",#N/A,FALSE,"Line Data";"Yr1TM2",#N/A,FALSE,"Line Data";"Yr1TM3",#N/A,FALSE,"Line Data"}</definedName>
    <definedName name="foo" localSheetId="14" hidden="1">{"a_assump1",#N/A,FALSE,"BPlan 96-00 - Base";"a_assump2",#N/A,FALSE,"BPlan 96-00 - Base";"a_plus",#N/A,FALSE,"BPlan 96-00 - Base";"a_bs",#N/A,FALSE,"BPlan 96-00 - Base";"a_cf",#N/A,FALSE,"BPlan 96-00 - Base";"a_irrbase",#N/A,FALSE,"BPlan 96-00 - Base";"a_notes",#N/A,FALSE,"BPlan 96-00 - Base"}</definedName>
    <definedName name="foo" hidden="1">{"a_assump1",#N/A,FALSE,"BPlan 96-00 - Base";"a_assump2",#N/A,FALSE,"BPlan 96-00 - Base";"a_plus",#N/A,FALSE,"BPlan 96-00 - Base";"a_bs",#N/A,FALSE,"BPlan 96-00 - Base";"a_cf",#N/A,FALSE,"BPlan 96-00 - Base";"a_irrbase",#N/A,FALSE,"BPlan 96-00 - Base";"a_notes",#N/A,FALSE,"BPlan 96-00 - Base"}</definedName>
    <definedName name="fsdfsd" localSheetId="14" hidden="1">{#N/A,#N/A,FALSE,"Hoja1";#N/A,#N/A,FALSE,"Hoja2"}</definedName>
    <definedName name="fsdfsd" hidden="1">{#N/A,#N/A,FALSE,"Hoja1";#N/A,#N/A,FALSE,"Hoja2"}</definedName>
    <definedName name="fseewrewczxczx" localSheetId="14" hidden="1">{"prem1",#N/A,FALSE,"Consolidado";"pl_us",#N/A,FALSE,"Consolidado";"pl_hl",#N/A,FALSE,"Consolidado";"bs",#N/A,FALSE,"Consolidado";"cf",#N/A,FALSE,"Consolidado"}</definedName>
    <definedName name="fseewrewczxczx" hidden="1">{"prem1",#N/A,FALSE,"Consolidado";"pl_us",#N/A,FALSE,"Consolidado";"pl_hl",#N/A,FALSE,"Consolidado";"bs",#N/A,FALSE,"Consolidado";"cf",#N/A,FALSE,"Consolidado"}</definedName>
    <definedName name="fsfddfss" localSheetId="14" hidden="1">{"RESUMEN",#N/A,FALSE,"RESUMEN";"RESUMEN_MARG",#N/A,FALSE,"RESUMEN"}</definedName>
    <definedName name="fsfddfss" hidden="1">{"RESUMEN",#N/A,FALSE,"RESUMEN";"RESUMEN_MARG",#N/A,FALSE,"RESUMEN"}</definedName>
    <definedName name="gddgdf" localSheetId="14" hidden="1">{"Real",#N/A,FALSE,"CONSOLIDADO";"Real",#N/A,FALSE,"OCCIDENTE";"Real",#N/A,FALSE,"LARA";"Real",#N/A,FALSE,"CENTRO";"Real",#N/A,FALSE,"METROPOLITANA";"Real",#N/A,FALSE,"ORIENTE";"Real",#N/A,FALSE,"Pto.libre"}</definedName>
    <definedName name="gddgdf" hidden="1">{"Real",#N/A,FALSE,"CONSOLIDADO";"Real",#N/A,FALSE,"OCCIDENTE";"Real",#N/A,FALSE,"LARA";"Real",#N/A,FALSE,"CENTRO";"Real",#N/A,FALSE,"METROPOLITANA";"Real",#N/A,FALSE,"ORIENTE";"Real",#N/A,FALSE,"Pto.libre"}</definedName>
    <definedName name="gdfgdgfd" localSheetId="14" hidden="1">{"total",#N/A,FALSE,"TOTAL $";"totalhl",#N/A,FALSE,"TOTAL $HL";"vol",#N/A,FALSE,"VOLUMEN";"xprod1",#N/A,FALSE,"X PROD";"xprod2",#N/A,FALSE,"X PROD";"finaño1",#N/A,FALSE,"FIN AÑO Meta";"finaño2",#N/A,FALSE,"FIN AÑO Meta"}</definedName>
    <definedName name="gdfgdgfd" hidden="1">{"total",#N/A,FALSE,"TOTAL $";"totalhl",#N/A,FALSE,"TOTAL $HL";"vol",#N/A,FALSE,"VOLUMEN";"xprod1",#N/A,FALSE,"X PROD";"xprod2",#N/A,FALSE,"X PROD";"finaño1",#N/A,FALSE,"FIN AÑO Meta";"finaño2",#N/A,FALSE,"FIN AÑO Meta"}</definedName>
    <definedName name="genn" localSheetId="14" hidden="1">{"Cons_Occ_Lar",#N/A,FALSE,"márgenes";"Cen_met",#N/A,FALSE,"márgenes";"Ori_pl",#N/A,FALSE,"márgenes"}</definedName>
    <definedName name="genn" hidden="1">{"Cons_Occ_Lar",#N/A,FALSE,"márgenes";"Cen_met",#N/A,FALSE,"márgenes";"Ori_pl",#N/A,FALSE,"márgenes"}</definedName>
    <definedName name="geral" localSheetId="14" hidden="1">{#N/A,#N/A,FALSE,"Cronograma";#N/A,#N/A,FALSE,"Cronogr. 2"}</definedName>
    <definedName name="geral" hidden="1">{#N/A,#N/A,FALSE,"Cronograma";#N/A,#N/A,FALSE,"Cronogr. 2"}</definedName>
    <definedName name="gfdgvc" localSheetId="14" hidden="1">{#N/A,#N/A,FALSE,"Hoja1";#N/A,#N/A,FALSE,"Hoja2"}</definedName>
    <definedName name="gfdgvc" hidden="1">{#N/A,#N/A,FALSE,"Hoja1";#N/A,#N/A,FALSE,"Hoja2"}</definedName>
    <definedName name="gfg" localSheetId="14" hidden="1">{"CAP VOL",#N/A,FALSE,"CAPITAL";"CAP VAR",#N/A,FALSE,"CAPITAL";"CAP FIJ",#N/A,FALSE,"CAPITAL";"CAP CONS",#N/A,FALSE,"CAPITAL";"CAP DATA",#N/A,FALSE,"CAPITAL"}</definedName>
    <definedName name="gfg" hidden="1">{"CAP VOL",#N/A,FALSE,"CAPITAL";"CAP VAR",#N/A,FALSE,"CAPITAL";"CAP FIJ",#N/A,FALSE,"CAPITAL";"CAP CONS",#N/A,FALSE,"CAPITAL";"CAP DATA",#N/A,FALSE,"CAPITAL"}</definedName>
    <definedName name="gfghgf" localSheetId="14" hidden="1">{#N/A,#N/A,FALSE,"Resumen";#N/A,#N/A,FALSE,"Full";#N/A,"Carabeer",FALSE,"Dscto.";#N/A,"Disbracentro",FALSE,"Dscto.";#N/A,"Andes",FALSE,"Dscto.";#N/A,"Mar Caribe",FALSE,"Dscto.";#N/A,"Río Beer",FALSE,"Dscto.";#N/A,#N/A,FALSE,"P.L.Full";#N/A,#N/A,FALSE,"P.L.Desc."}</definedName>
    <definedName name="gfghgf" hidden="1">{#N/A,#N/A,FALSE,"Resumen";#N/A,#N/A,FALSE,"Full";#N/A,"Carabeer",FALSE,"Dscto.";#N/A,"Disbracentro",FALSE,"Dscto.";#N/A,"Andes",FALSE,"Dscto.";#N/A,"Mar Caribe",FALSE,"Dscto.";#N/A,"Río Beer",FALSE,"Dscto.";#N/A,#N/A,FALSE,"P.L.Full";#N/A,#N/A,FALSE,"P.L.Desc."}</definedName>
    <definedName name="gfwdfddf" localSheetId="14" hidden="1">{"miles",#N/A,FALSE,"LUCROS E PERDAS (US$ 000)";"hl",#N/A,FALSE,"LUCROS E PERDAS (US$ 000)"}</definedName>
    <definedName name="gfwdfddf" hidden="1">{"miles",#N/A,FALSE,"LUCROS E PERDAS (US$ 000)";"hl",#N/A,FALSE,"LUCROS E PERDAS (US$ 000)"}</definedName>
    <definedName name="GGG" localSheetId="14" hidden="1">{"Cons_Occ_Lar",#N/A,FALSE,"márgenes";"Cen_met",#N/A,FALSE,"márgenes";"Ori_pl",#N/A,FALSE,"márgenes"}</definedName>
    <definedName name="GGG" hidden="1">{"Cons_Occ_Lar",#N/A,FALSE,"márgenes";"Cen_met",#N/A,FALSE,"márgenes";"Ori_pl",#N/A,FALSE,"márgenes"}</definedName>
    <definedName name="ggggg" localSheetId="14" hidden="1">{#N/A,#N/A,FALSE,"Resumen";#N/A,#N/A,FALSE,"Full";#N/A,"Carabeer",FALSE,"Dscto.";#N/A,"Disbracentro",FALSE,"Dscto.";#N/A,"Andes",FALSE,"Dscto.";#N/A,"Mar Caribe",FALSE,"Dscto.";#N/A,"Río Beer",FALSE,"Dscto.";#N/A,#N/A,FALSE,"P.L.Full";#N/A,#N/A,FALSE,"P.L.Desc."}</definedName>
    <definedName name="ggggg" hidden="1">{#N/A,#N/A,FALSE,"Resumen";#N/A,#N/A,FALSE,"Full";#N/A,"Carabeer",FALSE,"Dscto.";#N/A,"Disbracentro",FALSE,"Dscto.";#N/A,"Andes",FALSE,"Dscto.";#N/A,"Mar Caribe",FALSE,"Dscto.";#N/A,"Río Beer",FALSE,"Dscto.";#N/A,#N/A,FALSE,"P.L.Full";#N/A,#N/A,FALSE,"P.L.Desc."}</definedName>
    <definedName name="ghfdgh" localSheetId="14" hidden="1">{#N/A,#N/A,FALSE,"RGD$";#N/A,#N/A,FALSE,"BG$";#N/A,#N/A,FALSE,"FC$"}</definedName>
    <definedName name="ghfdgh" hidden="1">{#N/A,#N/A,FALSE,"RGD$";#N/A,#N/A,FALSE,"BG$";#N/A,#N/A,FALSE,"FC$"}</definedName>
    <definedName name="ghghgh" localSheetId="14" hidden="1">{#N/A,#N/A,FALSE,"Hoja1";#N/A,#N/A,FALSE,"Hoja2"}</definedName>
    <definedName name="ghghgh" hidden="1">{#N/A,#N/A,FALSE,"Hoja1";#N/A,#N/A,FALSE,"Hoja2"}</definedName>
    <definedName name="ghjgh" localSheetId="14" hidden="1">{"miles",#N/A,FALSE,"LUCROS E PERDAS (US$ 000)";"hl",#N/A,FALSE,"LUCROS E PERDAS (US$ 000)"}</definedName>
    <definedName name="ghjgh" hidden="1">{"miles",#N/A,FALSE,"LUCROS E PERDAS (US$ 000)";"hl",#N/A,FALSE,"LUCROS E PERDAS (US$ 000)"}</definedName>
    <definedName name="GrowthRate" localSheetId="9">#REF!</definedName>
    <definedName name="GrowthRate" localSheetId="6">#REF!</definedName>
    <definedName name="GrowthRate" localSheetId="7">#REF!</definedName>
    <definedName name="GrowthRate">#REF!</definedName>
    <definedName name="guatefoda" localSheetId="14" hidden="1">{"YearMinus1",#N/A,TRUE,"Monthly Forecast";"Year0",#N/A,TRUE,"Monthly Forecast";"Year1",#N/A,TRUE,"Monthly Forecast";"Year2",#N/A,TRUE,"Monthly Forecast";"Year3",#N/A,TRUE,"Monthly Forecast"}</definedName>
    <definedName name="guatefoda" hidden="1">{"YearMinus1",#N/A,TRUE,"Monthly Forecast";"Year0",#N/A,TRUE,"Monthly Forecast";"Year1",#N/A,TRUE,"Monthly Forecast";"Year2",#N/A,TRUE,"Monthly Forecast";"Year3",#N/A,TRUE,"Monthly Forecast"}</definedName>
    <definedName name="hey" localSheetId="14" hidden="1">{"RESUMEN",#N/A,FALSE,"RESUMEN";"RESUMEN_MARG",#N/A,FALSE,"RESUMEN"}</definedName>
    <definedName name="hey" hidden="1">{"RESUMEN",#N/A,FALSE,"RESUMEN";"RESUMEN_MARG",#N/A,FALSE,"RESUMEN"}</definedName>
    <definedName name="hghg"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ghgh" localSheetId="14" hidden="1">{"prem1",#N/A,FALSE,"Consolidado";"pl_us",#N/A,FALSE,"Consolidado";"pl_hl",#N/A,FALSE,"Consolidado";"bs",#N/A,FALSE,"Consolidado";"cf",#N/A,FALSE,"Consolidado"}</definedName>
    <definedName name="hghgh" hidden="1">{"prem1",#N/A,FALSE,"Consolidado";"pl_us",#N/A,FALSE,"Consolidado";"pl_hl",#N/A,FALSE,"Consolidado";"bs",#N/A,FALSE,"Consolidado";"cf",#N/A,FALSE,"Consolidado"}</definedName>
    <definedName name="hgjg" localSheetId="14" hidden="1">{"Prenissas",#N/A,FALSE,"Consolidado (3)";"Lucros000",#N/A,FALSE,"Consolidado (3)";"LucrosHL",#N/A,FALSE,"Consolidado (3)";"Balanco",#N/A,FALSE,"Consolidado (3)";"FluxoC",#N/A,FALSE,"Consolidado (3)"}</definedName>
    <definedName name="hgjg" hidden="1">{"Prenissas",#N/A,FALSE,"Consolidado (3)";"Lucros000",#N/A,FALSE,"Consolidado (3)";"LucrosHL",#N/A,FALSE,"Consolidado (3)";"Balanco",#N/A,FALSE,"Consolidado (3)";"FluxoC",#N/A,FALSE,"Consolidado (3)"}</definedName>
    <definedName name="hgjghj" localSheetId="14" hidden="1">{"total",#N/A,FALSE,"TOTAL $";"totalhl",#N/A,FALSE,"TOTAL $HL";"vol",#N/A,FALSE,"VOLUMEN";"xprod1",#N/A,FALSE,"X PROD";"xprod2",#N/A,FALSE,"X PROD";"finaño1",#N/A,FALSE,"FIN AÑO Meta";"finaño2",#N/A,FALSE,"FIN AÑO Meta"}</definedName>
    <definedName name="hgjghj" hidden="1">{"total",#N/A,FALSE,"TOTAL $";"totalhl",#N/A,FALSE,"TOTAL $HL";"vol",#N/A,FALSE,"VOLUMEN";"xprod1",#N/A,FALSE,"X PROD";"xprod2",#N/A,FALSE,"X PROD";"finaño1",#N/A,FALSE,"FIN AÑO Meta";"finaño2",#N/A,FALSE,"FIN AÑO Meta"}</definedName>
    <definedName name="hgjhh" localSheetId="14" hidden="1">{"CAP VOL",#N/A,FALSE,"CAPITAL";"CAP VAR",#N/A,FALSE,"CAPITAL";"CAP FIJ",#N/A,FALSE,"CAPITAL";"CAP CONS",#N/A,FALSE,"CAPITAL";"CAP DATA",#N/A,FALSE,"CAPITAL"}</definedName>
    <definedName name="hgjhh" hidden="1">{"CAP VOL",#N/A,FALSE,"CAPITAL";"CAP VAR",#N/A,FALSE,"CAPITAL";"CAP FIJ",#N/A,FALSE,"CAPITAL";"CAP CONS",#N/A,FALSE,"CAPITAL";"CAP DATA",#N/A,FALSE,"CAPITAL"}</definedName>
    <definedName name="HHHH" localSheetId="14" hidden="1">{#N/A,#N/A,FALSE,"RGD$";#N/A,#N/A,FALSE,"BG$";#N/A,#N/A,FALSE,"FC$"}</definedName>
    <definedName name="HHHH" hidden="1">{#N/A,#N/A,FALSE,"RGD$";#N/A,#N/A,FALSE,"BG$";#N/A,#N/A,FALSE,"FC$"}</definedName>
    <definedName name="hjkk" localSheetId="14" hidden="1">{"bs",#N/A,FALSE,"Consolidado";"cf",#N/A,FALSE,"Consolidado";"pl_hl",#N/A,FALSE,"Consolidado";"pl_us",#N/A,FALSE,"Consolidado";"Prem1",#N/A,FALSE,"Consolidado"}</definedName>
    <definedName name="hjkk" hidden="1">{"bs",#N/A,FALSE,"Consolidado";"cf",#N/A,FALSE,"Consolidado";"pl_hl",#N/A,FALSE,"Consolidado";"pl_us",#N/A,FALSE,"Consolidado";"Prem1",#N/A,FALSE,"Consolidado"}</definedName>
    <definedName name="hkhjk" localSheetId="14" hidden="1">{"Prenissas",#N/A,FALSE,"Consolidado (3)";"Lucros000",#N/A,FALSE,"Consolidado (3)";"LucrosHL",#N/A,FALSE,"Consolidado (3)";"Balanco",#N/A,FALSE,"Consolidado (3)";"FluxoC",#N/A,FALSE,"Consolidado (3)"}</definedName>
    <definedName name="hkhjk" hidden="1">{"Prenissas",#N/A,FALSE,"Consolidado (3)";"Lucros000",#N/A,FALSE,"Consolidado (3)";"LucrosHL",#N/A,FALSE,"Consolidado (3)";"Balanco",#N/A,FALSE,"Consolidado (3)";"FluxoC",#N/A,FALSE,"Consolidado (3)"}</definedName>
    <definedName name="HNH" localSheetId="14" hidden="1">{#N/A,#N/A,FALSE,"Aging Summary";#N/A,#N/A,FALSE,"Ratio Analysis";#N/A,#N/A,FALSE,"Test 120 Day Accts";#N/A,#N/A,FALSE,"Tickmarks"}</definedName>
    <definedName name="HNH" hidden="1">{#N/A,#N/A,FALSE,"Aging Summary";#N/A,#N/A,FALSE,"Ratio Analysis";#N/A,#N/A,FALSE,"Test 120 Day Accts";#N/A,#N/A,FALSE,"Tickmarks"}</definedName>
    <definedName name="hrhrhrh"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rhrhrh"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HTML_CodePage" hidden="1">1252</definedName>
    <definedName name="HTML_Control" localSheetId="14" hidden="1">{"'18'!$A$5:$M$18"}</definedName>
    <definedName name="HTML_Control" hidden="1">{"'18'!$A$5:$M$18"}</definedName>
    <definedName name="HTML_Description" hidden="1">""</definedName>
    <definedName name="HTML_Email" hidden="1">"asocana@asocana.com.co"</definedName>
    <definedName name="HTML_Header" hidden="1">""</definedName>
    <definedName name="HTML_LastUpdate" hidden="1">""</definedName>
    <definedName name="HTML_LineAfter" hidden="1">TRUE</definedName>
    <definedName name="HTML_LineBefore" hidden="1">FALSE</definedName>
    <definedName name="HTML_Name" hidden="1">""</definedName>
    <definedName name="HTML_OBDlg2" hidden="1">TRUE</definedName>
    <definedName name="HTML_OBDlg3" hidden="1">TRUE</definedName>
    <definedName name="HTML_OBDlg4" hidden="1">TRUE</definedName>
    <definedName name="HTML_OS" hidden="1">0</definedName>
    <definedName name="HTML_PathFile" hidden="1">"\\Mpuribe\Mis Documentos\Informe Anual\Informe Anual 1998 99\Cuadros 98\Cuadro 18.htm"</definedName>
    <definedName name="HTML_PathTemplate" hidden="1">"D:\Pruebas\HTML.htm"</definedName>
    <definedName name="HTML_Title" hidden="1">"Principales Exportadores Mundiales de Azúcar 1991 - 1997"</definedName>
    <definedName name="IISIII" localSheetId="14" hidden="1">{#N/A,#N/A,FALSE,"RGD$";#N/A,#N/A,FALSE,"BG$";#N/A,#N/A,FALSE,"FC$"}</definedName>
    <definedName name="IISIII" hidden="1">{#N/A,#N/A,FALSE,"RGD$";#N/A,#N/A,FALSE,"BG$";#N/A,#N/A,FALSE,"FC$"}</definedName>
    <definedName name="IISIIS" localSheetId="14" hidden="1">{"Real",#N/A,FALSE,"CONSOLIDADO";"Real",#N/A,FALSE,"OCCIDENTE";"Real",#N/A,FALSE,"LARA";"Real",#N/A,FALSE,"CENTRO";"Real",#N/A,FALSE,"METROPOLITANA";"Real",#N/A,FALSE,"ORIENTE";"Real",#N/A,FALSE,"Pto.libre"}</definedName>
    <definedName name="IISIIS" hidden="1">{"Real",#N/A,FALSE,"CONSOLIDADO";"Real",#N/A,FALSE,"OCCIDENTE";"Real",#N/A,FALSE,"LARA";"Real",#N/A,FALSE,"CENTRO";"Real",#N/A,FALSE,"METROPOLITANA";"Real",#N/A,FALSE,"ORIENTE";"Real",#N/A,FALSE,"Pto.libre"}</definedName>
    <definedName name="iiyu" localSheetId="14" hidden="1">{"Prenissas",#N/A,FALSE,"Consolidado (3)";"Lucros000",#N/A,FALSE,"Consolidado (3)";"LucrosHL",#N/A,FALSE,"Consolidado (3)";"Balanco",#N/A,FALSE,"Consolidado (3)";"FluxoC",#N/A,FALSE,"Consolidado (3)"}</definedName>
    <definedName name="iiyu" hidden="1">{"Prenissas",#N/A,FALSE,"Consolidado (3)";"Lucros000",#N/A,FALSE,"Consolidado (3)";"LucrosHL",#N/A,FALSE,"Consolidado (3)";"Balanco",#N/A,FALSE,"Consolidado (3)";"FluxoC",#N/A,FALSE,"Consolidado (3)"}</definedName>
    <definedName name="imp" localSheetId="14" hidden="1">{#N/A,#N/A,FALSE,"Hoja1";#N/A,#N/A,FALSE,"Hoja2"}</definedName>
    <definedName name="imp" hidden="1">{#N/A,#N/A,FALSE,"Hoja1";#N/A,#N/A,FALSE,"Hoja2"}</definedName>
    <definedName name="IMPO" localSheetId="14" hidden="1">{#N/A,#N/A,FALSE,"Hoja1";#N/A,#N/A,FALSE,"Hoja2"}</definedName>
    <definedName name="IMPO" hidden="1">{#N/A,#N/A,FALSE,"Hoja1";#N/A,#N/A,FALSE,"Hoja2"}</definedName>
    <definedName name="iop" localSheetId="14"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iop"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iso36medidas" localSheetId="14" hidden="1">{#N/A,#N/A,FALSE,"RGD$";#N/A,#N/A,FALSE,"BG$";#N/A,#N/A,FALSE,"FC$"}</definedName>
    <definedName name="iso36medidas" hidden="1">{#N/A,#N/A,FALSE,"RGD$";#N/A,#N/A,FALSE,"BG$";#N/A,#N/A,FALSE,"FC$"}</definedName>
    <definedName name="isocomer" localSheetId="14" hidden="1">{"Real",#N/A,FALSE,"CONSOLIDADO";"Real",#N/A,FALSE,"OCCIDENTE";"Real",#N/A,FALSE,"LARA";"Real",#N/A,FALSE,"CENTRO";"Real",#N/A,FALSE,"METROPOLITANA";"Real",#N/A,FALSE,"ORIENTE";"Real",#N/A,FALSE,"Pto.libre"}</definedName>
    <definedName name="isocomer" hidden="1">{"Real",#N/A,FALSE,"CONSOLIDADO";"Real",#N/A,FALSE,"OCCIDENTE";"Real",#N/A,FALSE,"LARA";"Real",#N/A,FALSE,"CENTRO";"Real",#N/A,FALSE,"METROPOLITANA";"Real",#N/A,FALSE,"ORIENTE";"Real",#N/A,FALSE,"Pto.libre"}</definedName>
    <definedName name="isoic" localSheetId="14" hidden="1">{"PET1",#N/A,TRUE,"PET";"PET2",#N/A,TRUE,"PET";"PET3",#N/A,TRUE,"PET";"GLASS1",#N/A,TRUE,"GLASS"}</definedName>
    <definedName name="isoic" hidden="1">{"PET1",#N/A,TRUE,"PET";"PET2",#N/A,TRUE,"PET";"PET3",#N/A,TRUE,"PET";"GLASS1",#N/A,TRUE,"GLASS"}</definedName>
    <definedName name="isoicoo" localSheetId="14" hidden="1">{"CAP VOL",#N/A,FALSE,"CAPITAL";"CAP VAR",#N/A,FALSE,"CAPITAL";"CAP FIJ",#N/A,FALSE,"CAPITAL";"CAP CONS",#N/A,FALSE,"CAPITAL";"CAP DATA",#N/A,FALSE,"CAPITAL"}</definedName>
    <definedName name="isoicoo" hidden="1">{"CAP VOL",#N/A,FALSE,"CAPITAL";"CAP VAR",#N/A,FALSE,"CAPITAL";"CAP FIJ",#N/A,FALSE,"CAPITAL";"CAP CONS",#N/A,FALSE,"CAPITAL";"CAP DATA",#N/A,FALSE,"CAPITAL"}</definedName>
    <definedName name="isoinver" localSheetId="14" hidden="1">{"CAP VOL",#N/A,FALSE,"CAPITAL";"CAP VAR",#N/A,FALSE,"CAPITAL";"CAP FIJ",#N/A,FALSE,"CAPITAL";"CAP CONS",#N/A,FALSE,"CAPITAL";"CAP DATA",#N/A,FALSE,"CAPITAL"}</definedName>
    <definedName name="isoinver" hidden="1">{"CAP VOL",#N/A,FALSE,"CAPITAL";"CAP VAR",#N/A,FALSE,"CAPITAL";"CAP FIJ",#N/A,FALSE,"CAPITAL";"CAP CONS",#N/A,FALSE,"CAPITAL";"CAP DATA",#N/A,FALSE,"CAPITAL"}</definedName>
    <definedName name="isomedidas" localSheetId="14" hidden="1">{"PET1",#N/A,TRUE,"PET";"PET2",#N/A,TRUE,"PET";"PET3",#N/A,TRUE,"PET";"GLASS1",#N/A,TRUE,"GLASS"}</definedName>
    <definedName name="isomedidas" hidden="1">{"PET1",#N/A,TRUE,"PET";"PET2",#N/A,TRUE,"PET";"PET3",#N/A,TRUE,"PET";"GLASS1",#N/A,TRUE,"GLASS"}</definedName>
    <definedName name="isr50norte" localSheetId="14" hidden="1">{"Demand Forecast",#N/A,TRUE,"Demand Forecast";"Seasonality",#N/A,TRUE,"Seasonality";"GraphPetTotal",#N/A,TRUE,"PET";"GraphPet1",#N/A,TRUE,"PET";"GraphPet2",#N/A,TRUE,"PET";"GraphGlassTotal",#N/A,TRUE,"GLASS";"GraphGlass1",#N/A,TRUE,"GLASS";"Allocation &amp; Efficiency",#N/A,TRUE,"Line Data"}</definedName>
    <definedName name="isr50norte" hidden="1">{"Demand Forecast",#N/A,TRUE,"Demand Forecast";"Seasonality",#N/A,TRUE,"Seasonality";"GraphPetTotal",#N/A,TRUE,"PET";"GraphPet1",#N/A,TRUE,"PET";"GraphPet2",#N/A,TRUE,"PET";"GraphGlassTotal",#N/A,TRUE,"GLASS";"GraphGlass1",#N/A,TRUE,"GLASS";"Allocation &amp; Efficiency",#N/A,TRUE,"Line Data"}</definedName>
    <definedName name="it" localSheetId="14" hidden="1">{"a_assump1",#N/A,FALSE,"BPlan 96-00 - Base";"a_assump2",#N/A,FALSE,"BPlan 96-00 - Base";"a_plus",#N/A,FALSE,"BPlan 96-00 - Base";"a_bs",#N/A,FALSE,"BPlan 96-00 - Base";"a_cf",#N/A,FALSE,"BPlan 96-00 - Base";"a_irrbase",#N/A,FALSE,"BPlan 96-00 - Base";"a_notes",#N/A,FALSE,"BPlan 96-00 - Base"}</definedName>
    <definedName name="it" hidden="1">{"a_assump1",#N/A,FALSE,"BPlan 96-00 - Base";"a_assump2",#N/A,FALSE,"BPlan 96-00 - Base";"a_plus",#N/A,FALSE,"BPlan 96-00 - Base";"a_bs",#N/A,FALSE,"BPlan 96-00 - Base";"a_cf",#N/A,FALSE,"BPlan 96-00 - Base";"a_irrbase",#N/A,FALSE,"BPlan 96-00 - Base";"a_notes",#N/A,FALSE,"BPlan 96-00 - Base"}</definedName>
    <definedName name="iui" localSheetId="14" hidden="1">{"total",#N/A,FALSE,"TOTAL $";"totalhl",#N/A,FALSE,"TOTAL $HL";"vol",#N/A,FALSE,"VOLUMEN";"xprod1",#N/A,FALSE,"X PROD";"xprod2",#N/A,FALSE,"X PROD";"finaño1",#N/A,FALSE,"FIN AÑO Meta";"finaño2",#N/A,FALSE,"FIN AÑO Meta"}</definedName>
    <definedName name="iui" hidden="1">{"total",#N/A,FALSE,"TOTAL $";"totalhl",#N/A,FALSE,"TOTAL $HL";"vol",#N/A,FALSE,"VOLUMEN";"xprod1",#N/A,FALSE,"X PROD";"xprod2",#N/A,FALSE,"X PROD";"finaño1",#N/A,FALSE,"FIN AÑO Meta";"finaño2",#N/A,FALSE,"FIN AÑO Meta"}</definedName>
    <definedName name="JDSUYUY" localSheetId="14" hidden="1">{"RESUMEN",#N/A,FALSE,"RESUMEN";"RESUMEN_MARG",#N/A,FALSE,"RESUMEN"}</definedName>
    <definedName name="JDSUYUY" hidden="1">{"RESUMEN",#N/A,FALSE,"RESUMEN";"RESUMEN_MARG",#N/A,FALSE,"RESUMEN"}</definedName>
    <definedName name="jghgg" localSheetId="14" hidden="1">{#N/A,#N/A,FALSE,"P.L.Full";#N/A,#N/A,FALSE,"P.L.Desc."}</definedName>
    <definedName name="jghgg" hidden="1">{#N/A,#N/A,FALSE,"P.L.Full";#N/A,#N/A,FALSE,"P.L.Desc."}</definedName>
    <definedName name="jgtyyt" localSheetId="14" hidden="1">{#N/A,#N/A,FALSE,"Hoja1";#N/A,#N/A,FALSE,"Hoja2"}</definedName>
    <definedName name="jgtyyt" hidden="1">{#N/A,#N/A,FALSE,"Hoja1";#N/A,#N/A,FALSE,"Hoja2"}</definedName>
    <definedName name="jhgf" localSheetId="14" hidden="1">{"RESUMEN",#N/A,FALSE,"RESUMEN";"RESUMEN_MARG",#N/A,FALSE,"RESUMEN"}</definedName>
    <definedName name="jhgf" hidden="1">{"RESUMEN",#N/A,FALSE,"RESUMEN";"RESUMEN_MARG",#N/A,FALSE,"RESUMEN"}</definedName>
    <definedName name="JIJIJ" localSheetId="14" hidden="1">{#N/A,#N/A,FALSE,"RGD$";#N/A,#N/A,FALSE,"BG$";#N/A,#N/A,FALSE,"FC$"}</definedName>
    <definedName name="JIJIJ" hidden="1">{#N/A,#N/A,FALSE,"RGD$";#N/A,#N/A,FALSE,"BG$";#N/A,#N/A,FALSE,"FC$"}</definedName>
    <definedName name="jjj" localSheetId="14" hidden="1">{#N/A,#N/A,FALSE,"PRECIO FULL";#N/A,#N/A,FALSE,"LARA";#N/A,#N/A,FALSE,"CARACAS";#N/A,#N/A,FALSE,"DISBRACENTRO";#N/A,#N/A,FALSE,"ANDES";#N/A,#N/A,FALSE,"MAR CARIBE";#N/A,#N/A,FALSE,"RIO BEER";#N/A,#N/A,FALSE,"DISBRAH"}</definedName>
    <definedName name="jjj" hidden="1">{#N/A,#N/A,FALSE,"PRECIO FULL";#N/A,#N/A,FALSE,"LARA";#N/A,#N/A,FALSE,"CARACAS";#N/A,#N/A,FALSE,"DISBRACENTRO";#N/A,#N/A,FALSE,"ANDES";#N/A,#N/A,FALSE,"MAR CARIBE";#N/A,#N/A,FALSE,"RIO BEER";#N/A,#N/A,FALSE,"DISBRAH"}</definedName>
    <definedName name="jjjg" localSheetId="14" hidden="1">{#N/A,#N/A,FALSE,"RGD$";#N/A,#N/A,FALSE,"BG$";#N/A,#N/A,FALSE,"FC$"}</definedName>
    <definedName name="jjjg" hidden="1">{#N/A,#N/A,FALSE,"RGD$";#N/A,#N/A,FALSE,"BG$";#N/A,#N/A,FALSE,"FC$"}</definedName>
    <definedName name="JJUJSD" localSheetId="14" hidden="1">{#N/A,#N/A,FALSE,"RGD$";#N/A,#N/A,FALSE,"BG$";#N/A,#N/A,FALSE,"FC$"}</definedName>
    <definedName name="JJUJSD" hidden="1">{#N/A,#N/A,FALSE,"RGD$";#N/A,#N/A,FALSE,"BG$";#N/A,#N/A,FALSE,"FC$"}</definedName>
    <definedName name="jk" localSheetId="14" hidden="1">{"Cons_Occ_Lar",#N/A,FALSE,"márgenes";"Cen_met",#N/A,FALSE,"márgenes";"Ori_pl",#N/A,FALSE,"márgenes"}</definedName>
    <definedName name="jk" hidden="1">{"Cons_Occ_Lar",#N/A,FALSE,"márgenes";"Cen_met",#N/A,FALSE,"márgenes";"Ori_pl",#N/A,FALSE,"márgenes"}</definedName>
    <definedName name="jkh" localSheetId="14" hidden="1">{"CAP VOL",#N/A,FALSE,"CAPITAL";"CAP VAR",#N/A,FALSE,"CAPITAL";"CAP FIJ",#N/A,FALSE,"CAPITAL";"CAP CONS",#N/A,FALSE,"CAPITAL";"CAP DATA",#N/A,FALSE,"CAPITAL"}</definedName>
    <definedName name="jkh" hidden="1">{"CAP VOL",#N/A,FALSE,"CAPITAL";"CAP VAR",#N/A,FALSE,"CAPITAL";"CAP FIJ",#N/A,FALSE,"CAPITAL";"CAP CONS",#N/A,FALSE,"CAPITAL";"CAP DATA",#N/A,FALSE,"CAPITAL"}</definedName>
    <definedName name="jkhç" localSheetId="14" hidden="1">{"Real",#N/A,FALSE,"CONSOLIDADO";"Real",#N/A,FALSE,"OCCIDENTE";"Real",#N/A,FALSE,"LARA";"Real",#N/A,FALSE,"CENTRO";"Real",#N/A,FALSE,"METROPOLITANA";"Real",#N/A,FALSE,"ORIENTE";"Real",#N/A,FALSE,"Pto.libre"}</definedName>
    <definedName name="jkhç" hidden="1">{"Real",#N/A,FALSE,"CONSOLIDADO";"Real",#N/A,FALSE,"OCCIDENTE";"Real",#N/A,FALSE,"LARA";"Real",#N/A,FALSE,"CENTRO";"Real",#N/A,FALSE,"METROPOLITANA";"Real",#N/A,FALSE,"ORIENTE";"Real",#N/A,FALSE,"Pto.libre"}</definedName>
    <definedName name="jkj" localSheetId="14" hidden="1">{#N/A,#N/A,FALSE,"PRECIO FULL";#N/A,#N/A,FALSE,"LARA";#N/A,#N/A,FALSE,"CARACAS";#N/A,#N/A,FALSE,"DISBRACENTRO";#N/A,#N/A,FALSE,"ANDES";#N/A,#N/A,FALSE,"MAR CARIBE";#N/A,#N/A,FALSE,"RIO BEER";#N/A,#N/A,FALSE,"DISBRAH"}</definedName>
    <definedName name="jkj" hidden="1">{#N/A,#N/A,FALSE,"PRECIO FULL";#N/A,#N/A,FALSE,"LARA";#N/A,#N/A,FALSE,"CARACAS";#N/A,#N/A,FALSE,"DISBRACENTRO";#N/A,#N/A,FALSE,"ANDES";#N/A,#N/A,FALSE,"MAR CARIBE";#N/A,#N/A,FALSE,"RIO BEER";#N/A,#N/A,FALSE,"DISBRAH"}</definedName>
    <definedName name="jkja" localSheetId="14" hidden="1">{"CAP VOL",#N/A,FALSE,"CAPITAL";"CAP VAR",#N/A,FALSE,"CAPITAL";"CAP FIJ",#N/A,FALSE,"CAPITAL";"CAP CONS",#N/A,FALSE,"CAPITAL";"CAP DATA",#N/A,FALSE,"CAPITAL"}</definedName>
    <definedName name="jkja" hidden="1">{"CAP VOL",#N/A,FALSE,"CAPITAL";"CAP VAR",#N/A,FALSE,"CAPITAL";"CAP FIJ",#N/A,FALSE,"CAPITAL";"CAP CONS",#N/A,FALSE,"CAPITAL";"CAP DATA",#N/A,FALSE,"CAPITAL"}</definedName>
    <definedName name="JKJJKJK" localSheetId="14" hidden="1">{#N/A,#N/A,FALSE,"RGD$";#N/A,#N/A,FALSE,"BG$";#N/A,#N/A,FALSE,"FC$"}</definedName>
    <definedName name="JKJJKJK" hidden="1">{#N/A,#N/A,FALSE,"RGD$";#N/A,#N/A,FALSE,"BG$";#N/A,#N/A,FALSE,"FC$"}</definedName>
    <definedName name="jkjk" localSheetId="14" hidden="1">{#N/A,#N/A,FALSE,"PRECIO FULL";#N/A,#N/A,FALSE,"LARA";#N/A,#N/A,FALSE,"CARACAS";#N/A,#N/A,FALSE,"DISBRACENTRO";#N/A,#N/A,FALSE,"ANDES";#N/A,#N/A,FALSE,"MAR CARIBE";#N/A,#N/A,FALSE,"RIO BEER";#N/A,#N/A,FALSE,"DISBRAH"}</definedName>
    <definedName name="jkjk" hidden="1">{#N/A,#N/A,FALSE,"PRECIO FULL";#N/A,#N/A,FALSE,"LARA";#N/A,#N/A,FALSE,"CARACAS";#N/A,#N/A,FALSE,"DISBRACENTRO";#N/A,#N/A,FALSE,"ANDES";#N/A,#N/A,FALSE,"MAR CARIBE";#N/A,#N/A,FALSE,"RIO BEER";#N/A,#N/A,FALSE,"DISBRAH"}</definedName>
    <definedName name="JKJKJ" localSheetId="14" hidden="1">{"Cons_Occ_Lar",#N/A,FALSE,"márgenes";"Cen_met",#N/A,FALSE,"márgenes";"Ori_pl",#N/A,FALSE,"márgenes"}</definedName>
    <definedName name="JKJKJ" hidden="1">{"Cons_Occ_Lar",#N/A,FALSE,"márgenes";"Cen_met",#N/A,FALSE,"márgenes";"Ori_pl",#N/A,FALSE,"márgenes"}</definedName>
    <definedName name="JKJKLJ" localSheetId="14" hidden="1">{"Real",#N/A,FALSE,"CONSOLIDADO";"Real",#N/A,FALSE,"OCCIDENTE";"Real",#N/A,FALSE,"LARA";"Real",#N/A,FALSE,"CENTRO";"Real",#N/A,FALSE,"METROPOLITANA";"Real",#N/A,FALSE,"ORIENTE";"Real",#N/A,FALSE,"Pto.libre"}</definedName>
    <definedName name="JKJKLJ" hidden="1">{"Real",#N/A,FALSE,"CONSOLIDADO";"Real",#N/A,FALSE,"OCCIDENTE";"Real",#N/A,FALSE,"LARA";"Real",#N/A,FALSE,"CENTRO";"Real",#N/A,FALSE,"METROPOLITANA";"Real",#N/A,FALSE,"ORIENTE";"Real",#N/A,FALSE,"Pto.libre"}</definedName>
    <definedName name="jkma" localSheetId="14" hidden="1">{"Cons_Occ_Lar",#N/A,FALSE,"márgenes";"Cen_met",#N/A,FALSE,"márgenes";"Ori_pl",#N/A,FALSE,"márgenes"}</definedName>
    <definedName name="jkma" hidden="1">{"Cons_Occ_Lar",#N/A,FALSE,"márgenes";"Cen_met",#N/A,FALSE,"márgenes";"Ori_pl",#N/A,FALSE,"márgenes"}</definedName>
    <definedName name="jnv" localSheetId="14" hidden="1">{#N/A,#N/A,FALSE,"Hoja1";#N/A,#N/A,FALSE,"Hoja2"}</definedName>
    <definedName name="jnv" hidden="1">{#N/A,#N/A,FALSE,"Hoja1";#N/A,#N/A,FALSE,"Hoja2"}</definedName>
    <definedName name="JUJD" localSheetId="14" hidden="1">{"Cons_Occ_Lar",#N/A,FALSE,"márgenes";"Cen_met",#N/A,FALSE,"márgenes";"Ori_pl",#N/A,FALSE,"márgenes"}</definedName>
    <definedName name="JUJD" hidden="1">{"Cons_Occ_Lar",#N/A,FALSE,"márgenes";"Cen_met",#N/A,FALSE,"márgenes";"Ori_pl",#N/A,FALSE,"márgenes"}</definedName>
    <definedName name="julion" hidden="1">#REF!</definedName>
    <definedName name="k" localSheetId="14" hidden="1">{#N/A,#N/A,FALSE,"RGD$";#N/A,#N/A,FALSE,"BG$";#N/A,#N/A,FALSE,"FC$"}</definedName>
    <definedName name="k" hidden="1">{#N/A,#N/A,FALSE,"RGD$";#N/A,#N/A,FALSE,"BG$";#N/A,#N/A,FALSE,"FC$"}</definedName>
    <definedName name="KDKDKD"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KDK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DSJKJ"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key" hidden="1">#REF!</definedName>
    <definedName name="kht" localSheetId="14" hidden="1">{"Real",#N/A,FALSE,"CONSOLIDADO";"Real",#N/A,FALSE,"OCCIDENTE";"Real",#N/A,FALSE,"LARA";"Real",#N/A,FALSE,"CENTRO";"Real",#N/A,FALSE,"METROPOLITANA";"Real",#N/A,FALSE,"ORIENTE";"Real",#N/A,FALSE,"Pto.libre"}</definedName>
    <definedName name="kht" hidden="1">{"Real",#N/A,FALSE,"CONSOLIDADO";"Real",#N/A,FALSE,"OCCIDENTE";"Real",#N/A,FALSE,"LARA";"Real",#N/A,FALSE,"CENTRO";"Real",#N/A,FALSE,"METROPOLITANA";"Real",#N/A,FALSE,"ORIENTE";"Real",#N/A,FALSE,"Pto.libre"}</definedName>
    <definedName name="kik" localSheetId="14" hidden="1">{"Cons_Occ_Lar",#N/A,FALSE,"márgenes";"Cen_met",#N/A,FALSE,"márgenes";"Ori_pl",#N/A,FALSE,"márgenes"}</definedName>
    <definedName name="kik" hidden="1">{"Cons_Occ_Lar",#N/A,FALSE,"márgenes";"Cen_met",#N/A,FALSE,"márgenes";"Ori_pl",#N/A,FALSE,"márgenes"}</definedName>
    <definedName name="kikikk" localSheetId="14" hidden="1">{#N/A,#N/A,FALSE,"Aging Summary";#N/A,#N/A,FALSE,"Ratio Analysis";#N/A,#N/A,FALSE,"Test 120 Day Accts";#N/A,#N/A,FALSE,"Tickmarks"}</definedName>
    <definedName name="kikikk" hidden="1">{#N/A,#N/A,FALSE,"Aging Summary";#N/A,#N/A,FALSE,"Ratio Analysis";#N/A,#N/A,FALSE,"Test 120 Day Accts";#N/A,#N/A,FALSE,"Tickmarks"}</definedName>
    <definedName name="KIL" localSheetId="14" hidden="1">{#N/A,#N/A,FALSE,"Aging Summary";#N/A,#N/A,FALSE,"Ratio Analysis";#N/A,#N/A,FALSE,"Test 120 Day Accts";#N/A,#N/A,FALSE,"Tickmarks"}</definedName>
    <definedName name="KIL" hidden="1">{#N/A,#N/A,FALSE,"Aging Summary";#N/A,#N/A,FALSE,"Ratio Analysis";#N/A,#N/A,FALSE,"Test 120 Day Accts";#N/A,#N/A,FALSE,"Tickmarks"}</definedName>
    <definedName name="KJJKJKJ" localSheetId="14" hidden="1">{"RESUMEN",#N/A,FALSE,"RESUMEN";"RESUMEN_MARG",#N/A,FALSE,"RESUMEN"}</definedName>
    <definedName name="KJJKJKJ" hidden="1">{"RESUMEN",#N/A,FALSE,"RESUMEN";"RESUMEN_MARG",#N/A,FALSE,"RESUMEN"}</definedName>
    <definedName name="KJKJKJ" localSheetId="14" hidden="1">{"Real",#N/A,FALSE,"CONSOLIDADO";"Real",#N/A,FALSE,"OCCIDENTE";"Real",#N/A,FALSE,"LARA";"Real",#N/A,FALSE,"CENTRO";"Real",#N/A,FALSE,"METROPOLITANA";"Real",#N/A,FALSE,"ORIENTE";"Real",#N/A,FALSE,"Pto.libre"}</definedName>
    <definedName name="KJKJKJ" hidden="1">{"Real",#N/A,FALSE,"CONSOLIDADO";"Real",#N/A,FALSE,"OCCIDENTE";"Real",#N/A,FALSE,"LARA";"Real",#N/A,FALSE,"CENTRO";"Real",#N/A,FALSE,"METROPOLITANA";"Real",#N/A,FALSE,"ORIENTE";"Real",#N/A,FALSE,"Pto.libre"}</definedName>
    <definedName name="KJKK" localSheetId="14" hidden="1">{"RESUMEN",#N/A,FALSE,"RESUMEN";"RESUMEN_MARG",#N/A,FALSE,"RESUMEN"}</definedName>
    <definedName name="KJKK" hidden="1">{"RESUMEN",#N/A,FALSE,"RESUMEN";"RESUMEN_MARG",#N/A,FALSE,"RESUMEN"}</definedName>
    <definedName name="KJLKJL" localSheetId="14" hidden="1">{"CAP VOL",#N/A,FALSE,"CAPITAL";"CAP VAR",#N/A,FALSE,"CAPITAL";"CAP FIJ",#N/A,FALSE,"CAPITAL";"CAP CONS",#N/A,FALSE,"CAPITAL";"CAP DATA",#N/A,FALSE,"CAPITAL"}</definedName>
    <definedName name="KJLKJL" hidden="1">{"CAP VOL",#N/A,FALSE,"CAPITAL";"CAP VAR",#N/A,FALSE,"CAPITAL";"CAP FIJ",#N/A,FALSE,"CAPITAL";"CAP CONS",#N/A,FALSE,"CAPITAL";"CAP DATA",#N/A,FALSE,"CAPITAL"}</definedName>
    <definedName name="KK" localSheetId="14" hidden="1">{"Cons_Occ_Lar",#N/A,FALSE,"márgenes";"Cen_met",#N/A,FALSE,"márgenes";"Ori_pl",#N/A,FALSE,"márgenes"}</definedName>
    <definedName name="KK" hidden="1">{"Cons_Occ_Lar",#N/A,FALSE,"márgenes";"Cen_met",#N/A,FALSE,"márgenes";"Ori_pl",#N/A,FALSE,"márgenes"}</definedName>
    <definedName name="kkk" localSheetId="14" hidden="1">{"Real",#N/A,FALSE,"CONSOLIDADO";"Real",#N/A,FALSE,"OCCIDENTE";"Real",#N/A,FALSE,"LARA";"Real",#N/A,FALSE,"CENTRO";"Real",#N/A,FALSE,"METROPOLITANA";"Real",#N/A,FALSE,"ORIENTE";"Real",#N/A,FALSE,"Pto.libre"}</definedName>
    <definedName name="kkk" hidden="1">{"Real",#N/A,FALSE,"CONSOLIDADO";"Real",#N/A,FALSE,"OCCIDENTE";"Real",#N/A,FALSE,"LARA";"Real",#N/A,FALSE,"CENTRO";"Real",#N/A,FALSE,"METROPOLITANA";"Real",#N/A,FALSE,"ORIENTE";"Real",#N/A,FALSE,"Pto.libre"}</definedName>
    <definedName name="KKLKLK" localSheetId="14" hidden="1">{#N/A,#N/A,FALSE,"PRECIO FULL";#N/A,#N/A,FALSE,"LARA";#N/A,#N/A,FALSE,"CARACAS";#N/A,#N/A,FALSE,"DISBRACENTRO";#N/A,#N/A,FALSE,"ANDES";#N/A,#N/A,FALSE,"MAR CARIBE";#N/A,#N/A,FALSE,"RIO BEER";#N/A,#N/A,FALSE,"DISBRAH"}</definedName>
    <definedName name="KKLKLK" hidden="1">{#N/A,#N/A,FALSE,"PRECIO FULL";#N/A,#N/A,FALSE,"LARA";#N/A,#N/A,FALSE,"CARACAS";#N/A,#N/A,FALSE,"DISBRACENTRO";#N/A,#N/A,FALSE,"ANDES";#N/A,#N/A,FALSE,"MAR CARIBE";#N/A,#N/A,FALSE,"RIO BEER";#N/A,#N/A,FALSE,"DISBRAH"}</definedName>
    <definedName name="kklñk" localSheetId="14" hidden="1">{#N/A,#N/A,FALSE,"RGD$";#N/A,#N/A,FALSE,"BG$";#N/A,#N/A,FALSE,"FC$"}</definedName>
    <definedName name="kklñk" hidden="1">{#N/A,#N/A,FALSE,"RGD$";#N/A,#N/A,FALSE,"BG$";#N/A,#N/A,FALSE,"FC$"}</definedName>
    <definedName name="klj" localSheetId="14" hidden="1">{"CAP VOL",#N/A,FALSE,"CAPITAL";"CAP VAR",#N/A,FALSE,"CAPITAL";"CAP FIJ",#N/A,FALSE,"CAPITAL";"CAP CONS",#N/A,FALSE,"CAPITAL";"CAP DATA",#N/A,FALSE,"CAPITAL"}</definedName>
    <definedName name="klj" hidden="1">{"CAP VOL",#N/A,FALSE,"CAPITAL";"CAP VAR",#N/A,FALSE,"CAPITAL";"CAP FIJ",#N/A,FALSE,"CAPITAL";"CAP CONS",#N/A,FALSE,"CAPITAL";"CAP DATA",#N/A,FALSE,"CAPITAL"}</definedName>
    <definedName name="KLK" localSheetId="14" hidden="1">{"Real",#N/A,FALSE,"CONSOLIDADO";"Real",#N/A,FALSE,"OCCIDENTE";"Real",#N/A,FALSE,"LARA";"Real",#N/A,FALSE,"CENTRO";"Real",#N/A,FALSE,"METROPOLITANA";"Real",#N/A,FALSE,"ORIENTE";"Real",#N/A,FALSE,"Pto.libre"}</definedName>
    <definedName name="KLK" hidden="1">{"Real",#N/A,FALSE,"CONSOLIDADO";"Real",#N/A,FALSE,"OCCIDENTE";"Real",#N/A,FALSE,"LARA";"Real",#N/A,FALSE,"CENTRO";"Real",#N/A,FALSE,"METROPOLITANA";"Real",#N/A,FALSE,"ORIENTE";"Real",#N/A,FALSE,"Pto.libre"}</definedName>
    <definedName name="klka" localSheetId="14" hidden="1">{"Real",#N/A,FALSE,"CONSOLIDADO";"Real",#N/A,FALSE,"OCCIDENTE";"Real",#N/A,FALSE,"LARA";"Real",#N/A,FALSE,"CENTRO";"Real",#N/A,FALSE,"METROPOLITANA";"Real",#N/A,FALSE,"ORIENTE";"Real",#N/A,FALSE,"Pto.libre"}</definedName>
    <definedName name="klka" hidden="1">{"Real",#N/A,FALSE,"CONSOLIDADO";"Real",#N/A,FALSE,"OCCIDENTE";"Real",#N/A,FALSE,"LARA";"Real",#N/A,FALSE,"CENTRO";"Real",#N/A,FALSE,"METROPOLITANA";"Real",#N/A,FALSE,"ORIENTE";"Real",#N/A,FALSE,"Pto.libre"}</definedName>
    <definedName name="KLKL" localSheetId="14" hidden="1">{"Real",#N/A,FALSE,"CONSOLIDADO";"Real",#N/A,FALSE,"OCCIDENTE";"Real",#N/A,FALSE,"LARA";"Real",#N/A,FALSE,"CENTRO";"Real",#N/A,FALSE,"METROPOLITANA";"Real",#N/A,FALSE,"ORIENTE";"Real",#N/A,FALSE,"Pto.libre"}</definedName>
    <definedName name="KLKL" hidden="1">{"Real",#N/A,FALSE,"CONSOLIDADO";"Real",#N/A,FALSE,"OCCIDENTE";"Real",#N/A,FALSE,"LARA";"Real",#N/A,FALSE,"CENTRO";"Real",#N/A,FALSE,"METROPOLITANA";"Real",#N/A,FALSE,"ORIENTE";"Real",#N/A,FALSE,"Pto.libre"}</definedName>
    <definedName name="KLKLK" localSheetId="14" hidden="1">{"Cons_Occ_Lar",#N/A,FALSE,"márgenes";"Cen_met",#N/A,FALSE,"márgenes";"Ori_pl",#N/A,FALSE,"márgenes"}</definedName>
    <definedName name="KLKLK" hidden="1">{"Cons_Occ_Lar",#N/A,FALSE,"márgenes";"Cen_met",#N/A,FALSE,"márgenes";"Ori_pl",#N/A,FALSE,"márgenes"}</definedName>
    <definedName name="KLKLKK" localSheetId="14" hidden="1">{#N/A,#N/A,FALSE,"RGD$";#N/A,#N/A,FALSE,"BG$";#N/A,#N/A,FALSE,"FC$"}</definedName>
    <definedName name="KLKLKK" hidden="1">{#N/A,#N/A,FALSE,"RGD$";#N/A,#N/A,FALSE,"BG$";#N/A,#N/A,FALSE,"FC$"}</definedName>
    <definedName name="KLKLKL" localSheetId="14" hidden="1">{"CAP VOL",#N/A,FALSE,"CAPITAL";"CAP VAR",#N/A,FALSE,"CAPITAL";"CAP FIJ",#N/A,FALSE,"CAPITAL";"CAP CONS",#N/A,FALSE,"CAPITAL";"CAP DATA",#N/A,FALSE,"CAPITAL"}</definedName>
    <definedName name="KLKLKL" hidden="1">{"CAP VOL",#N/A,FALSE,"CAPITAL";"CAP VAR",#N/A,FALSE,"CAPITAL";"CAP FIJ",#N/A,FALSE,"CAPITAL";"CAP CONS",#N/A,FALSE,"CAPITAL";"CAP DATA",#N/A,FALSE,"CAPITAL"}</definedName>
    <definedName name="klñka" localSheetId="14" hidden="1">{#N/A,#N/A,FALSE,"RGD$";#N/A,#N/A,FALSE,"BG$";#N/A,#N/A,FALSE,"FC$"}</definedName>
    <definedName name="klñka" hidden="1">{#N/A,#N/A,FALSE,"RGD$";#N/A,#N/A,FALSE,"BG$";#N/A,#N/A,FALSE,"FC$"}</definedName>
    <definedName name="l" localSheetId="14" hidden="1">{#N/A,#N/A,FALSE,"Aging Summary";#N/A,#N/A,FALSE,"Ratio Analysis";#N/A,#N/A,FALSE,"Test 120 Day Accts";#N/A,#N/A,FALSE,"Tickmarks"}</definedName>
    <definedName name="l" hidden="1">{#N/A,#N/A,FALSE,"Aging Summary";#N/A,#N/A,FALSE,"Ratio Analysis";#N/A,#N/A,FALSE,"Test 120 Day Accts";#N/A,#N/A,FALSE,"Tickmarks"}</definedName>
    <definedName name="LDLKLKLKL" localSheetId="14" hidden="1">{"Real",#N/A,FALSE,"CONSOLIDADO";"Real",#N/A,FALSE,"OCCIDENTE";"Real",#N/A,FALSE,"LARA";"Real",#N/A,FALSE,"CENTRO";"Real",#N/A,FALSE,"METROPOLITANA";"Real",#N/A,FALSE,"ORIENTE";"Real",#N/A,FALSE,"Pto.libre"}</definedName>
    <definedName name="LDLKLKLKL" hidden="1">{"Real",#N/A,FALSE,"CONSOLIDADO";"Real",#N/A,FALSE,"OCCIDENTE";"Real",#N/A,FALSE,"LARA";"Real",#N/A,FALSE,"CENTRO";"Real",#N/A,FALSE,"METROPOLITANA";"Real",#N/A,FALSE,"ORIENTE";"Real",#N/A,FALSE,"Pto.libre"}</definedName>
    <definedName name="lhiu"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hiu"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mcount" hidden="1">2</definedName>
    <definedName name="LIOOO"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IOOO"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jk" localSheetId="14" hidden="1">{"total",#N/A,FALSE,"TOTAL $";"totalhl",#N/A,FALSE,"TOTAL $HL";"vol",#N/A,FALSE,"VOLUMEN";"xprod1",#N/A,FALSE,"X PROD";"xprod2",#N/A,FALSE,"X PROD";"finaño1",#N/A,FALSE,"FIN AÑO Meta";"finaño2",#N/A,FALSE,"FIN AÑO Meta"}</definedName>
    <definedName name="ljk" hidden="1">{"total",#N/A,FALSE,"TOTAL $";"totalhl",#N/A,FALSE,"TOTAL $HL";"vol",#N/A,FALSE,"VOLUMEN";"xprod1",#N/A,FALSE,"X PROD";"xprod2",#N/A,FALSE,"X PROD";"finaño1",#N/A,FALSE,"FIN AÑO Meta";"finaño2",#N/A,FALSE,"FIN AÑO Meta"}</definedName>
    <definedName name="lk" localSheetId="14" hidden="1">{#N/A,#N/A,FALSE,"PRECIO FULL";#N/A,#N/A,FALSE,"LARA";#N/A,#N/A,FALSE,"CARACAS";#N/A,#N/A,FALSE,"DISBRACENTRO";#N/A,#N/A,FALSE,"ANDES";#N/A,#N/A,FALSE,"MAR CARIBE";#N/A,#N/A,FALSE,"RIO BEER";#N/A,#N/A,FALSE,"DISBRAH"}</definedName>
    <definedName name="lk" hidden="1">{#N/A,#N/A,FALSE,"PRECIO FULL";#N/A,#N/A,FALSE,"LARA";#N/A,#N/A,FALSE,"CARACAS";#N/A,#N/A,FALSE,"DISBRACENTRO";#N/A,#N/A,FALSE,"ANDES";#N/A,#N/A,FALSE,"MAR CARIBE";#N/A,#N/A,FALSE,"RIO BEER";#N/A,#N/A,FALSE,"DISBRAH"}</definedName>
    <definedName name="lkjh" localSheetId="14" hidden="1">{"RESUMEN",#N/A,FALSE,"RESUMEN";"RESUMEN_MARG",#N/A,FALSE,"RESUMEN"}</definedName>
    <definedName name="lkjh" hidden="1">{"RESUMEN",#N/A,FALSE,"RESUMEN";"RESUMEN_MARG",#N/A,FALSE,"RESUMEN"}</definedName>
    <definedName name="lkjk" localSheetId="14" hidden="1">{"bs",#N/A,FALSE,"Consolidado";"cf",#N/A,FALSE,"Consolidado";"pl_hl",#N/A,FALSE,"Consolidado";"pl_us",#N/A,FALSE,"Consolidado";"Prem1",#N/A,FALSE,"Consolidado"}</definedName>
    <definedName name="lkjk" hidden="1">{"bs",#N/A,FALSE,"Consolidado";"cf",#N/A,FALSE,"Consolidado";"pl_hl",#N/A,FALSE,"Consolidado";"pl_us",#N/A,FALSE,"Consolidado";"Prem1",#N/A,FALSE,"Consolidado"}</definedName>
    <definedName name="lkjlkj" localSheetId="14" hidden="1">{#N/A,#N/A,FALSE,"RGD$";#N/A,#N/A,FALSE,"BG$";#N/A,#N/A,FALSE,"FC$"}</definedName>
    <definedName name="lkjlkj" hidden="1">{#N/A,#N/A,FALSE,"RGD$";#N/A,#N/A,FALSE,"BG$";#N/A,#N/A,FALSE,"FC$"}</definedName>
    <definedName name="LKKKL" localSheetId="14" hidden="1">{"Cons_Occ_Lar",#N/A,FALSE,"márgenes";"Cen_met",#N/A,FALSE,"márgenes";"Ori_pl",#N/A,FALSE,"márgenes"}</definedName>
    <definedName name="LKKKL" hidden="1">{"Cons_Occ_Lar",#N/A,FALSE,"márgenes";"Cen_met",#N/A,FALSE,"márgenes";"Ori_pl",#N/A,FALSE,"márgenes"}</definedName>
    <definedName name="lkl"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LKLK" localSheetId="14" hidden="1">{#N/A,#N/A,FALSE,"RGD$";#N/A,#N/A,FALSE,"BG$";#N/A,#N/A,FALSE,"FC$"}</definedName>
    <definedName name="LKLK" hidden="1">{#N/A,#N/A,FALSE,"RGD$";#N/A,#N/A,FALSE,"BG$";#N/A,#N/A,FALSE,"FC$"}</definedName>
    <definedName name="LKLKLKL" localSheetId="14" hidden="1">{"RESUMEN",#N/A,FALSE,"RESUMEN";"RESUMEN_MARG",#N/A,FALSE,"RESUMEN"}</definedName>
    <definedName name="LKLKLKL" hidden="1">{"RESUMEN",#N/A,FALSE,"RESUMEN";"RESUMEN_MARG",#N/A,FALSE,"RESUMEN"}</definedName>
    <definedName name="lklñ" localSheetId="14" hidden="1">{"RESUMEN",#N/A,FALSE,"RESUMEN";"RESUMEN_MARG",#N/A,FALSE,"RESUMEN"}</definedName>
    <definedName name="lklñ" hidden="1">{"RESUMEN",#N/A,FALSE,"RESUMEN";"RESUMEN_MARG",#N/A,FALSE,"RESUMEN"}</definedName>
    <definedName name="lkñlk" localSheetId="14" hidden="1">{#N/A,#N/A,FALSE,"RGD$";#N/A,#N/A,FALSE,"BG$";#N/A,#N/A,FALSE,"FC$"}</definedName>
    <definedName name="lkñlk" hidden="1">{#N/A,#N/A,FALSE,"RGD$";#N/A,#N/A,FALSE,"BG$";#N/A,#N/A,FALSE,"FC$"}</definedName>
    <definedName name="lks" localSheetId="14" hidden="1">{#N/A,#N/A,FALSE,"RGD$";#N/A,#N/A,FALSE,"BG$";#N/A,#N/A,FALSE,"FC$"}</definedName>
    <definedName name="lks" hidden="1">{#N/A,#N/A,FALSE,"RGD$";#N/A,#N/A,FALSE,"BG$";#N/A,#N/A,FALSE,"FC$"}</definedName>
    <definedName name="LL" localSheetId="14" hidden="1">{"RESUMEN",#N/A,FALSE,"RESUMEN";"RESUMEN_MARG",#N/A,FALSE,"RESUMEN"}</definedName>
    <definedName name="LL" hidden="1">{"RESUMEN",#N/A,FALSE,"RESUMEN";"RESUMEN_MARG",#N/A,FALSE,"RESUMEN"}</definedName>
    <definedName name="LLD" localSheetId="14" hidden="1">{"Cons_Occ_Lar",#N/A,FALSE,"márgenes";"Cen_met",#N/A,FALSE,"márgenes";"Ori_pl",#N/A,FALSE,"márgenes"}</definedName>
    <definedName name="LLD" hidden="1">{"Cons_Occ_Lar",#N/A,FALSE,"márgenes";"Cen_met",#N/A,FALSE,"márgenes";"Ori_pl",#N/A,FALSE,"márgenes"}</definedName>
    <definedName name="LLIIID" localSheetId="14" hidden="1">{#N/A,#N/A,FALSE,"PRECIO FULL";#N/A,#N/A,FALSE,"LARA";#N/A,#N/A,FALSE,"CARACAS";#N/A,#N/A,FALSE,"DISBRACENTRO";#N/A,#N/A,FALSE,"ANDES";#N/A,#N/A,FALSE,"MAR CARIBE";#N/A,#N/A,FALSE,"RIO BEER";#N/A,#N/A,FALSE,"DISBRAH"}</definedName>
    <definedName name="LLIIID" hidden="1">{#N/A,#N/A,FALSE,"PRECIO FULL";#N/A,#N/A,FALSE,"LARA";#N/A,#N/A,FALSE,"CARACAS";#N/A,#N/A,FALSE,"DISBRACENTRO";#N/A,#N/A,FALSE,"ANDES";#N/A,#N/A,FALSE,"MAR CARIBE";#N/A,#N/A,FALSE,"RIO BEER";#N/A,#N/A,FALSE,"DISBRAH"}</definedName>
    <definedName name="LLKKL" localSheetId="14" hidden="1">{"Real",#N/A,FALSE,"CONSOLIDADO";"Real",#N/A,FALSE,"OCCIDENTE";"Real",#N/A,FALSE,"LARA";"Real",#N/A,FALSE,"CENTRO";"Real",#N/A,FALSE,"METROPOLITANA";"Real",#N/A,FALSE,"ORIENTE";"Real",#N/A,FALSE,"Pto.libre"}</definedName>
    <definedName name="LLKKL" hidden="1">{"Real",#N/A,FALSE,"CONSOLIDADO";"Real",#N/A,FALSE,"OCCIDENTE";"Real",#N/A,FALSE,"LARA";"Real",#N/A,FALSE,"CENTRO";"Real",#N/A,FALSE,"METROPOLITANA";"Real",#N/A,FALSE,"ORIENTE";"Real",#N/A,FALSE,"Pto.libre"}</definedName>
    <definedName name="lll" localSheetId="14" hidden="1">{"a_assump1",#N/A,FALSE,"BPlan 96-00 - Base";"a_assump2",#N/A,FALSE,"BPlan 96-00 - Base";"a_plus",#N/A,FALSE,"BPlan 96-00 - Base";"a_bs",#N/A,FALSE,"BPlan 96-00 - Base";"a_cf",#N/A,FALSE,"BPlan 96-00 - Base";"a_irrbase",#N/A,FALSE,"BPlan 96-00 - Base";"a_notes",#N/A,FALSE,"BPlan 96-00 - Base"}</definedName>
    <definedName name="lll" hidden="1">{"a_assump1",#N/A,FALSE,"BPlan 96-00 - Base";"a_assump2",#N/A,FALSE,"BPlan 96-00 - Base";"a_plus",#N/A,FALSE,"BPlan 96-00 - Base";"a_bs",#N/A,FALSE,"BPlan 96-00 - Base";"a_cf",#N/A,FALSE,"BPlan 96-00 - Base";"a_irrbase",#N/A,FALSE,"BPlan 96-00 - Base";"a_notes",#N/A,FALSE,"BPlan 96-00 - Base"}</definedName>
    <definedName name="llll" hidden="1">#REF!</definedName>
    <definedName name="LLÑLÑL" localSheetId="14" hidden="1">{#N/A,#N/A,FALSE,"RGD$";#N/A,#N/A,FALSE,"BG$";#N/A,#N/A,FALSE,"FC$"}</definedName>
    <definedName name="LLÑLÑL" hidden="1">{#N/A,#N/A,FALSE,"RGD$";#N/A,#N/A,FALSE,"BG$";#N/A,#N/A,FALSE,"FC$"}</definedName>
    <definedName name="llsa" localSheetId="14" hidden="1">{"RESUMEN",#N/A,FALSE,"RESUMEN";"RESUMEN_MARG",#N/A,FALSE,"RESUMEN"}</definedName>
    <definedName name="llsa" hidden="1">{"RESUMEN",#N/A,FALSE,"RESUMEN";"RESUMEN_MARG",#N/A,FALSE,"RESUMEN"}</definedName>
    <definedName name="lñklñk" localSheetId="14" hidden="1">{"CAP VOL",#N/A,FALSE,"CAPITAL";"CAP VAR",#N/A,FALSE,"CAPITAL";"CAP FIJ",#N/A,FALSE,"CAPITAL";"CAP CONS",#N/A,FALSE,"CAPITAL";"CAP DATA",#N/A,FALSE,"CAPITAL"}</definedName>
    <definedName name="lñklñk" hidden="1">{"CAP VOL",#N/A,FALSE,"CAPITAL";"CAP VAR",#N/A,FALSE,"CAPITAL";"CAP FIJ",#N/A,FALSE,"CAPITAL";"CAP CONS",#N/A,FALSE,"CAPITAL";"CAP DATA",#N/A,FALSE,"CAPITAL"}</definedName>
    <definedName name="LOFD" localSheetId="14" hidden="1">{"RESUMEN",#N/A,FALSE,"RESUMEN";"RESUMEN_MARG",#N/A,FALSE,"RESUMEN"}</definedName>
    <definedName name="LOFD" hidden="1">{"RESUMEN",#N/A,FALSE,"RESUMEN";"RESUMEN_MARG",#N/A,FALSE,"RESUMEN"}</definedName>
    <definedName name="los" localSheetId="14" hidden="1">{"Real",#N/A,FALSE,"CONSOLIDADO";"Real",#N/A,FALSE,"OCCIDENTE";"Real",#N/A,FALSE,"LARA";"Real",#N/A,FALSE,"CENTRO";"Real",#N/A,FALSE,"METROPOLITANA";"Real",#N/A,FALSE,"ORIENTE";"Real",#N/A,FALSE,"Pto.libre"}</definedName>
    <definedName name="los" hidden="1">{"Real",#N/A,FALSE,"CONSOLIDADO";"Real",#N/A,FALSE,"OCCIDENTE";"Real",#N/A,FALSE,"LARA";"Real",#N/A,FALSE,"CENTRO";"Real",#N/A,FALSE,"METROPOLITANA";"Real",#N/A,FALSE,"ORIENTE";"Real",#N/A,FALSE,"Pto.libre"}</definedName>
    <definedName name="lou" localSheetId="14" hidden="1">{#N/A,#N/A,FALSE,"RGD$";#N/A,#N/A,FALSE,"BG$";#N/A,#N/A,FALSE,"FC$"}</definedName>
    <definedName name="lou" hidden="1">{#N/A,#N/A,FALSE,"RGD$";#N/A,#N/A,FALSE,"BG$";#N/A,#N/A,FALSE,"FC$"}</definedName>
    <definedName name="MANUEL" localSheetId="14" hidden="1">{"YrMinus1TM1",#N/A,FALSE,"Line Data";"YrMinus1TM2",#N/A,FALSE,"Line Data";"YrMinus1TM3",#N/A,FALSE,"Line Data"}</definedName>
    <definedName name="MANUEL" hidden="1">{"YrMinus1TM1",#N/A,FALSE,"Line Data";"YrMinus1TM2",#N/A,FALSE,"Line Data";"YrMinus1TM3",#N/A,FALSE,"Line Data"}</definedName>
    <definedName name="MANUEL1" localSheetId="14" hidden="1">{"Yr0TM1",#N/A,FALSE,"Line Data";"Yr0TM2",#N/A,FALSE,"Line Data";"Yr0TM3",#N/A,FALSE,"Line Data"}</definedName>
    <definedName name="MANUEL1" hidden="1">{"Yr0TM1",#N/A,FALSE,"Line Data";"Yr0TM2",#N/A,FALSE,"Line Data";"Yr0TM3",#N/A,FALSE,"Line Data"}</definedName>
    <definedName name="marcia" localSheetId="14" hidden="1">{#N/A,#N/A,FALSE,"FASE1";#N/A,#N/A,FALSE,"FASE2";#N/A,#N/A,FALSE,"FASE3";#N/A,#N/A,FALSE,"FASE4";#N/A,#N/A,FALSE,"FASE5";#N/A,#N/A,FALSE,"FASE6";#N/A,#N/A,FALSE,"FASE7";#N/A,#N/A,FALSE,"FASE8";#N/A,#N/A,FALSE,"FASE9";#N/A,#N/A,FALSE,"FASE10";#N/A,#N/A,FALSE,"EQUIPAMENTOS";#N/A,#N/A,FALSE,"MOI";#N/A,#N/A,FALSE,"CANTEIRO";#N/A,#N/A,FALSE,"TERCEIROS";#N/A,#N/A,FALSE,"DCO";#N/A,#N/A,FALSE,"RESUMO"}</definedName>
    <definedName name="marcia" hidden="1">{#N/A,#N/A,FALSE,"FASE1";#N/A,#N/A,FALSE,"FASE2";#N/A,#N/A,FALSE,"FASE3";#N/A,#N/A,FALSE,"FASE4";#N/A,#N/A,FALSE,"FASE5";#N/A,#N/A,FALSE,"FASE6";#N/A,#N/A,FALSE,"FASE7";#N/A,#N/A,FALSE,"FASE8";#N/A,#N/A,FALSE,"FASE9";#N/A,#N/A,FALSE,"FASE10";#N/A,#N/A,FALSE,"EQUIPAMENTOS";#N/A,#N/A,FALSE,"MOI";#N/A,#N/A,FALSE,"CANTEIRO";#N/A,#N/A,FALSE,"TERCEIROS";#N/A,#N/A,FALSE,"DCO";#N/A,#N/A,FALSE,"RESUMO"}</definedName>
    <definedName name="mbmbm" localSheetId="14" hidden="1">{#N/A,#N/A,FALSE,"Resumen";#N/A,#N/A,FALSE,"Full";#N/A,"Carabeer",FALSE,"Dscto.";#N/A,"Disbracentro",FALSE,"Dscto.";#N/A,"Andes",FALSE,"Dscto.";#N/A,"Mar Caribe",FALSE,"Dscto.";#N/A,"Río Beer",FALSE,"Dscto.";#N/A,#N/A,FALSE,"P.L.Full";#N/A,#N/A,FALSE,"P.L.Desc."}</definedName>
    <definedName name="mbmbm" hidden="1">{#N/A,#N/A,FALSE,"Resumen";#N/A,#N/A,FALSE,"Full";#N/A,"Carabeer",FALSE,"Dscto.";#N/A,"Disbracentro",FALSE,"Dscto.";#N/A,"Andes",FALSE,"Dscto.";#N/A,"Mar Caribe",FALSE,"Dscto.";#N/A,"Río Beer",FALSE,"Dscto.";#N/A,#N/A,FALSE,"P.L.Full";#N/A,#N/A,FALSE,"P.L.Desc."}</definedName>
    <definedName name="MCDOAB" localSheetId="14" hidden="1">{"Yr0TM1",#N/A,FALSE,"Line Data";"Yr0TM2",#N/A,FALSE,"Line Data";"Yr0TM3",#N/A,FALSE,"Line Data"}</definedName>
    <definedName name="MCDOAB" hidden="1">{"Yr0TM1",#N/A,FALSE,"Line Data";"Yr0TM2",#N/A,FALSE,"Line Data";"Yr0TM3",#N/A,FALSE,"Line Data"}</definedName>
    <definedName name="mcoab2" localSheetId="14" hidden="1">{"Yr0TM1",#N/A,FALSE,"Line Data";"Yr0TM2",#N/A,FALSE,"Line Data";"Yr0TM3",#N/A,FALSE,"Line Data"}</definedName>
    <definedName name="mcoab2" hidden="1">{"Yr0TM1",#N/A,FALSE,"Line Data";"Yr0TM2",#N/A,FALSE,"Line Data";"Yr0TM3",#N/A,FALSE,"Line Data"}</definedName>
    <definedName name="Memoria" localSheetId="14" hidden="1">{"CAP VOL",#N/A,FALSE,"CAPITAL";"CAP VAR",#N/A,FALSE,"CAPITAL";"CAP FIJ",#N/A,FALSE,"CAPITAL";"CAP CONS",#N/A,FALSE,"CAPITAL";"CAP DATA",#N/A,FALSE,"CAPITAL"}</definedName>
    <definedName name="Memoria" hidden="1">{"CAP VOL",#N/A,FALSE,"CAPITAL";"CAP VAR",#N/A,FALSE,"CAPITAL";"CAP FIJ",#N/A,FALSE,"CAPITAL";"CAP CONS",#N/A,FALSE,"CAPITAL";"CAP DATA",#N/A,FALSE,"CAPITAL"}</definedName>
    <definedName name="mmmm" localSheetId="14" hidden="1">{#N/A,#N/A,FALSE,"Cronograma";#N/A,#N/A,FALSE,"Cronogr. 2"}</definedName>
    <definedName name="mmmm" hidden="1">{#N/A,#N/A,FALSE,"Cronograma";#N/A,#N/A,FALSE,"Cronogr. 2"}</definedName>
    <definedName name="mnak9" localSheetId="14" hidden="1">{#N/A,#N/A,FALSE,"RGD$";#N/A,#N/A,FALSE,"BG$";#N/A,#N/A,FALSE,"FC$"}</definedName>
    <definedName name="mnak9" hidden="1">{#N/A,#N/A,FALSE,"RGD$";#N/A,#N/A,FALSE,"BG$";#N/A,#N/A,FALSE,"FC$"}</definedName>
    <definedName name="MNMNM" localSheetId="14" hidden="1">{#N/A,#N/A,FALSE,"PRECIO FULL";#N/A,#N/A,FALSE,"LARA";#N/A,#N/A,FALSE,"CARACAS";#N/A,#N/A,FALSE,"DISBRACENTRO";#N/A,#N/A,FALSE,"ANDES";#N/A,#N/A,FALSE,"MAR CARIBE";#N/A,#N/A,FALSE,"RIO BEER";#N/A,#N/A,FALSE,"DISBRAH"}</definedName>
    <definedName name="MNMNM" hidden="1">{#N/A,#N/A,FALSE,"PRECIO FULL";#N/A,#N/A,FALSE,"LARA";#N/A,#N/A,FALSE,"CARACAS";#N/A,#N/A,FALSE,"DISBRACENTRO";#N/A,#N/A,FALSE,"ANDES";#N/A,#N/A,FALSE,"MAR CARIBE";#N/A,#N/A,FALSE,"RIO BEER";#N/A,#N/A,FALSE,"DISBRAH"}</definedName>
    <definedName name="mñlk" localSheetId="14" hidden="1">{"CAP VOL",#N/A,FALSE,"CAPITAL";"CAP VAR",#N/A,FALSE,"CAPITAL";"CAP FIJ",#N/A,FALSE,"CAPITAL";"CAP CONS",#N/A,FALSE,"CAPITAL";"CAP DATA",#N/A,FALSE,"CAPITAL"}</definedName>
    <definedName name="mñlk" hidden="1">{"CAP VOL",#N/A,FALSE,"CAPITAL";"CAP VAR",#N/A,FALSE,"CAPITAL";"CAP FIJ",#N/A,FALSE,"CAPITAL";"CAP CONS",#N/A,FALSE,"CAPITAL";"CAP DATA",#N/A,FALSE,"CAPITAL"}</definedName>
    <definedName name="MONTE" localSheetId="14" hidden="1">{"Yr0TM1",#N/A,FALSE,"Line Data";"Yr0TM2",#N/A,FALSE,"Line Data";"Yr0TM3",#N/A,FALSE,"Line Data"}</definedName>
    <definedName name="MONTE" hidden="1">{"Yr0TM1",#N/A,FALSE,"Line Data";"Yr0TM2",#N/A,FALSE,"Line Data";"Yr0TM3",#N/A,FALSE,"Line Data"}</definedName>
    <definedName name="naoa" localSheetId="14" hidden="1">{"RESUMEN",#N/A,FALSE,"RESUMEN";"RESUMEN_MARG",#N/A,FALSE,"RESUMEN"}</definedName>
    <definedName name="naoa" hidden="1">{"RESUMEN",#N/A,FALSE,"RESUMEN";"RESUMEN_MARG",#N/A,FALSE,"RESUMEN"}</definedName>
    <definedName name="napa"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apa2" localSheetId="14" hidden="1">{"CAP VOL",#N/A,FALSE,"CAPITAL";"CAP VAR",#N/A,FALSE,"CAPITAL";"CAP FIJ",#N/A,FALSE,"CAPITAL";"CAP CONS",#N/A,FALSE,"CAPITAL";"CAP DATA",#N/A,FALSE,"CAPITAL"}</definedName>
    <definedName name="napa2" hidden="1">{"CAP VOL",#N/A,FALSE,"CAPITAL";"CAP VAR",#N/A,FALSE,"CAPITAL";"CAP FIJ",#N/A,FALSE,"CAPITAL";"CAP CONS",#N/A,FALSE,"CAPITAL";"CAP DATA",#N/A,FALSE,"CAPITAL"}</definedName>
    <definedName name="napa3" localSheetId="14" hidden="1">{"Cons_Occ_Lar",#N/A,FALSE,"márgenes";"Cen_met",#N/A,FALSE,"márgenes";"Ori_pl",#N/A,FALSE,"márgenes"}</definedName>
    <definedName name="napa3" hidden="1">{"Cons_Occ_Lar",#N/A,FALSE,"márgenes";"Cen_met",#N/A,FALSE,"márgenes";"Ori_pl",#N/A,FALSE,"márgenes"}</definedName>
    <definedName name="napa4" localSheetId="14" hidden="1">{"CAP VOL",#N/A,FALSE,"CAPITAL";"CAP VAR",#N/A,FALSE,"CAPITAL";"CAP FIJ",#N/A,FALSE,"CAPITAL";"CAP CONS",#N/A,FALSE,"CAPITAL";"CAP DATA",#N/A,FALSE,"CAPITAL"}</definedName>
    <definedName name="napa4" hidden="1">{"CAP VOL",#N/A,FALSE,"CAPITAL";"CAP VAR",#N/A,FALSE,"CAPITAL";"CAP FIJ",#N/A,FALSE,"CAPITAL";"CAP CONS",#N/A,FALSE,"CAPITAL";"CAP DATA",#N/A,FALSE,"CAPITAL"}</definedName>
    <definedName name="napa5" localSheetId="14" hidden="1">{"Cons_Occ_Lar",#N/A,FALSE,"márgenes";"Cen_met",#N/A,FALSE,"márgenes";"Ori_pl",#N/A,FALSE,"márgenes"}</definedName>
    <definedName name="napa5" hidden="1">{"Cons_Occ_Lar",#N/A,FALSE,"márgenes";"Cen_met",#N/A,FALSE,"márgenes";"Ori_pl",#N/A,FALSE,"márgenes"}</definedName>
    <definedName name="napa6" localSheetId="14" hidden="1">{"Real",#N/A,FALSE,"CONSOLIDADO";"Real",#N/A,FALSE,"OCCIDENTE";"Real",#N/A,FALSE,"LARA";"Real",#N/A,FALSE,"CENTRO";"Real",#N/A,FALSE,"METROPOLITANA";"Real",#N/A,FALSE,"ORIENTE";"Real",#N/A,FALSE,"Pto.libre"}</definedName>
    <definedName name="napa6" hidden="1">{"Real",#N/A,FALSE,"CONSOLIDADO";"Real",#N/A,FALSE,"OCCIDENTE";"Real",#N/A,FALSE,"LARA";"Real",#N/A,FALSE,"CENTRO";"Real",#N/A,FALSE,"METROPOLITANA";"Real",#N/A,FALSE,"ORIENTE";"Real",#N/A,FALSE,"Pto.libre"}</definedName>
    <definedName name="napa7" localSheetId="14" hidden="1">{#N/A,#N/A,FALSE,"PRECIO FULL";#N/A,#N/A,FALSE,"LARA";#N/A,#N/A,FALSE,"CARACAS";#N/A,#N/A,FALSE,"DISBRACENTRO";#N/A,#N/A,FALSE,"ANDES";#N/A,#N/A,FALSE,"MAR CARIBE";#N/A,#N/A,FALSE,"RIO BEER";#N/A,#N/A,FALSE,"DISBRAH"}</definedName>
    <definedName name="napa7" hidden="1">{#N/A,#N/A,FALSE,"PRECIO FULL";#N/A,#N/A,FALSE,"LARA";#N/A,#N/A,FALSE,"CARACAS";#N/A,#N/A,FALSE,"DISBRACENTRO";#N/A,#N/A,FALSE,"ANDES";#N/A,#N/A,FALSE,"MAR CARIBE";#N/A,#N/A,FALSE,"RIO BEER";#N/A,#N/A,FALSE,"DISBRAH"}</definedName>
    <definedName name="napa9" localSheetId="14" hidden="1">{"RESUMEN",#N/A,FALSE,"RESUMEN";"RESUMEN_MARG",#N/A,FALSE,"RESUMEN"}</definedName>
    <definedName name="napa9" hidden="1">{"RESUMEN",#N/A,FALSE,"RESUMEN";"RESUMEN_MARG",#N/A,FALSE,"RESUMEN"}</definedName>
    <definedName name="nbbnt" localSheetId="14" hidden="1">{#N/A,#N/A,FALSE,"Hoja1";#N/A,#N/A,FALSE,"Hoja2"}</definedName>
    <definedName name="nbbnt" hidden="1">{#N/A,#N/A,FALSE,"Hoja1";#N/A,#N/A,FALSE,"Hoja2"}</definedName>
    <definedName name="nbnbhgfg" localSheetId="14" hidden="1">{#N/A,#N/A,FALSE,"Hoja1";#N/A,#N/A,FALSE,"Hoja2"}</definedName>
    <definedName name="nbnbhgfg" hidden="1">{#N/A,#N/A,FALSE,"Hoja1";#N/A,#N/A,FALSE,"Hoja2"}</definedName>
    <definedName name="nbngfhgh" localSheetId="14" hidden="1">{#N/A,#N/A,FALSE,"Resumen";#N/A,#N/A,FALSE,"Full";#N/A,"Carabeer",FALSE,"Dscto.";#N/A,"Disbracentro",FALSE,"Dscto.";#N/A,"Andes",FALSE,"Dscto.";#N/A,"Mar Caribe",FALSE,"Dscto.";#N/A,"Río Beer",FALSE,"Dscto.";#N/A,#N/A,FALSE,"P.L.Full";#N/A,#N/A,FALSE,"P.L.Desc."}</definedName>
    <definedName name="nbngfhgh" hidden="1">{#N/A,#N/A,FALSE,"Resumen";#N/A,#N/A,FALSE,"Full";#N/A,"Carabeer",FALSE,"Dscto.";#N/A,"Disbracentro",FALSE,"Dscto.";#N/A,"Andes",FALSE,"Dscto.";#N/A,"Mar Caribe",FALSE,"Dscto.";#N/A,"Río Beer",FALSE,"Dscto.";#N/A,#N/A,FALSE,"P.L.Full";#N/A,#N/A,FALSE,"P.L.Desc."}</definedName>
    <definedName name="nemas"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ema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nnn" localSheetId="14" hidden="1">{"YearMinus1",#N/A,TRUE,"Monthly Forecast";"Year0",#N/A,TRUE,"Monthly Forecast";"Year1",#N/A,TRUE,"Monthly Forecast";"Year2",#N/A,TRUE,"Monthly Forecast";"Year3",#N/A,TRUE,"Monthly Forecast"}</definedName>
    <definedName name="nnn" hidden="1">{"YearMinus1",#N/A,TRUE,"Monthly Forecast";"Year0",#N/A,TRUE,"Monthly Forecast";"Year1",#N/A,TRUE,"Monthly Forecast";"Year2",#N/A,TRUE,"Monthly Forecast";"Year3",#N/A,TRUE,"Monthly Forecast"}</definedName>
    <definedName name="nnono" localSheetId="14" hidden="1">{#N/A,#N/A,FALSE,"Hoja1";#N/A,#N/A,FALSE,"Hoja2"}</definedName>
    <definedName name="nnono" hidden="1">{#N/A,#N/A,FALSE,"Hoja1";#N/A,#N/A,FALSE,"Hoja2"}</definedName>
    <definedName name="Novo" localSheetId="14" hidden="1">{"a_assump1",#N/A,FALSE,"BPlan 96-00 - Base";"a_assump2",#N/A,FALSE,"BPlan 96-00 - Base";"a_plus",#N/A,FALSE,"BPlan 96-00 - Base";"a_bs",#N/A,FALSE,"BPlan 96-00 - Base";"a_cf",#N/A,FALSE,"BPlan 96-00 - Base";"a_irrbase",#N/A,FALSE,"BPlan 96-00 - Base";"a_notes",#N/A,FALSE,"BPlan 96-00 - Base"}</definedName>
    <definedName name="Novo" hidden="1">{"a_assump1",#N/A,FALSE,"BPlan 96-00 - Base";"a_assump2",#N/A,FALSE,"BPlan 96-00 - Base";"a_plus",#N/A,FALSE,"BPlan 96-00 - Base";"a_bs",#N/A,FALSE,"BPlan 96-00 - Base";"a_cf",#N/A,FALSE,"BPlan 96-00 - Base";"a_irrbase",#N/A,FALSE,"BPlan 96-00 - Base";"a_notes",#N/A,FALSE,"BPlan 96-00 - Base"}</definedName>
    <definedName name="nvnbvvb" localSheetId="14" hidden="1">{#N/A,#N/A,FALSE,"FIN AÑO"}</definedName>
    <definedName name="nvnbvvb" hidden="1">{#N/A,#N/A,FALSE,"FIN AÑO"}</definedName>
    <definedName name="nvnv" localSheetId="14" hidden="1">{"miles",#N/A,FALSE,"LUCROS E PERDAS (US$ 000)";"hl",#N/A,FALSE,"LUCROS E PERDAS (US$ 000)"}</definedName>
    <definedName name="nvnv" hidden="1">{"miles",#N/A,FALSE,"LUCROS E PERDAS (US$ 000)";"hl",#N/A,FALSE,"LUCROS E PERDAS (US$ 000)"}</definedName>
    <definedName name="NZNLJKLJ" localSheetId="14" hidden="1">{#N/A,#N/A,FALSE,"RGD$";#N/A,#N/A,FALSE,"BG$";#N/A,#N/A,FALSE,"FC$"}</definedName>
    <definedName name="NZNLJKLJ" hidden="1">{#N/A,#N/A,FALSE,"RGD$";#N/A,#N/A,FALSE,"BG$";#N/A,#N/A,FALSE,"FC$"}</definedName>
    <definedName name="ñ" localSheetId="14" hidden="1">{"RESUMEN",#N/A,FALSE,"RESUMEN";"RESUMEN_MARG",#N/A,FALSE,"RESUMEN"}</definedName>
    <definedName name="ñ" hidden="1">{"RESUMEN",#N/A,FALSE,"RESUMEN";"RESUMEN_MARG",#N/A,FALSE,"RESUMEN"}</definedName>
    <definedName name="ÑKSKLKL" localSheetId="14" hidden="1">{"CAP VOL",#N/A,FALSE,"CAPITAL";"CAP VAR",#N/A,FALSE,"CAPITAL";"CAP FIJ",#N/A,FALSE,"CAPITAL";"CAP CONS",#N/A,FALSE,"CAPITAL";"CAP DATA",#N/A,FALSE,"CAPITAL"}</definedName>
    <definedName name="ÑKSKLKL" hidden="1">{"CAP VOL",#N/A,FALSE,"CAPITAL";"CAP VAR",#N/A,FALSE,"CAPITAL";"CAP FIJ",#N/A,FALSE,"CAPITAL";"CAP CONS",#N/A,FALSE,"CAPITAL";"CAP DATA",#N/A,FALSE,"CAPITAL"}</definedName>
    <definedName name="ÑL" localSheetId="14" hidden="1">{"Real",#N/A,FALSE,"CONSOLIDADO";"Real",#N/A,FALSE,"OCCIDENTE";"Real",#N/A,FALSE,"LARA";"Real",#N/A,FALSE,"CENTRO";"Real",#N/A,FALSE,"METROPOLITANA";"Real",#N/A,FALSE,"ORIENTE";"Real",#N/A,FALSE,"Pto.libre"}</definedName>
    <definedName name="ÑL" hidden="1">{"Real",#N/A,FALSE,"CONSOLIDADO";"Real",#N/A,FALSE,"OCCIDENTE";"Real",#N/A,FALSE,"LARA";"Real",#N/A,FALSE,"CENTRO";"Real",#N/A,FALSE,"METROPOLITANA";"Real",#N/A,FALSE,"ORIENTE";"Real",#N/A,FALSE,"Pto.libre"}</definedName>
    <definedName name="ññ" localSheetId="14" hidden="1">{"Cons_Occ_Lar",#N/A,FALSE,"márgenes";"Cen_met",#N/A,FALSE,"márgenes";"Ori_pl",#N/A,FALSE,"márgenes"}</definedName>
    <definedName name="ññ" hidden="1">{"Cons_Occ_Lar",#N/A,FALSE,"márgenes";"Cen_met",#N/A,FALSE,"márgenes";"Ori_pl",#N/A,FALSE,"márgenes"}</definedName>
    <definedName name="ñññ" localSheetId="14" hidden="1">{"RESUMEN",#N/A,FALSE,"RESUMEN";"RESUMEN_MARG",#N/A,FALSE,"RESUMEN"}</definedName>
    <definedName name="ñññ" hidden="1">{"RESUMEN",#N/A,FALSE,"RESUMEN";"RESUMEN_MARG",#N/A,FALSE,"RESUMEN"}</definedName>
    <definedName name="ññññ" localSheetId="14" hidden="1">{"CAP VOL",#N/A,FALSE,"CAPITAL";"CAP VAR",#N/A,FALSE,"CAPITAL";"CAP FIJ",#N/A,FALSE,"CAPITAL";"CAP CONS",#N/A,FALSE,"CAPITAL";"CAP DATA",#N/A,FALSE,"CAPITAL"}</definedName>
    <definedName name="ññññ" hidden="1">{"CAP VOL",#N/A,FALSE,"CAPITAL";"CAP VAR",#N/A,FALSE,"CAPITAL";"CAP FIJ",#N/A,FALSE,"CAPITAL";"CAP CONS",#N/A,FALSE,"CAPITAL";"CAP DATA",#N/A,FALSE,"CAPITAL"}</definedName>
    <definedName name="ñññññ" localSheetId="14" hidden="1">{#N/A,#N/A,FALSE,"PRECIO FULL";#N/A,#N/A,FALSE,"LARA";#N/A,#N/A,FALSE,"CARACAS";#N/A,#N/A,FALSE,"DISBRACENTRO";#N/A,#N/A,FALSE,"ANDES";#N/A,#N/A,FALSE,"MAR CARIBE";#N/A,#N/A,FALSE,"RIO BEER";#N/A,#N/A,FALSE,"DISBRAH"}</definedName>
    <definedName name="ñññññ" hidden="1">{#N/A,#N/A,FALSE,"PRECIO FULL";#N/A,#N/A,FALSE,"LARA";#N/A,#N/A,FALSE,"CARACAS";#N/A,#N/A,FALSE,"DISBRACENTRO";#N/A,#N/A,FALSE,"ANDES";#N/A,#N/A,FALSE,"MAR CARIBE";#N/A,#N/A,FALSE,"RIO BEER";#N/A,#N/A,FALSE,"DISBRAH"}</definedName>
    <definedName name="ñpa" localSheetId="14" hidden="1">{#N/A,#N/A,FALSE,"RGD$";#N/A,#N/A,FALSE,"BG$";#N/A,#N/A,FALSE,"FC$"}</definedName>
    <definedName name="ñpa" hidden="1">{#N/A,#N/A,FALSE,"RGD$";#N/A,#N/A,FALSE,"BG$";#N/A,#N/A,FALSE,"FC$"}</definedName>
    <definedName name="Octubre" localSheetId="14" hidden="1">{"Total",#N/A,FALSE,"PET";"pet graphs 1 &amp; 2",#N/A,FALSE,"PET";"pet graphs 3 &amp; 4",#N/A,FALSE,"PET"}</definedName>
    <definedName name="Octubre" hidden="1">{"Total",#N/A,FALSE,"PET";"pet graphs 1 &amp; 2",#N/A,FALSE,"PET";"pet graphs 3 &amp; 4",#N/A,FALSE,"PET"}</definedName>
    <definedName name="oj" localSheetId="14" hidden="1">{#N/A,#N/A,FALSE,"RGD$";#N/A,#N/A,FALSE,"BG$";#N/A,#N/A,FALSE,"FC$"}</definedName>
    <definedName name="oj" hidden="1">{#N/A,#N/A,FALSE,"RGD$";#N/A,#N/A,FALSE,"BG$";#N/A,#N/A,FALSE,"FC$"}</definedName>
    <definedName name="OK" hidden="1">#REF!</definedName>
    <definedName name="OMPO" localSheetId="14" hidden="1">{#N/A,#N/A,FALSE,"Hoja1";#N/A,#N/A,FALSE,"Hoja2"}</definedName>
    <definedName name="OMPO" hidden="1">{#N/A,#N/A,FALSE,"Hoja1";#N/A,#N/A,FALSE,"Hoja2"}</definedName>
    <definedName name="on" localSheetId="14" hidden="1">{"a_assump1",#N/A,FALSE,"BPlan 96-00 - Base";"a_assump2",#N/A,FALSE,"BPlan 96-00 - Base";"a_plus",#N/A,FALSE,"BPlan 96-00 - Base";"a_bs",#N/A,FALSE,"BPlan 96-00 - Base";"a_cf",#N/A,FALSE,"BPlan 96-00 - Base";"a_irrbase",#N/A,FALSE,"BPlan 96-00 - Base";"a_notes",#N/A,FALSE,"BPlan 96-00 - Base"}</definedName>
    <definedName name="on" hidden="1">{"a_assump1",#N/A,FALSE,"BPlan 96-00 - Base";"a_assump2",#N/A,FALSE,"BPlan 96-00 - Base";"a_plus",#N/A,FALSE,"BPlan 96-00 - Base";"a_bs",#N/A,FALSE,"BPlan 96-00 - Base";"a_cf",#N/A,FALSE,"BPlan 96-00 - Base";"a_irrbase",#N/A,FALSE,"BPlan 96-00 - Base";"a_notes",#N/A,FALSE,"BPlan 96-00 - Base"}</definedName>
    <definedName name="ouiyu" localSheetId="14" hidden="1">{"RESUMEN",#N/A,FALSE,"RESUMEN";"RESUMEN_MARG",#N/A,FALSE,"RESUMEN"}</definedName>
    <definedName name="ouiyu" hidden="1">{"RESUMEN",#N/A,FALSE,"RESUMEN";"RESUMEN_MARG",#N/A,FALSE,"RESUMEN"}</definedName>
    <definedName name="p" localSheetId="14" hidden="1">{"CAP VOL",#N/A,FALSE,"CAPITAL";"CAP VAR",#N/A,FALSE,"CAPITAL";"CAP FIJ",#N/A,FALSE,"CAPITAL";"CAP CONS",#N/A,FALSE,"CAPITAL";"CAP DATA",#N/A,FALSE,"CAPITAL"}</definedName>
    <definedName name="p" hidden="1">{"CAP VOL",#N/A,FALSE,"CAPITAL";"CAP VAR",#N/A,FALSE,"CAPITAL";"CAP FIJ",#N/A,FALSE,"CAPITAL";"CAP CONS",#N/A,FALSE,"CAPITAL";"CAP DATA",#N/A,FALSE,"CAPITAL"}</definedName>
    <definedName name="P.INTERNACIONAL">Macros!$S$12</definedName>
    <definedName name="playboy" localSheetId="14" hidden="1">{#N/A,#N/A,FALSE,"RGD$";#N/A,#N/A,FALSE,"BG$";#N/A,#N/A,FALSE,"FC$"}</definedName>
    <definedName name="playboy" hidden="1">{#N/A,#N/A,FALSE,"RGD$";#N/A,#N/A,FALSE,"BG$";#N/A,#N/A,FALSE,"FC$"}</definedName>
    <definedName name="poi" localSheetId="14" hidden="1">{"Cons_Occ_Lar",#N/A,FALSE,"márgenes";"Cen_met",#N/A,FALSE,"márgenes";"Ori_pl",#N/A,FALSE,"márgenes"}</definedName>
    <definedName name="poi" hidden="1">{"Cons_Occ_Lar",#N/A,FALSE,"márgenes";"Cen_met",#N/A,FALSE,"márgenes";"Ori_pl",#N/A,FALSE,"márgenes"}</definedName>
    <definedName name="popp" localSheetId="14"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popp"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Porlamar" localSheetId="14" hidden="1">{"CAP VOL",#N/A,FALSE,"CAPITAL";"CAP VAR",#N/A,FALSE,"CAPITAL";"CAP FIJ",#N/A,FALSE,"CAPITAL";"CAP CONS",#N/A,FALSE,"CAPITAL";"CAP DATA",#N/A,FALSE,"CAPITAL"}</definedName>
    <definedName name="Porlamar" hidden="1">{"CAP VOL",#N/A,FALSE,"CAPITAL";"CAP VAR",#N/A,FALSE,"CAPITAL";"CAP FIJ",#N/A,FALSE,"CAPITAL";"CAP CONS",#N/A,FALSE,"CAPITAL";"CAP DATA",#N/A,FALSE,"CAPITAL"}</definedName>
    <definedName name="PRB" localSheetId="14" hidden="1">{"Yr0TM1",#N/A,FALSE,"Line Data";"Yr0TM2",#N/A,FALSE,"Line Data";"Yr0TM3",#N/A,FALSE,"Line Data"}</definedName>
    <definedName name="PRB" hidden="1">{"Yr0TM1",#N/A,FALSE,"Line Data";"Yr0TM2",#N/A,FALSE,"Line Data";"Yr0TM3",#N/A,FALSE,"Line Data"}</definedName>
    <definedName name="premi" localSheetId="14" hidden="1">{"prem1",#N/A,FALSE,"Consolidado";"pl_us",#N/A,FALSE,"Consolidado";"pl_hl",#N/A,FALSE,"Consolidado";"bs",#N/A,FALSE,"Consolidado";"cf",#N/A,FALSE,"Consolidado"}</definedName>
    <definedName name="premi" hidden="1">{"prem1",#N/A,FALSE,"Consolidado";"pl_us",#N/A,FALSE,"Consolidado";"pl_hl",#N/A,FALSE,"Consolidado";"bs",#N/A,FALSE,"Consolidado";"cf",#N/A,FALSE,"Consolidado"}</definedName>
    <definedName name="premisas" localSheetId="14" hidden="1">{"prem1",#N/A,FALSE,"Consolidado";"pl_us",#N/A,FALSE,"Consolidado";"pl_hl",#N/A,FALSE,"Consolidado";"bs",#N/A,FALSE,"Consolidado";"cf",#N/A,FALSE,"Consolidado"}</definedName>
    <definedName name="premisas" hidden="1">{"prem1",#N/A,FALSE,"Consolidado";"pl_us",#N/A,FALSE,"Consolidado";"pl_hl",#N/A,FALSE,"Consolidado";"bs",#N/A,FALSE,"Consolidado";"cf",#N/A,FALSE,"Consolidado"}</definedName>
    <definedName name="Presidencia" localSheetId="14" hidden="1">{"Demand Forecast",#N/A,TRUE,"Demand Forecast";"Seasonality",#N/A,TRUE,"Seasonality";"GraphPetTotal",#N/A,TRUE,"PET";"GraphPet1",#N/A,TRUE,"PET";"GraphPet2",#N/A,TRUE,"PET";"GraphGlassTotal",#N/A,TRUE,"GLASS";"GraphGlass1",#N/A,TRUE,"GLASS";"Allocation &amp; Efficiency",#N/A,TRUE,"Line Data"}</definedName>
    <definedName name="Presidencia" hidden="1">{"Demand Forecast",#N/A,TRUE,"Demand Forecast";"Seasonality",#N/A,TRUE,"Seasonality";"GraphPetTotal",#N/A,TRUE,"PET";"GraphPet1",#N/A,TRUE,"PET";"GraphPet2",#N/A,TRUE,"PET";"GraphGlassTotal",#N/A,TRUE,"GLASS";"GraphGlass1",#N/A,TRUE,"GLASS";"Allocation &amp; Efficiency",#N/A,TRUE,"Line Data"}</definedName>
    <definedName name="PrivateRate" localSheetId="9">#REF!</definedName>
    <definedName name="PrivateRate" localSheetId="6">#REF!</definedName>
    <definedName name="PrivateRate" localSheetId="7">#REF!</definedName>
    <definedName name="PrivateRate">#REF!</definedName>
    <definedName name="PTTO" localSheetId="14" hidden="1">{"Yr0TM1",#N/A,FALSE,"Line Data";"Yr0TM2",#N/A,FALSE,"Line Data";"Yr0TM3",#N/A,FALSE,"Line Data"}</definedName>
    <definedName name="PTTO" hidden="1">{"Yr0TM1",#N/A,FALSE,"Line Data";"Yr0TM2",#N/A,FALSE,"Line Data";"Yr0TM3",#N/A,FALSE,"Line Data"}</definedName>
    <definedName name="PTTO3" localSheetId="14" hidden="1">{"All Line Data",#N/A,FALSE,"Line Data"}</definedName>
    <definedName name="PTTO3" hidden="1">{"All Line Data",#N/A,FALSE,"Line Data"}</definedName>
    <definedName name="qawqw" localSheetId="14" hidden="1">{"CAP VOL",#N/A,FALSE,"CAPITAL";"CAP VAR",#N/A,FALSE,"CAPITAL";"CAP FIJ",#N/A,FALSE,"CAPITAL";"CAP CONS",#N/A,FALSE,"CAPITAL";"CAP DATA",#N/A,FALSE,"CAPITAL"}</definedName>
    <definedName name="qawqw" hidden="1">{"CAP VOL",#N/A,FALSE,"CAPITAL";"CAP VAR",#N/A,FALSE,"CAPITAL";"CAP FIJ",#N/A,FALSE,"CAPITAL";"CAP CONS",#N/A,FALSE,"CAPITAL";"CAP DATA",#N/A,FALSE,"CAPITAL"}</definedName>
    <definedName name="qqq" localSheetId="14" hidden="1">{#N/A,#N/A,FALSE,"FIN AÑO"}</definedName>
    <definedName name="qqq" hidden="1">{#N/A,#N/A,FALSE,"FIN AÑO"}</definedName>
    <definedName name="qwe" localSheetId="14" hidden="1">{#N/A,#N/A,FALSE,"Cronograma";#N/A,#N/A,FALSE,"Cronogr. 2"}</definedName>
    <definedName name="qwe" hidden="1">{#N/A,#N/A,FALSE,"Cronograma";#N/A,#N/A,FALSE,"Cronogr. 2"}</definedName>
    <definedName name="reer" localSheetId="14" hidden="1">{"Cons_Occ_Lar",#N/A,FALSE,"márgenes";"Cen_met",#N/A,FALSE,"márgenes";"Ori_pl",#N/A,FALSE,"márgenes"}</definedName>
    <definedName name="reer" hidden="1">{"Cons_Occ_Lar",#N/A,FALSE,"márgenes";"Cen_met",#N/A,FALSE,"márgenes";"Ori_pl",#N/A,FALSE,"márgenes"}</definedName>
    <definedName name="resfriador" localSheetId="14" hidden="1">{#N/A,#N/A,FALSE,"FASE1";#N/A,#N/A,FALSE,"FASE2";#N/A,#N/A,FALSE,"FASE3";#N/A,#N/A,FALSE,"FASE4";#N/A,#N/A,FALSE,"FASE5";#N/A,#N/A,FALSE,"FASE6";#N/A,#N/A,FALSE,"FASE7";#N/A,#N/A,FALSE,"FASE8";#N/A,#N/A,FALSE,"FASE9";#N/A,#N/A,FALSE,"FASE10";#N/A,#N/A,FALSE,"EQUIPAMENTOS";#N/A,#N/A,FALSE,"MOI";#N/A,#N/A,FALSE,"CANTEIRO";#N/A,#N/A,FALSE,"TERCEIROS";#N/A,#N/A,FALSE,"DCO";#N/A,#N/A,FALSE,"RESUMO"}</definedName>
    <definedName name="resfriador" hidden="1">{#N/A,#N/A,FALSE,"FASE1";#N/A,#N/A,FALSE,"FASE2";#N/A,#N/A,FALSE,"FASE3";#N/A,#N/A,FALSE,"FASE4";#N/A,#N/A,FALSE,"FASE5";#N/A,#N/A,FALSE,"FASE6";#N/A,#N/A,FALSE,"FASE7";#N/A,#N/A,FALSE,"FASE8";#N/A,#N/A,FALSE,"FASE9";#N/A,#N/A,FALSE,"FASE10";#N/A,#N/A,FALSE,"EQUIPAMENTOS";#N/A,#N/A,FALSE,"MOI";#N/A,#N/A,FALSE,"CANTEIRO";#N/A,#N/A,FALSE,"TERCEIROS";#N/A,#N/A,FALSE,"DCO";#N/A,#N/A,FALSE,"RESUMO"}</definedName>
    <definedName name="Rev.2" localSheetId="14" hidden="1">{#N/A,#N/A,FALSE,"Cronograma";#N/A,#N/A,FALSE,"Cronogr. 2"}</definedName>
    <definedName name="Rev.2" hidden="1">{#N/A,#N/A,FALSE,"Cronograma";#N/A,#N/A,FALSE,"Cronogr. 2"}</definedName>
    <definedName name="rewrwe" localSheetId="14" hidden="1">{"CAP VOL",#N/A,FALSE,"CAPITAL";"CAP VAR",#N/A,FALSE,"CAPITAL";"CAP FIJ",#N/A,FALSE,"CAPITAL";"CAP CONS",#N/A,FALSE,"CAPITAL";"CAP DATA",#N/A,FALSE,"CAPITAL"}</definedName>
    <definedName name="rewrwe" hidden="1">{"CAP VOL",#N/A,FALSE,"CAPITAL";"CAP VAR",#N/A,FALSE,"CAPITAL";"CAP FIJ",#N/A,FALSE,"CAPITAL";"CAP CONS",#N/A,FALSE,"CAPITAL";"CAP DATA",#N/A,FALSE,"CAPITAL"}</definedName>
    <definedName name="rewwrwr" localSheetId="14" hidden="1">{#N/A,"Carabeer",FALSE,"Dscto.";#N/A,"Disbracentro",FALSE,"Dscto.";#N/A,"Río Beer",FALSE,"Dscto.";#N/A,"Andes",FALSE,"Dscto."}</definedName>
    <definedName name="rewwrwr" hidden="1">{#N/A,"Carabeer",FALSE,"Dscto.";#N/A,"Disbracentro",FALSE,"Dscto.";#N/A,"Río Beer",FALSE,"Dscto.";#N/A,"Andes",FALSE,"Dscto."}</definedName>
    <definedName name="rfgrtr4" localSheetId="14" hidden="1">{#N/A,#N/A,FALSE,"Aging Summary";#N/A,#N/A,FALSE,"Ratio Analysis";#N/A,#N/A,FALSE,"Test 120 Day Accts";#N/A,#N/A,FALSE,"Tickmarks"}</definedName>
    <definedName name="rfgrtr4" hidden="1">{#N/A,#N/A,FALSE,"Aging Summary";#N/A,#N/A,FALSE,"Ratio Analysis";#N/A,#N/A,FALSE,"Test 120 Day Accts";#N/A,#N/A,FALSE,"Tickmarks"}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RRRRRR" localSheetId="14" hidden="1">{#N/A,#N/A,FALSE,"Cronograma";#N/A,#N/A,FALSE,"Cronogr. 2"}</definedName>
    <definedName name="RRRRRRRRRRRR" hidden="1">{#N/A,#N/A,FALSE,"Cronograma";#N/A,#N/A,FALSE,"Cronogr. 2"}</definedName>
    <definedName name="sa" localSheetId="14" hidden="1">{#N/A,#N/A,FALSE,"PRECIO FULL";#N/A,#N/A,FALSE,"LARA";#N/A,#N/A,FALSE,"CARACAS";#N/A,#N/A,FALSE,"DISBRACENTRO";#N/A,#N/A,FALSE,"ANDES";#N/A,#N/A,FALSE,"MAR CARIBE";#N/A,#N/A,FALSE,"RIO BEER";#N/A,#N/A,FALSE,"DISBRAH"}</definedName>
    <definedName name="sa" hidden="1">{#N/A,#N/A,FALSE,"PRECIO FULL";#N/A,#N/A,FALSE,"LARA";#N/A,#N/A,FALSE,"CARACAS";#N/A,#N/A,FALSE,"DISBRACENTRO";#N/A,#N/A,FALSE,"ANDES";#N/A,#N/A,FALSE,"MAR CARIBE";#N/A,#N/A,FALSE,"RIO BEER";#N/A,#N/A,FALSE,"DISBRAH"}</definedName>
    <definedName name="safaf" localSheetId="14" hidden="1">{"a_assump1",#N/A,FALSE,"BPlan 96-00 - Base";"a_assump2",#N/A,FALSE,"BPlan 96-00 - Base";"a_plus",#N/A,FALSE,"BPlan 96-00 - Base";"a_bs",#N/A,FALSE,"BPlan 96-00 - Base";"a_cf",#N/A,FALSE,"BPlan 96-00 - Base";"a_irrbase",#N/A,FALSE,"BPlan 96-00 - Base";"a_notes",#N/A,FALSE,"BPlan 96-00 - Base"}</definedName>
    <definedName name="safaf" hidden="1">{"a_assump1",#N/A,FALSE,"BPlan 96-00 - Base";"a_assump2",#N/A,FALSE,"BPlan 96-00 - Base";"a_plus",#N/A,FALSE,"BPlan 96-00 - Base";"a_bs",#N/A,FALSE,"BPlan 96-00 - Base";"a_cf",#N/A,FALSE,"BPlan 96-00 - Base";"a_irrbase",#N/A,FALSE,"BPlan 96-00 - Base";"a_notes",#N/A,FALSE,"BPlan 96-00 - Base"}</definedName>
    <definedName name="SAPBEXrevision" hidden="1">1</definedName>
    <definedName name="SAPBEXsysID" hidden="1">"MBP"</definedName>
    <definedName name="SAPBEXwbID" hidden="1">"4OYZYWG6AJW2ENZXP4RIGC93W"</definedName>
    <definedName name="sasa" localSheetId="14" hidden="1">{"Real",#N/A,FALSE,"CONSOLIDADO";"Real",#N/A,FALSE,"OCCIDENTE";"Real",#N/A,FALSE,"LARA";"Real",#N/A,FALSE,"CENTRO";"Real",#N/A,FALSE,"METROPOLITANA";"Real",#N/A,FALSE,"ORIENTE";"Real",#N/A,FALSE,"Pto.libre"}</definedName>
    <definedName name="sasa" hidden="1">{"Real",#N/A,FALSE,"CONSOLIDADO";"Real",#N/A,FALSE,"OCCIDENTE";"Real",#N/A,FALSE,"LARA";"Real",#N/A,FALSE,"CENTRO";"Real",#N/A,FALSE,"METROPOLITANA";"Real",#N/A,FALSE,"ORIENTE";"Real",#N/A,FALSE,"Pto.libre"}</definedName>
    <definedName name="sasas" localSheetId="14" hidden="1">{"prem1",#N/A,FALSE,"Consolidado";"pl_us",#N/A,FALSE,"Consolidado";"pl_hl",#N/A,FALSE,"Consolidado";"bs",#N/A,FALSE,"Consolidado";"cf",#N/A,FALSE,"Consolidado"}</definedName>
    <definedName name="sasas" hidden="1">{"prem1",#N/A,FALSE,"Consolidado";"pl_us",#N/A,FALSE,"Consolidado";"pl_hl",#N/A,FALSE,"Consolidado";"bs",#N/A,FALSE,"Consolidado";"cf",#N/A,FALSE,"Consolidado"}</definedName>
    <definedName name="sddjksfjksdk"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jksfjksdk"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dx" localSheetId="14" hidden="1">{"prem1",#N/A,FALSE,"Consolidado";"pl_us",#N/A,FALSE,"Consolidado";"pl_hl",#N/A,FALSE,"Consolidado";"bs",#N/A,FALSE,"Consolidado";"cf",#N/A,FALSE,"Consolidado"}</definedName>
    <definedName name="sddx" hidden="1">{"prem1",#N/A,FALSE,"Consolidado";"pl_us",#N/A,FALSE,"Consolidado";"pl_hl",#N/A,FALSE,"Consolidado";"bs",#N/A,FALSE,"Consolidado";"cf",#N/A,FALSE,"Consolidado"}</definedName>
    <definedName name="SDS" localSheetId="14" hidden="1">{"Cons_Occ_Lar",#N/A,FALSE,"márgenes";"Cen_met",#N/A,FALSE,"márgenes";"Ori_pl",#N/A,FALSE,"márgenes"}</definedName>
    <definedName name="SDS" hidden="1">{"Cons_Occ_Lar",#N/A,FALSE,"márgenes";"Cen_met",#N/A,FALSE,"márgenes";"Ori_pl",#N/A,FALSE,"márgenes"}</definedName>
    <definedName name="SDSD" localSheetId="14" hidden="1">{"Cons_Occ_Lar",#N/A,FALSE,"márgenes";"Cen_met",#N/A,FALSE,"márgenes";"Ori_pl",#N/A,FALSE,"márgenes"}</definedName>
    <definedName name="SDSD" hidden="1">{"Cons_Occ_Lar",#N/A,FALSE,"márgenes";"Cen_met",#N/A,FALSE,"márgenes";"Ori_pl",#N/A,FALSE,"márgenes"}</definedName>
    <definedName name="SDSDSLKLKLKL"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DSDSLKLKLKL"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encount" hidden="1">1</definedName>
    <definedName name="SEPT" localSheetId="14" hidden="1">{"Yr2TM1",#N/A,FALSE,"Line Data";"Yr2TM2",#N/A,FALSE,"Line Data";"Yr2TM3",#N/A,FALSE,"Line Data"}</definedName>
    <definedName name="SEPT" hidden="1">{"Yr2TM1",#N/A,FALSE,"Line Data";"Yr2TM2",#N/A,FALSE,"Line Data";"Yr2TM3",#N/A,FALSE,"Line Data"}</definedName>
    <definedName name="serviços" localSheetId="14" hidden="1">{#N/A,#N/A,FALSE,"FASE1";#N/A,#N/A,FALSE,"FASE2";#N/A,#N/A,FALSE,"FASE3";#N/A,#N/A,FALSE,"FASE4";#N/A,#N/A,FALSE,"FASE5";#N/A,#N/A,FALSE,"FASE6";#N/A,#N/A,FALSE,"FASE7";#N/A,#N/A,FALSE,"FASE8";#N/A,#N/A,FALSE,"FASE9";#N/A,#N/A,FALSE,"FASE10";#N/A,#N/A,FALSE,"EQUIPAMENTOS";#N/A,#N/A,FALSE,"MOI";#N/A,#N/A,FALSE,"CANTEIRO";#N/A,#N/A,FALSE,"TERCEIROS";#N/A,#N/A,FALSE,"DCO";#N/A,#N/A,FALSE,"RESUMO"}</definedName>
    <definedName name="serviços" hidden="1">{#N/A,#N/A,FALSE,"FASE1";#N/A,#N/A,FALSE,"FASE2";#N/A,#N/A,FALSE,"FASE3";#N/A,#N/A,FALSE,"FASE4";#N/A,#N/A,FALSE,"FASE5";#N/A,#N/A,FALSE,"FASE6";#N/A,#N/A,FALSE,"FASE7";#N/A,#N/A,FALSE,"FASE8";#N/A,#N/A,FALSE,"FASE9";#N/A,#N/A,FALSE,"FASE10";#N/A,#N/A,FALSE,"EQUIPAMENTOS";#N/A,#N/A,FALSE,"MOI";#N/A,#N/A,FALSE,"CANTEIRO";#N/A,#N/A,FALSE,"TERCEIROS";#N/A,#N/A,FALSE,"DCO";#N/A,#N/A,FALSE,"RESUMO"}</definedName>
    <definedName name="ses" localSheetId="14" hidden="1">{"RESUMEN",#N/A,FALSE,"RESUMEN";"RESUMEN_MARG",#N/A,FALSE,"RESUMEN"}</definedName>
    <definedName name="ses" hidden="1">{"RESUMEN",#N/A,FALSE,"RESUMEN";"RESUMEN_MARG",#N/A,FALSE,"RESUMEN"}</definedName>
    <definedName name="sfd" localSheetId="14" hidden="1">{#N/A,#N/A,FALSE,"Hoja1";#N/A,#N/A,FALSE,"Hoja2"}</definedName>
    <definedName name="sfd" hidden="1">{#N/A,#N/A,FALSE,"Hoja1";#N/A,#N/A,FALSE,"Hoja2"}</definedName>
    <definedName name="SIPO" localSheetId="14" hidden="1">{"CAP VOL",#N/A,FALSE,"CAPITAL";"CAP VAR",#N/A,FALSE,"CAPITAL";"CAP FIJ",#N/A,FALSE,"CAPITAL";"CAP CONS",#N/A,FALSE,"CAPITAL";"CAP DATA",#N/A,FALSE,"CAPITAL"}</definedName>
    <definedName name="SIPO" hidden="1">{"CAP VOL",#N/A,FALSE,"CAPITAL";"CAP VAR",#N/A,FALSE,"CAPITAL";"CAP FIJ",#N/A,FALSE,"CAPITAL";"CAP CONS",#N/A,FALSE,"CAPITAL";"CAP DATA",#N/A,FALSE,"CAPITAL"}</definedName>
    <definedName name="SJJJD" localSheetId="14" hidden="1">{"RESUMEN",#N/A,FALSE,"RESUMEN";"RESUMEN_MARG",#N/A,FALSE,"RESUMEN"}</definedName>
    <definedName name="SJJJD" hidden="1">{"RESUMEN",#N/A,FALSE,"RESUMEN";"RESUMEN_MARG",#N/A,FALSE,"RESUMEN"}</definedName>
    <definedName name="SKLKD" localSheetId="14" hidden="1">{#N/A,#N/A,FALSE,"RGD$";#N/A,#N/A,FALSE,"BG$";#N/A,#N/A,FALSE,"FC$"}</definedName>
    <definedName name="SKLKD" hidden="1">{#N/A,#N/A,FALSE,"RGD$";#N/A,#N/A,FALSE,"BG$";#N/A,#N/A,FALSE,"FC$"}</definedName>
    <definedName name="slsa" localSheetId="14" hidden="1">{#N/A,#N/A,FALSE,"PRECIO FULL";#N/A,#N/A,FALSE,"LARA";#N/A,#N/A,FALSE,"CARACAS";#N/A,#N/A,FALSE,"DISBRACENTRO";#N/A,#N/A,FALSE,"ANDES";#N/A,#N/A,FALSE,"MAR CARIBE";#N/A,#N/A,FALSE,"RIO BEER";#N/A,#N/A,FALSE,"DISBRAH"}</definedName>
    <definedName name="slsa" hidden="1">{#N/A,#N/A,FALSE,"PRECIO FULL";#N/A,#N/A,FALSE,"LARA";#N/A,#N/A,FALSE,"CARACAS";#N/A,#N/A,FALSE,"DISBRACENTRO";#N/A,#N/A,FALSE,"ANDES";#N/A,#N/A,FALSE,"MAR CARIBE";#N/A,#N/A,FALSE,"RIO BEER";#N/A,#N/A,FALSE,"DISBRAH"}</definedName>
    <definedName name="SOCCQYE" localSheetId="14" hidden="1">{"Yr0TM1",#N/A,FALSE,"Line Data";"Yr0TM2",#N/A,FALSE,"Line Data";"Yr0TM3",#N/A,FALSE,"Line Data"}</definedName>
    <definedName name="SOCCQYE" hidden="1">{"Yr0TM1",#N/A,FALSE,"Line Data";"Yr0TM2",#N/A,FALSE,"Line Data";"Yr0TM3",#N/A,FALSE,"Line Data"}</definedName>
    <definedName name="SS" localSheetId="14" hidden="1">{#N/A,#N/A,FALSE,"Aging Summary";#N/A,#N/A,FALSE,"Ratio Analysis";#N/A,#N/A,FALSE,"Test 120 Day Accts";#N/A,#N/A,FALSE,"Tickmarks"}</definedName>
    <definedName name="SS" hidden="1">{#N/A,#N/A,FALSE,"Aging Summary";#N/A,#N/A,FALSE,"Ratio Analysis";#N/A,#N/A,FALSE,"Test 120 Day Accts";#N/A,#N/A,FALSE,"Tickmarks"}</definedName>
    <definedName name="SSD" localSheetId="14" hidden="1">{"CAP VOL",#N/A,FALSE,"CAPITAL";"CAP VAR",#N/A,FALSE,"CAPITAL";"CAP FIJ",#N/A,FALSE,"CAPITAL";"CAP CONS",#N/A,FALSE,"CAPITAL";"CAP DATA",#N/A,FALSE,"CAPITAL"}</definedName>
    <definedName name="SSD" hidden="1">{"CAP VOL",#N/A,FALSE,"CAPITAL";"CAP VAR",#N/A,FALSE,"CAPITAL";"CAP FIJ",#N/A,FALSE,"CAPITAL";"CAP CONS",#N/A,FALSE,"CAPITAL";"CAP DATA",#N/A,FALSE,"CAPITAL"}</definedName>
    <definedName name="SSEDF" localSheetId="14" hidden="1">{"CAP VOL",#N/A,FALSE,"CAPITAL";"CAP VAR",#N/A,FALSE,"CAPITAL";"CAP FIJ",#N/A,FALSE,"CAPITAL";"CAP CONS",#N/A,FALSE,"CAPITAL";"CAP DATA",#N/A,FALSE,"CAPITAL"}</definedName>
    <definedName name="SSEDF" hidden="1">{"CAP VOL",#N/A,FALSE,"CAPITAL";"CAP VAR",#N/A,FALSE,"CAPITAL";"CAP FIJ",#N/A,FALSE,"CAPITAL";"CAP CONS",#N/A,FALSE,"CAPITAL";"CAP DATA",#N/A,FALSE,"CAPITAL"}</definedName>
    <definedName name="SSKKKD" localSheetId="14" hidden="1">{#N/A,#N/A,FALSE,"PRECIO FULL";#N/A,#N/A,FALSE,"LARA";#N/A,#N/A,FALSE,"CARACAS";#N/A,#N/A,FALSE,"DISBRACENTRO";#N/A,#N/A,FALSE,"ANDES";#N/A,#N/A,FALSE,"MAR CARIBE";#N/A,#N/A,FALSE,"RIO BEER";#N/A,#N/A,FALSE,"DISBRAH"}</definedName>
    <definedName name="SSKKKD" hidden="1">{#N/A,#N/A,FALSE,"PRECIO FULL";#N/A,#N/A,FALSE,"LARA";#N/A,#N/A,FALSE,"CARACAS";#N/A,#N/A,FALSE,"DISBRACENTRO";#N/A,#N/A,FALSE,"ANDES";#N/A,#N/A,FALSE,"MAR CARIBE";#N/A,#N/A,FALSE,"RIO BEER";#N/A,#N/A,FALSE,"DISBRAH"}</definedName>
    <definedName name="SSSDEER"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DEER"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JJD" localSheetId="14" hidden="1">{"Real",#N/A,FALSE,"CONSOLIDADO";"Real",#N/A,FALSE,"OCCIDENTE";"Real",#N/A,FALSE,"LARA";"Real",#N/A,FALSE,"CENTRO";"Real",#N/A,FALSE,"METROPOLITANA";"Real",#N/A,FALSE,"ORIENTE";"Real",#N/A,FALSE,"Pto.libre"}</definedName>
    <definedName name="SSSJJD" hidden="1">{"Real",#N/A,FALSE,"CONSOLIDADO";"Real",#N/A,FALSE,"OCCIDENTE";"Real",#N/A,FALSE,"LARA";"Real",#N/A,FALSE,"CENTRO";"Real",#N/A,FALSE,"METROPOLITANA";"Real",#N/A,FALSE,"ORIENTE";"Real",#N/A,FALSE,"Pto.libre"}</definedName>
    <definedName name="SSSSS"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SSSSSSSSSSS" localSheetId="14" hidden="1">{"Prenissas",#N/A,FALSE,"Consolidado (3)";"Lucros000",#N/A,FALSE,"Consolidado (3)";"LucrosHL",#N/A,FALSE,"Consolidado (3)";"Balanco",#N/A,FALSE,"Consolidado (3)";"FluxoC",#N/A,FALSE,"Consolidado (3)"}</definedName>
    <definedName name="SSSSSSSSSSS" hidden="1">{"Prenissas",#N/A,FALSE,"Consolidado (3)";"Lucros000",#N/A,FALSE,"Consolidado (3)";"LucrosHL",#N/A,FALSE,"Consolidado (3)";"Balanco",#N/A,FALSE,"Consolidado (3)";"FluxoC",#N/A,FALSE,"Consolidado (3)"}</definedName>
    <definedName name="StartYear" localSheetId="9">#REF!</definedName>
    <definedName name="StartYear" localSheetId="6">#REF!</definedName>
    <definedName name="StartYear" localSheetId="7">#REF!</definedName>
    <definedName name="StartYear">#REF!</definedName>
    <definedName name="sws" localSheetId="14" hidden="1">{#N/A,#N/A,FALSE,"Hoja1";#N/A,#N/A,FALSE,"Hoja2"}</definedName>
    <definedName name="sws" hidden="1">{#N/A,#N/A,FALSE,"Hoja1";#N/A,#N/A,FALSE,"Hoja2"}</definedName>
    <definedName name="sxsad" localSheetId="14" hidden="1">{#N/A,#N/A,FALSE,"Hoja1";#N/A,#N/A,FALSE,"Hoja2"}</definedName>
    <definedName name="sxsad" hidden="1">{#N/A,#N/A,FALSE,"Hoja1";#N/A,#N/A,FALSE,"Hoja2"}</definedName>
    <definedName name="tabla" localSheetId="14" hidden="1">{#N/A,#N/A,FALSE,"Aging Summary";#N/A,#N/A,FALSE,"Ratio Analysis";#N/A,#N/A,FALSE,"Test 120 Day Accts";#N/A,#N/A,FALSE,"Tickmarks"}</definedName>
    <definedName name="tabla" hidden="1">{#N/A,#N/A,FALSE,"Aging Summary";#N/A,#N/A,FALSE,"Ratio Analysis";#N/A,#N/A,FALSE,"Test 120 Day Accts";#N/A,#N/A,FALSE,"Tickmarks"}</definedName>
    <definedName name="tabla1" localSheetId="14"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n" localSheetId="14" hidden="1">{#N/A,#N/A,FALSE,"FASE1";#N/A,#N/A,FALSE,"FASE2";#N/A,#N/A,FALSE,"FASE3";#N/A,#N/A,FALSE,"FASE4";#N/A,#N/A,FALSE,"FASE5";#N/A,#N/A,FALSE,"FASE6";#N/A,#N/A,FALSE,"FASE7";#N/A,#N/A,FALSE,"FASE8";#N/A,#N/A,FALSE,"FASE9";#N/A,#N/A,FALSE,"FASE10";#N/A,#N/A,FALSE,"EQUIPAMENTOS";#N/A,#N/A,FALSE,"MOI";#N/A,#N/A,FALSE,"CANTEIRO";#N/A,#N/A,FALSE,"TERCEIROS";#N/A,#N/A,FALSE,"DCO";#N/A,#N/A,FALSE,"RESUMO"}</definedName>
    <definedName name="tan" hidden="1">{#N/A,#N/A,FALSE,"FASE1";#N/A,#N/A,FALSE,"FASE2";#N/A,#N/A,FALSE,"FASE3";#N/A,#N/A,FALSE,"FASE4";#N/A,#N/A,FALSE,"FASE5";#N/A,#N/A,FALSE,"FASE6";#N/A,#N/A,FALSE,"FASE7";#N/A,#N/A,FALSE,"FASE8";#N/A,#N/A,FALSE,"FASE9";#N/A,#N/A,FALSE,"FASE10";#N/A,#N/A,FALSE,"EQUIPAMENTOS";#N/A,#N/A,FALSE,"MOI";#N/A,#N/A,FALSE,"CANTEIRO";#N/A,#N/A,FALSE,"TERCEIROS";#N/A,#N/A,FALSE,"DCO";#N/A,#N/A,FALSE,"RESUMO"}</definedName>
    <definedName name="TaxRate" localSheetId="9">#REF!</definedName>
    <definedName name="TaxRate" localSheetId="6">#REF!</definedName>
    <definedName name="TaxRate" localSheetId="7">#REF!</definedName>
    <definedName name="TaxRate">#REF!</definedName>
    <definedName name="TextRefCopyRangeCount" hidden="1">14</definedName>
    <definedName name="TQ" localSheetId="14" hidden="1">{#N/A,#N/A,FALSE,"Cronograma";#N/A,#N/A,FALSE,"Cronogr. 2"}</definedName>
    <definedName name="TQ" hidden="1">{#N/A,#N/A,FALSE,"Cronograma";#N/A,#N/A,FALSE,"Cronogr. 2"}</definedName>
    <definedName name="trfgfd" localSheetId="14" hidden="1">{#N/A,#N/A,FALSE,"FIN AÑO"}</definedName>
    <definedName name="trfgfd" hidden="1">{#N/A,#N/A,FALSE,"FIN AÑO"}</definedName>
    <definedName name="trrr" localSheetId="14" hidden="1">{"prem1",#N/A,FALSE,"Consolidado";"pl_us",#N/A,FALSE,"Consolidado";"pl_hl",#N/A,FALSE,"Consolidado";"bs",#N/A,FALSE,"Consolidado";"cf",#N/A,FALSE,"Consolidado"}</definedName>
    <definedName name="trrr" hidden="1">{"prem1",#N/A,FALSE,"Consolidado";"pl_us",#N/A,FALSE,"Consolidado";"pl_hl",#N/A,FALSE,"Consolidado";"bs",#N/A,FALSE,"Consolidado";"cf",#N/A,FALSE,"Consolidado"}</definedName>
    <definedName name="ty" localSheetId="14" hidden="1">{"a_assump1",#N/A,FALSE,"BPlan 96-00 - Base";"a_assump2",#N/A,FALSE,"BPlan 96-00 - Base";"a_plus",#N/A,FALSE,"BPlan 96-00 - Base";"a_bs",#N/A,FALSE,"BPlan 96-00 - Base";"a_cf",#N/A,FALSE,"BPlan 96-00 - Base";"a_irrbase",#N/A,FALSE,"BPlan 96-00 - Base";"a_notes",#N/A,FALSE,"BPlan 96-00 - Base"}</definedName>
    <definedName name="ty" hidden="1">{"a_assump1",#N/A,FALSE,"BPlan 96-00 - Base";"a_assump2",#N/A,FALSE,"BPlan 96-00 - Base";"a_plus",#N/A,FALSE,"BPlan 96-00 - Base";"a_bs",#N/A,FALSE,"BPlan 96-00 - Base";"a_cf",#N/A,FALSE,"BPlan 96-00 - Base";"a_irrbase",#N/A,FALSE,"BPlan 96-00 - Base";"a_notes",#N/A,FALSE,"BPlan 96-00 - Base"}</definedName>
    <definedName name="tyyg" localSheetId="14" hidden="1">{#N/A,#N/A,FALSE,"Aging Summary";#N/A,#N/A,FALSE,"Ratio Analysis";#N/A,#N/A,FALSE,"Test 120 Day Accts";#N/A,#N/A,FALSE,"Tickmarks"}</definedName>
    <definedName name="tyyg" hidden="1">{#N/A,#N/A,FALSE,"Aging Summary";#N/A,#N/A,FALSE,"Ratio Analysis";#N/A,#N/A,FALSE,"Test 120 Day Accts";#N/A,#N/A,FALSE,"Tickmarks"}</definedName>
    <definedName name="u" localSheetId="14" hidden="1">{"CAP VOL",#N/A,FALSE,"CAPITAL";"CAP VAR",#N/A,FALSE,"CAPITAL";"CAP FIJ",#N/A,FALSE,"CAPITAL";"CAP CONS",#N/A,FALSE,"CAPITAL";"CAP DATA",#N/A,FALSE,"CAPITAL"}</definedName>
    <definedName name="u" hidden="1">{"CAP VOL",#N/A,FALSE,"CAPITAL";"CAP VAR",#N/A,FALSE,"CAPITAL";"CAP FIJ",#N/A,FALSE,"CAPITAL";"CAP CONS",#N/A,FALSE,"CAPITAL";"CAP DATA",#N/A,FALSE,"CAPITAL"}</definedName>
    <definedName name="ui" localSheetId="14" hidden="1">{"CAP VOL",#N/A,FALSE,"CAPITAL";"CAP VAR",#N/A,FALSE,"CAPITAL";"CAP FIJ",#N/A,FALSE,"CAPITAL";"CAP CONS",#N/A,FALSE,"CAPITAL";"CAP DATA",#N/A,FALSE,"CAPITAL"}</definedName>
    <definedName name="ui" hidden="1">{"CAP VOL",#N/A,FALSE,"CAPITAL";"CAP VAR",#N/A,FALSE,"CAPITAL";"CAP FIJ",#N/A,FALSE,"CAPITAL";"CAP CONS",#N/A,FALSE,"CAPITAL";"CAP DATA",#N/A,FALSE,"CAPITAL"}</definedName>
    <definedName name="vbcvb" localSheetId="14" hidden="1">{#N/A,#N/A,FALSE,"P.L.Full";#N/A,#N/A,FALSE,"P.L.Desc."}</definedName>
    <definedName name="vbcvb" hidden="1">{#N/A,#N/A,FALSE,"P.L.Full";#N/A,#N/A,FALSE,"P.L.Desc."}</definedName>
    <definedName name="vbcvbcv" localSheetId="14" hidden="1">{"CAP VOL",#N/A,FALSE,"CAPITAL";"CAP VAR",#N/A,FALSE,"CAPITAL";"CAP FIJ",#N/A,FALSE,"CAPITAL";"CAP CONS",#N/A,FALSE,"CAPITAL";"CAP DATA",#N/A,FALSE,"CAPITAL"}</definedName>
    <definedName name="vbcvbcv" hidden="1">{"CAP VOL",#N/A,FALSE,"CAPITAL";"CAP VAR",#N/A,FALSE,"CAPITAL";"CAP FIJ",#N/A,FALSE,"CAPITAL";"CAP CONS",#N/A,FALSE,"CAPITAL";"CAP DATA",#N/A,FALSE,"CAPITAL"}</definedName>
    <definedName name="vbnbvn"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bnbvn"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vcvccv" localSheetId="14" hidden="1">{"miles",#N/A,FALSE,"LUCROS E PERDAS (US$ 000)";"hl",#N/A,FALSE,"LUCROS E PERDAS (US$ 000)"}</definedName>
    <definedName name="vcvccv" hidden="1">{"miles",#N/A,FALSE,"LUCROS E PERDAS (US$ 000)";"hl",#N/A,FALSE,"LUCROS E PERDAS (US$ 000)"}</definedName>
    <definedName name="vcxbcbbnv" localSheetId="14" hidden="1">{#N/A,#N/A,FALSE,"Hoja1";#N/A,#N/A,FALSE,"Hoja2"}</definedName>
    <definedName name="vcxbcbbnv" hidden="1">{#N/A,#N/A,FALSE,"Hoja1";#N/A,#N/A,FALSE,"Hoja2"}</definedName>
    <definedName name="vcxvcxvx" localSheetId="14" hidden="1">{#N/A,#N/A,FALSE,"RGD$";#N/A,#N/A,FALSE,"BG$";#N/A,#N/A,FALSE,"FC$"}</definedName>
    <definedName name="vcxvcxvx" hidden="1">{#N/A,#N/A,FALSE,"RGD$";#N/A,#N/A,FALSE,"BG$";#N/A,#N/A,FALSE,"FC$"}</definedName>
    <definedName name="vcxxcvxc" localSheetId="14" hidden="1">{#N/A,#N/A,FALSE,"PRECIO FULL";#N/A,#N/A,FALSE,"LARA";#N/A,#N/A,FALSE,"CARACAS";#N/A,#N/A,FALSE,"DISBRACENTRO";#N/A,#N/A,FALSE,"ANDES";#N/A,#N/A,FALSE,"MAR CARIBE";#N/A,#N/A,FALSE,"RIO BEER";#N/A,#N/A,FALSE,"DISBRAH"}</definedName>
    <definedName name="vcxxcvxc" hidden="1">{#N/A,#N/A,FALSE,"PRECIO FULL";#N/A,#N/A,FALSE,"LARA";#N/A,#N/A,FALSE,"CARACAS";#N/A,#N/A,FALSE,"DISBRACENTRO";#N/A,#N/A,FALSE,"ANDES";#N/A,#N/A,FALSE,"MAR CARIBE";#N/A,#N/A,FALSE,"RIO BEER";#N/A,#N/A,FALSE,"DISBRAH"}</definedName>
    <definedName name="Vicente" localSheetId="14" hidden="1">{"CAP VOL",#N/A,FALSE,"CAPITAL";"CAP VAR",#N/A,FALSE,"CAPITAL";"CAP FIJ",#N/A,FALSE,"CAPITAL";"CAP CONS",#N/A,FALSE,"CAPITAL";"CAP DATA",#N/A,FALSE,"CAPITAL"}</definedName>
    <definedName name="Vicente" hidden="1">{"CAP VOL",#N/A,FALSE,"CAPITAL";"CAP VAR",#N/A,FALSE,"CAPITAL";"CAP FIJ",#N/A,FALSE,"CAPITAL";"CAP CONS",#N/A,FALSE,"CAPITAL";"CAP DATA",#N/A,FALSE,"CAPITAL"}</definedName>
    <definedName name="vxvxcx" localSheetId="14" hidden="1">{"Cons_Occ_Lar",#N/A,FALSE,"márgenes";"Cen_met",#N/A,FALSE,"márgenes";"Ori_pl",#N/A,FALSE,"márgenes"}</definedName>
    <definedName name="vxvxcx" hidden="1">{"Cons_Occ_Lar",#N/A,FALSE,"márgenes";"Cen_met",#N/A,FALSE,"márgenes";"Ori_pl",#N/A,FALSE,"márgenes"}</definedName>
    <definedName name="w2w" localSheetId="14" hidden="1">{#N/A,#N/A,FALSE,"Aging Summary";#N/A,#N/A,FALSE,"Ratio Analysis";#N/A,#N/A,FALSE,"Test 120 Day Accts";#N/A,#N/A,FALSE,"Tickmarks"}</definedName>
    <definedName name="w2w" hidden="1">{#N/A,#N/A,FALSE,"Aging Summary";#N/A,#N/A,FALSE,"Ratio Analysis";#N/A,#N/A,FALSE,"Test 120 Day Accts";#N/A,#N/A,FALSE,"Tickmarks"}</definedName>
    <definedName name="WDE13E" localSheetId="14" hidden="1">{#N/A,#N/A,FALSE,"Aging Summary";#N/A,#N/A,FALSE,"Ratio Analysis";#N/A,#N/A,FALSE,"Test 120 Day Accts";#N/A,#N/A,FALSE,"Tickmarks"}</definedName>
    <definedName name="WDE13E" hidden="1">{#N/A,#N/A,FALSE,"Aging Summary";#N/A,#N/A,FALSE,"Ratio Analysis";#N/A,#N/A,FALSE,"Test 120 Day Accts";#N/A,#N/A,FALSE,"Tickmarks"}</definedName>
    <definedName name="weee" localSheetId="14" hidden="1">{#N/A,#N/A,FALSE,"PRECIO FULL";#N/A,#N/A,FALSE,"LARA";#N/A,#N/A,FALSE,"CARACAS";#N/A,#N/A,FALSE,"DISBRACENTRO";#N/A,#N/A,FALSE,"ANDES";#N/A,#N/A,FALSE,"MAR CARIBE";#N/A,#N/A,FALSE,"RIO BEER";#N/A,#N/A,FALSE,"DISBRAH"}</definedName>
    <definedName name="weee" hidden="1">{#N/A,#N/A,FALSE,"PRECIO FULL";#N/A,#N/A,FALSE,"LARA";#N/A,#N/A,FALSE,"CARACAS";#N/A,#N/A,FALSE,"DISBRACENTRO";#N/A,#N/A,FALSE,"ANDES";#N/A,#N/A,FALSE,"MAR CARIBE";#N/A,#N/A,FALSE,"RIO BEER";#N/A,#N/A,FALSE,"DISBRAH"}</definedName>
    <definedName name="wer" localSheetId="14" hidden="1">{"CAP VOL",#N/A,FALSE,"CAPITAL";"CAP VAR",#N/A,FALSE,"CAPITAL";"CAP FIJ",#N/A,FALSE,"CAPITAL";"CAP CONS",#N/A,FALSE,"CAPITAL";"CAP DATA",#N/A,FALSE,"CAPITAL"}</definedName>
    <definedName name="wer" hidden="1">{"CAP VOL",#N/A,FALSE,"CAPITAL";"CAP VAR",#N/A,FALSE,"CAPITAL";"CAP FIJ",#N/A,FALSE,"CAPITAL";"CAP CONS",#N/A,FALSE,"CAPITAL";"CAP DATA",#N/A,FALSE,"CAPITAL"}</definedName>
    <definedName name="wet" localSheetId="14" hidden="1">{"CAP VOL",#N/A,FALSE,"CAPITAL";"CAP VAR",#N/A,FALSE,"CAPITAL";"CAP FIJ",#N/A,FALSE,"CAPITAL";"CAP CONS",#N/A,FALSE,"CAPITAL";"CAP DATA",#N/A,FALSE,"CAPITAL"}</definedName>
    <definedName name="wet" hidden="1">{"CAP VOL",#N/A,FALSE,"CAPITAL";"CAP VAR",#N/A,FALSE,"CAPITAL";"CAP FIJ",#N/A,FALSE,"CAPITAL";"CAP CONS",#N/A,FALSE,"CAPITAL";"CAP DATA",#N/A,FALSE,"CAPITAL"}</definedName>
    <definedName name="wewrew" localSheetId="14" hidden="1">{#N/A,#N/A,FALSE,"Hoja1";#N/A,#N/A,FALSE,"Hoja2"}</definedName>
    <definedName name="wewrew" hidden="1">{#N/A,#N/A,FALSE,"Hoja1";#N/A,#N/A,FALSE,"Hoja2"}</definedName>
    <definedName name="wqe" localSheetId="14" hidden="1">{#N/A,"Carabeer",FALSE,"Dscto.";#N/A,"Disbracentro",FALSE,"Dscto.";#N/A,"Río Beer",FALSE,"Dscto.";#N/A,"Andes",FALSE,"Dscto."}</definedName>
    <definedName name="wqe" hidden="1">{#N/A,"Carabeer",FALSE,"Dscto.";#N/A,"Disbracentro",FALSE,"Dscto.";#N/A,"Río Beer",FALSE,"Dscto.";#N/A,"Andes",FALSE,"Dscto."}</definedName>
    <definedName name="wre" localSheetId="14" hidden="1">{#N/A,#N/A,FALSE,"Hoja1";#N/A,#N/A,FALSE,"Hoja2"}</definedName>
    <definedName name="wre" hidden="1">{#N/A,#N/A,FALSE,"Hoja1";#N/A,#N/A,FALSE,"Hoja2"}</definedName>
    <definedName name="wrn.2000Base." localSheetId="14"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98._.BUDGET._.PACKAGE." localSheetId="14"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98._.BUDGET._.PACKAGE." hidden="1">{"PROD VOLUME",#N/A,FALSE,"PROD VOLUME";"DETAIL OF MATERIALS",#N/A,FALSE,"PURCH MAT'L STDS";"MATERIALS SUMMARY",#N/A,FALSE,"PURCH MAT'L STDS";"EARNINGS STMT",#N/A,FALSE,"EARNINGS STMT";"PLANT BURDEN",#N/A,FALSE,"PLANT BURDEN";"MAINTENANCE",#N/A,FALSE,"R&amp;M";"POWER",#N/A,FALSE,"POWER";"SUMMARY LABOR AND FRINGE",#N/A,FALSE,"SUMMARY LABOR&amp;FRINGE"}</definedName>
    <definedName name="wrn.aging._.and._.trend._.alaysis." localSheetId="14" hidden="1">{#N/A,#N/A,FALSE,"Aging Summary";#N/A,#N/A,FALSE,"Ratio Analysis";#N/A,#N/A,FALSE,"Test 120 Day Accts";#N/A,#N/A,FALSE,"Tickmarks"}</definedName>
    <definedName name="wrn.aging._.and._.trend._.alaysis." hidden="1">{#N/A,#N/A,FALSE,"Aging Summary";#N/A,#N/A,FALSE,"Ratio Analysis";#N/A,#N/A,FALSE,"Test 120 Day Accts";#N/A,#N/A,FALSE,"Tickmarks"}</definedName>
    <definedName name="wrn.Aging._.and._.Trend._.Analysis." localSheetId="1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BALANCE._.PARA._.LUIZ._.CLAUDIO." localSheetId="14" hidden="1">{#N/A,#N/A,FALSE,"Hoja1";#N/A,#N/A,FALSE,"Hoja2"}</definedName>
    <definedName name="wrn.BALANCE._.PARA._.LUIZ._.CLAUDIO." hidden="1">{#N/A,#N/A,FALSE,"Hoja1";#N/A,#N/A,FALSE,"Hoja2"}</definedName>
    <definedName name="wrn.business." localSheetId="14" hidden="1">{"miles",#N/A,FALSE,"LUCROS E PERDAS (US$ 000)";"hl",#N/A,FALSE,"LUCROS E PERDAS (US$ 000)"}</definedName>
    <definedName name="wrn.business." hidden="1">{"miles",#N/A,FALSE,"LUCROS E PERDAS (US$ 000)";"hl",#N/A,FALSE,"LUCROS E PERDAS (US$ 000)"}</definedName>
    <definedName name="wrn.Caixa._.de._.Ferramentas." localSheetId="14" hidden="1">{#N/A,#N/A,FALSE,"Eletricista";#N/A,#N/A,FALSE,"Mec. Refrig.";#N/A,#N/A,FALSE,"Civil";#N/A,#N/A,FALSE,"Civ";#N/A,#N/A,FALSE,"Serralheiro";#N/A,#N/A,FALSE,"Encanador";#N/A,#N/A,FALSE,"Eletr.";#N/A,#N/A,FALSE,"EL";#N/A,#N/A,FALSE,"Mec.Refrig.";#N/A,#N/A,FALSE,"Serv. Civ.";#N/A,#N/A,FALSE,"MMO";#N/A,#N/A,FALSE,"EN - CA";#N/A,#N/A,FALSE,"EL - ELT";#N/A,#N/A,FALSE,"PE";#N/A,#N/A,FALSE,"CARP";#N/A,#N/A,FALSE,"TAPEC";#N/A,#N/A,FALSE,"FU";#N/A,#N/A,FALSE,"Mec. Manut.";#N/A,#N/A,FALSE,"SO";#N/A,#N/A,FALSE,"Marc."}</definedName>
    <definedName name="wrn.Caixa._.de._.Ferramentas." hidden="1">{#N/A,#N/A,FALSE,"Eletricista";#N/A,#N/A,FALSE,"Mec. Refrig.";#N/A,#N/A,FALSE,"Civil";#N/A,#N/A,FALSE,"Civ";#N/A,#N/A,FALSE,"Serralheiro";#N/A,#N/A,FALSE,"Encanador";#N/A,#N/A,FALSE,"Eletr.";#N/A,#N/A,FALSE,"EL";#N/A,#N/A,FALSE,"Mec.Refrig.";#N/A,#N/A,FALSE,"Serv. Civ.";#N/A,#N/A,FALSE,"MMO";#N/A,#N/A,FALSE,"EN - CA";#N/A,#N/A,FALSE,"EL - ELT";#N/A,#N/A,FALSE,"PE";#N/A,#N/A,FALSE,"CARP";#N/A,#N/A,FALSE,"TAPEC";#N/A,#N/A,FALSE,"FU";#N/A,#N/A,FALSE,"Mec. Manut.";#N/A,#N/A,FALSE,"SO";#N/A,#N/A,FALSE,"Marc."}</definedName>
    <definedName name="wrn.Caixa._.de._.Ferramentas._.Individuais." localSheetId="14"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wrn.Caixa._.de._.Ferramentas._.Individuais." hidden="1">{#N/A,#N/A,FALSE,"Eletricista";#N/A,#N/A,FALSE,"Mecânico de Refrigeração";#N/A,#N/A,FALSE,"Obra civil";#N/A,#N/A,FALSE,"Serralheiro e Mecânico Montador";#N/A,#N/A,FALSE,"Encanador e Caldeireiro";#N/A,#N/A,FALSE,"Eletricista eletrônico";#N/A,#N/A,FALSE,"Pedreiro";#N/A,#N/A,FALSE,"Carpinteiro";#N/A,#N/A,FALSE,"Tapeceiro";#N/A,#N/A,FALSE,"Funileiro";#N/A,#N/A,FALSE,"Mecânico de Manutenção";#N/A,#N/A,FALSE,"Soldador";#N/A,#N/A,FALSE,"Marceneiro";#N/A,#N/A,FALSE,"Laminador"}</definedName>
    <definedName name="wrn.CAPITAL._.TODO." localSheetId="14"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ON_DESCUENTO." localSheetId="14" hidden="1">{#N/A,"Carabeer",FALSE,"Dscto.";#N/A,"Disbracentro",FALSE,"Dscto.";#N/A,"Río Beer",FALSE,"Dscto.";#N/A,"Andes",FALSE,"Dscto."}</definedName>
    <definedName name="wrn.CON_DESCUENTO." hidden="1">{#N/A,"Carabeer",FALSE,"Dscto.";#N/A,"Disbracentro",FALSE,"Dscto.";#N/A,"Río Beer",FALSE,"Dscto.";#N/A,"Andes",FALSE,"Dscto."}</definedName>
    <definedName name="wrn.Cronograma." localSheetId="14" hidden="1">{#N/A,#N/A,FALSE,"Cronograma";#N/A,#N/A,FALSE,"Cronogr. 2"}</definedName>
    <definedName name="wrn.Cronograma." hidden="1">{#N/A,#N/A,FALSE,"Cronograma";#N/A,#N/A,FALSE,"Cronogr. 2"}</definedName>
    <definedName name="wrn.Employee._.Example." localSheetId="14" hidden="1">{#N/A,#N/A,FALSE,"Example"}</definedName>
    <definedName name="wrn.Employee._.Example." hidden="1">{#N/A,#N/A,FALSE,"Example"}</definedName>
    <definedName name="wrn.Employee._.Form." localSheetId="14" hidden="1">{#N/A,#N/A,FALSE,"FORM";#N/A,#N/A,FALSE,"FORM"}</definedName>
    <definedName name="wrn.Employee._.Form." hidden="1">{#N/A,#N/A,FALSE,"FORM";#N/A,#N/A,FALSE,"FORM"}</definedName>
    <definedName name="wrn.GRAPHS." localSheetId="14" hidden="1">{"PET1",#N/A,TRUE,"PET";"PET2",#N/A,TRUE,"PET";"PET3",#N/A,TRUE,"PET";"GLASS1",#N/A,TRUE,"GLASS"}</definedName>
    <definedName name="wrn.GRAPHS." hidden="1">{"PET1",#N/A,TRUE,"PET";"PET2",#N/A,TRUE,"PET";"PET3",#N/A,TRUE,"PET";"GLASS1",#N/A,TRUE,"GLASS"}</definedName>
    <definedName name="wrn.IMPRESION." localSheetId="14" hidden="1">{#N/A,#N/A,FALSE,"Hoja1";#N/A,#N/A,FALSE,"Hoja2"}</definedName>
    <definedName name="wrn.IMPRESION." hidden="1">{#N/A,#N/A,FALSE,"Hoja1";#N/A,#N/A,FALSE,"Hoja2"}</definedName>
    <definedName name="wrn.impressao." localSheetId="14" hidden="1">{#N/A,#N/A,FALSE,"FASE1";#N/A,#N/A,FALSE,"FASE2";#N/A,#N/A,FALSE,"FASE3";#N/A,#N/A,FALSE,"FASE4";#N/A,#N/A,FALSE,"FASE5";#N/A,#N/A,FALSE,"FASE6";#N/A,#N/A,FALSE,"FASE7";#N/A,#N/A,FALSE,"FASE8";#N/A,#N/A,FALSE,"FASE9";#N/A,#N/A,FALSE,"FASE10";#N/A,#N/A,FALSE,"EQUIPAMENTOS";#N/A,#N/A,FALSE,"MOI";#N/A,#N/A,FALSE,"CANTEIRO";#N/A,#N/A,FALSE,"TERCEIROS";#N/A,#N/A,FALSE,"DCO";#N/A,#N/A,FALSE,"RESUMO"}</definedName>
    <definedName name="wrn.impressao." hidden="1">{#N/A,#N/A,FALSE,"FASE1";#N/A,#N/A,FALSE,"FASE2";#N/A,#N/A,FALSE,"FASE3";#N/A,#N/A,FALSE,"FASE4";#N/A,#N/A,FALSE,"FASE5";#N/A,#N/A,FALSE,"FASE6";#N/A,#N/A,FALSE,"FASE7";#N/A,#N/A,FALSE,"FASE8";#N/A,#N/A,FALSE,"FASE9";#N/A,#N/A,FALSE,"FASE10";#N/A,#N/A,FALSE,"EQUIPAMENTOS";#N/A,#N/A,FALSE,"MOI";#N/A,#N/A,FALSE,"CANTEIRO";#N/A,#N/A,FALSE,"TERCEIROS";#N/A,#N/A,FALSE,"DCO";#N/A,#N/A,FALSE,"RESUMO"}</definedName>
    <definedName name="wrn.Line._.Data._.All._.Years." localSheetId="14" hidden="1">{"All Line Data",#N/A,FALSE,"Line Data"}</definedName>
    <definedName name="wrn.Line._.Data._.All._.Years." hidden="1">{"All Line Data",#N/A,FALSE,"Line Data"}</definedName>
    <definedName name="wrn.Line._.Data._.Yr._.0." localSheetId="14" hidden="1">{"Yr0TM1",#N/A,FALSE,"Line Data";"Yr0TM2",#N/A,FALSE,"Line Data";"Yr0TM3",#N/A,FALSE,"Line Data"}</definedName>
    <definedName name="wrn.Line._.Data._.Yr._.0." hidden="1">{"Yr0TM1",#N/A,FALSE,"Line Data";"Yr0TM2",#N/A,FALSE,"Line Data";"Yr0TM3",#N/A,FALSE,"Line Data"}</definedName>
    <definedName name="wrn.Line._.Data._.Yr._.1." localSheetId="14" hidden="1">{"Yr1TM1",#N/A,FALSE,"Line Data";"Yr1TM2",#N/A,FALSE,"Line Data";"Yr1TM3",#N/A,FALSE,"Line Data"}</definedName>
    <definedName name="wrn.Line._.Data._.Yr._.1." hidden="1">{"Yr1TM1",#N/A,FALSE,"Line Data";"Yr1TM2",#N/A,FALSE,"Line Data";"Yr1TM3",#N/A,FALSE,"Line Data"}</definedName>
    <definedName name="wrn.Line._.Data._.Yr._.2." localSheetId="14" hidden="1">{"Yr2TM1",#N/A,FALSE,"Line Data";"Yr2TM2",#N/A,FALSE,"Line Data";"Yr2TM3",#N/A,FALSE,"Line Data"}</definedName>
    <definedName name="wrn.Line._.Data._.Yr._.2." hidden="1">{"Yr2TM1",#N/A,FALSE,"Line Data";"Yr2TM2",#N/A,FALSE,"Line Data";"Yr2TM3",#N/A,FALSE,"Line Data"}</definedName>
    <definedName name="wrn.Line._.Data._.Yr._.3." localSheetId="14" hidden="1">{"Yr3TM1",#N/A,FALSE,"Line Data";"Yr3TM2",#N/A,FALSE,"Line Data";"Yr3TM3",#N/A,FALSE,"Line Data"}</definedName>
    <definedName name="wrn.Line._.Data._.Yr._.3." hidden="1">{"Yr3TM1",#N/A,FALSE,"Line Data";"Yr3TM2",#N/A,FALSE,"Line Data";"Yr3TM3",#N/A,FALSE,"Line Data"}</definedName>
    <definedName name="wrn.Line._.Data._.Yr._.Minus._.1." localSheetId="14" hidden="1">{"YrMinus1TM1",#N/A,FALSE,"Line Data";"YrMinus1TM2",#N/A,FALSE,"Line Data";"YrMinus1TM3",#N/A,FALSE,"Line Data"}</definedName>
    <definedName name="wrn.Line._.Data._.Yr._.Minus._.1." hidden="1">{"YrMinus1TM1",#N/A,FALSE,"Line Data";"YrMinus1TM2",#N/A,FALSE,"Line Data";"YrMinus1TM3",#N/A,FALSE,"Line Data"}</definedName>
    <definedName name="wrn.MARG." localSheetId="14" hidden="1">{"Cons_Occ_Lar",#N/A,FALSE,"márgenes";"Cen_met",#N/A,FALSE,"márgenes";"Ori_pl",#N/A,FALSE,"márgenes"}</definedName>
    <definedName name="wrn.MARG." hidden="1">{"Cons_Occ_Lar",#N/A,FALSE,"márgenes";"Cen_met",#N/A,FALSE,"márgenes";"Ori_pl",#N/A,FALSE,"márgenes"}</definedName>
    <definedName name="wrn.Metas96." localSheetId="14" hidden="1">{"Prenissas",#N/A,FALSE,"Consolidado (3)";"Lucros000",#N/A,FALSE,"Consolidado (3)";"LucrosHL",#N/A,FALSE,"Consolidado (3)";"Balanco",#N/A,FALSE,"Consolidado (3)";"FluxoC",#N/A,FALSE,"Consolidado (3)"}</definedName>
    <definedName name="wrn.Metas96." hidden="1">{"Prenissas",#N/A,FALSE,"Consolidado (3)";"Lucros000",#N/A,FALSE,"Consolidado (3)";"LucrosHL",#N/A,FALSE,"Consolidado (3)";"Balanco",#N/A,FALSE,"Consolidado (3)";"FluxoC",#N/A,FALSE,"Consolidado (3)"}</definedName>
    <definedName name="wrn.Monthly._.Volume." localSheetId="14" hidden="1">{"YearMinus1",#N/A,TRUE,"Monthly Forecast";"Year0",#N/A,TRUE,"Monthly Forecast";"Year1",#N/A,TRUE,"Monthly Forecast";"Year2",#N/A,TRUE,"Monthly Forecast";"Year3",#N/A,TRUE,"Monthly Forecast"}</definedName>
    <definedName name="wrn.Monthly._.Volume." hidden="1">{"YearMinus1",#N/A,TRUE,"Monthly Forecast";"Year0",#N/A,TRUE,"Monthly Forecast";"Year1",#N/A,TRUE,"Monthly Forecast";"Year2",#N/A,TRUE,"Monthly Forecast";"Year3",#N/A,TRUE,"Monthly Forecast"}</definedName>
    <definedName name="wrn.Package._.Summary." localSheetId="14" hidden="1">{"YearMinus1",#N/A,FALSE,"Package Summary";"Year0",#N/A,FALSE,"Package Summary";"Year1",#N/A,FALSE,"Package Summary";"Year2",#N/A,FALSE,"Package Summary";"Year3",#N/A,FALSE,"Package Summary"}</definedName>
    <definedName name="wrn.Package._.Summary." hidden="1">{"YearMinus1",#N/A,FALSE,"Package Summary";"Year0",#N/A,FALSE,"Package Summary";"Year1",#N/A,FALSE,"Package Summary";"Year2",#N/A,FALSE,"Package Summary";"Year3",#N/A,FALSE,"Package Summary"}</definedName>
    <definedName name="wrn.PET._.Graphs." localSheetId="14" hidden="1">{"Total",#N/A,FALSE,"PET";"pet graphs 1 &amp; 2",#N/A,FALSE,"PET";"pet graphs 3 &amp; 4",#N/A,FALSE,"PET"}</definedName>
    <definedName name="wrn.PET._.Graphs." hidden="1">{"Total",#N/A,FALSE,"PET";"pet graphs 1 &amp; 2",#N/A,FALSE,"PET";"pet graphs 3 &amp; 4",#N/A,FALSE,"PET"}</definedName>
    <definedName name="wrn.REAL." localSheetId="14" hidden="1">{"Real",#N/A,FALSE,"CONSOLIDADO";"Real",#N/A,FALSE,"OCCIDENTE";"Real",#N/A,FALSE,"LARA";"Real",#N/A,FALSE,"CENTRO";"Real",#N/A,FALSE,"METROPOLITANA";"Real",#N/A,FALSE,"ORIENTE";"Real",#N/A,FALSE,"Pto.libre"}</definedName>
    <definedName name="wrn.REAL." hidden="1">{"Real",#N/A,FALSE,"CONSOLIDADO";"Real",#N/A,FALSE,"OCCIDENTE";"Real",#N/A,FALSE,"LARA";"Real",#N/A,FALSE,"CENTRO";"Real",#N/A,FALSE,"METROPOLITANA";"Real",#N/A,FALSE,"ORIENTE";"Real",#N/A,FALSE,"Pto.libre"}</definedName>
    <definedName name="wrn.Reporte._.1." localSheetId="14"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esistencia." localSheetId="14" hidden="1">{"Demand Forecast",#N/A,TRUE,"Demand Forecast";"Seasonality",#N/A,TRUE,"Seasonality";"GraphPetTotal",#N/A,TRUE,"PET";"GraphPet1",#N/A,TRUE,"PET";"GraphPet2",#N/A,TRUE,"PET";"GraphGlassTotal",#N/A,TRUE,"GLASS";"GraphGlass1",#N/A,TRUE,"GLASS";"Allocation &amp; Efficiency",#N/A,TRUE,"Line Data"}</definedName>
    <definedName name="wrn.Resistencia." hidden="1">{"Demand Forecast",#N/A,TRUE,"Demand Forecast";"Seasonality",#N/A,TRUE,"Seasonality";"GraphPetTotal",#N/A,TRUE,"PET";"GraphPet1",#N/A,TRUE,"PET";"GraphPet2",#N/A,TRUE,"PET";"GraphGlassTotal",#N/A,TRUE,"GLASS";"GraphGlass1",#N/A,TRUE,"GLASS";"Allocation &amp; Efficiency",#N/A,TRUE,"Line Data"}</definedName>
    <definedName name="wrn.RESUMEN." localSheetId="14" hidden="1">{"RESUMEN",#N/A,FALSE,"RESUMEN";"RESUMEN_MARG",#N/A,FALSE,"RESUMEN"}</definedName>
    <definedName name="wrn.RESUMEN." hidden="1">{"RESUMEN",#N/A,FALSE,"RESUMEN";"RESUMEN_MARG",#N/A,FALSE,"RESUMEN"}</definedName>
    <definedName name="wrn.RGD_BG_FC." localSheetId="14" hidden="1">{#N/A,#N/A,FALSE,"RGD$";#N/A,#N/A,FALSE,"BG$";#N/A,#N/A,FALSE,"FC$"}</definedName>
    <definedName name="wrn.RGD_BG_FC." hidden="1">{#N/A,#N/A,FALSE,"RGD$";#N/A,#N/A,FALSE,"BG$";#N/A,#N/A,FALSE,"FC$"}</definedName>
    <definedName name="wrn.Seasonality." localSheetId="14" hidden="1">{#N/A,#N/A,TRUE,"Demand Forecast";"YearMinus1",#N/A,TRUE,"Seasonality (%)";"Year0",#N/A,TRUE,"Seasonality (%)";"Year1",#N/A,TRUE,"Seasonality (%)";"Year2",#N/A,TRUE,"Seasonality (%)";"Year3",#N/A,TRUE,"Seasonality (%)"}</definedName>
    <definedName name="wrn.Seasonality." hidden="1">{#N/A,#N/A,TRUE,"Demand Forecast";"YearMinus1",#N/A,TRUE,"Seasonality (%)";"Year0",#N/A,TRUE,"Seasonality (%)";"Year1",#N/A,TRUE,"Seasonality (%)";"Year2",#N/A,TRUE,"Seasonality (%)";"Year3",#N/A,TRUE,"Seasonality (%)"}</definedName>
    <definedName name="wrn.Tabla._.PL." localSheetId="14" hidden="1">{#N/A,#N/A,FALSE,"P.L.Full";#N/A,#N/A,FALSE,"P.L.Desc."}</definedName>
    <definedName name="wrn.Tabla._.PL." hidden="1">{#N/A,#N/A,FALSE,"P.L.Full";#N/A,#N/A,FALSE,"P.L.Desc."}</definedName>
    <definedName name="wrn.TEND."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rn.Tend2000." localSheetId="14" hidden="1">{"bs",#N/A,FALSE,"Consolidado";"cf",#N/A,FALSE,"Consolidado";"pl_hl",#N/A,FALSE,"Consolidado";"pl_us",#N/A,FALSE,"Consolidado";"Prem1",#N/A,FALSE,"Consolidado"}</definedName>
    <definedName name="wrn.Tend2000." hidden="1">{"bs",#N/A,FALSE,"Consolidado";"cf",#N/A,FALSE,"Consolidado";"pl_hl",#N/A,FALSE,"Consolidado";"pl_us",#N/A,FALSE,"Consolidado";"Prem1",#N/A,FALSE,"Consolidado"}</definedName>
    <definedName name="wrn.Tendencia._.Año." localSheetId="14" hidden="1">{#N/A,#N/A,FALSE,"FIN AÑO"}</definedName>
    <definedName name="wrn.Tendencia._.Año." hidden="1">{#N/A,#N/A,FALSE,"FIN AÑO"}</definedName>
    <definedName name="wrn.Todas._.las._.tablas." localSheetId="14"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udo." localSheetId="14" hidden="1">{"prem1",#N/A,FALSE,"Consolidado";"pl_us",#N/A,FALSE,"Consolidado";"pl_hl",#N/A,FALSE,"Consolidado";"bs",#N/A,FALSE,"Consolidado";"cf",#N/A,FALSE,"Consolidado"}</definedName>
    <definedName name="wrn.tudo." hidden="1">{"prem1",#N/A,FALSE,"Consolidado";"pl_us",#N/A,FALSE,"Consolidado";"pl_hl",#N/A,FALSE,"Consolidado";"bs",#N/A,FALSE,"Consolidado";"cf",#N/A,FALSE,"Consolidado"}</definedName>
    <definedName name="wrn.VIP." localSheetId="14" hidden="1">{"total",#N/A,FALSE,"TOTAL $";"totalhl",#N/A,FALSE,"TOTAL $HL";"vol",#N/A,FALSE,"VOLUMEN";"xprod1",#N/A,FALSE,"X PROD";"xprod2",#N/A,FALSE,"X PROD";"finaño1",#N/A,FALSE,"FIN AÑO Meta";"finaño2",#N/A,FALSE,"FIN AÑO Meta"}</definedName>
    <definedName name="wrn.VIP." hidden="1">{"total",#N/A,FALSE,"TOTAL $";"totalhl",#N/A,FALSE,"TOTAL $HL";"vol",#N/A,FALSE,"VOLUMEN";"xprod1",#N/A,FALSE,"X PROD";"xprod2",#N/A,FALSE,"X PROD";"finaño1",#N/A,FALSE,"FIN AÑO Meta";"finaño2",#N/A,FALSE,"FIN AÑO Meta"}</definedName>
    <definedName name="ww" localSheetId="14" hidden="1">{#N/A,#N/A,FALSE,"RGD$";#N/A,#N/A,FALSE,"BG$";#N/A,#N/A,FALSE,"FC$"}</definedName>
    <definedName name="ww" hidden="1">{#N/A,#N/A,FALSE,"RGD$";#N/A,#N/A,FALSE,"BG$";#N/A,#N/A,FALSE,"FC$"}</definedName>
    <definedName name="www" localSheetId="14"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www" hidden="1">{"tend1",#N/A,FALSE,"CONSOLIDADO";"tend2",#N/A,FALSE,"CONSOLIDADO";"tend3",#N/A,FALSE,"CONSOLIDADO";"tend1",#N/A,FALSE,"OCCIDENTE";"tend2",#N/A,FALSE,"OCCIDENTE";"tend3",#N/A,FALSE,"OCCIDENTE";"tend1",#N/A,FALSE,"LARA";"tend2",#N/A,FALSE,"LARA";"tend3",#N/A,FALSE,"LARA";"tend1",#N/A,FALSE,"CENTRO";"tend2",#N/A,FALSE,"CENTRO";"tend3",#N/A,FALSE,"CENTRO";"tend1",#N/A,FALSE,"METROPOLITANA";"tend2",#N/A,FALSE,"METROPOLITANA";"tend3",#N/A,FALSE,"METROPOLITANA";"tend1",#N/A,FALSE,"ORIENTE";"tend2",#N/A,FALSE,"ORIENTE";"tend3",#N/A,FALSE,"ORIENTE";"tend1",#N/A,FALSE,"Pto.libre";"tend2",#N/A,FALSE,"Pto.libre";"tend3",#N/A,FALSE,"Pto.libre"}</definedName>
    <definedName name="xcxc" localSheetId="14" hidden="1">{#N/A,#N/A,FALSE,"Hoja1";#N/A,#N/A,FALSE,"Hoja2"}</definedName>
    <definedName name="xcxc" hidden="1">{#N/A,#N/A,FALSE,"Hoja1";#N/A,#N/A,FALSE,"Hoja2"}</definedName>
    <definedName name="xcxxc" localSheetId="14" hidden="1">{"CAP VOL",#N/A,FALSE,"CAPITAL";"CAP VAR",#N/A,FALSE,"CAPITAL";"CAP FIJ",#N/A,FALSE,"CAPITAL";"CAP CONS",#N/A,FALSE,"CAPITAL";"CAP DATA",#N/A,FALSE,"CAPITAL"}</definedName>
    <definedName name="xcxxc" hidden="1">{"CAP VOL",#N/A,FALSE,"CAPITAL";"CAP VAR",#N/A,FALSE,"CAPITAL";"CAP FIJ",#N/A,FALSE,"CAPITAL";"CAP CONS",#N/A,FALSE,"CAPITAL";"CAP DATA",#N/A,FALSE,"CAPITAL"}</definedName>
    <definedName name="xxx" localSheetId="14" hidden="1">{#N/A,#N/A,FALSE,"FASE1";#N/A,#N/A,FALSE,"FASE2";#N/A,#N/A,FALSE,"FASE3";#N/A,#N/A,FALSE,"FASE4";#N/A,#N/A,FALSE,"FASE5";#N/A,#N/A,FALSE,"FASE6";#N/A,#N/A,FALSE,"FASE7";#N/A,#N/A,FALSE,"FASE8";#N/A,#N/A,FALSE,"FASE9";#N/A,#N/A,FALSE,"FASE10";#N/A,#N/A,FALSE,"EQUIPAMENTOS";#N/A,#N/A,FALSE,"MOI";#N/A,#N/A,FALSE,"CANTEIRO";#N/A,#N/A,FALSE,"TERCEIROS";#N/A,#N/A,FALSE,"DCO";#N/A,#N/A,FALSE,"RESUMO"}</definedName>
    <definedName name="xxx" hidden="1">{#N/A,#N/A,FALSE,"FASE1";#N/A,#N/A,FALSE,"FASE2";#N/A,#N/A,FALSE,"FASE3";#N/A,#N/A,FALSE,"FASE4";#N/A,#N/A,FALSE,"FASE5";#N/A,#N/A,FALSE,"FASE6";#N/A,#N/A,FALSE,"FASE7";#N/A,#N/A,FALSE,"FASE8";#N/A,#N/A,FALSE,"FASE9";#N/A,#N/A,FALSE,"FASE10";#N/A,#N/A,FALSE,"EQUIPAMENTOS";#N/A,#N/A,FALSE,"MOI";#N/A,#N/A,FALSE,"CANTEIRO";#N/A,#N/A,FALSE,"TERCEIROS";#N/A,#N/A,FALSE,"DCO";#N/A,#N/A,FALSE,"RESUMO"}</definedName>
    <definedName name="xzzx" localSheetId="14" hidden="1">{"miles",#N/A,FALSE,"LUCROS E PERDAS (US$ 000)";"hl",#N/A,FALSE,"LUCROS E PERDAS (US$ 000)"}</definedName>
    <definedName name="xzzx" hidden="1">{"miles",#N/A,FALSE,"LUCROS E PERDAS (US$ 000)";"hl",#N/A,FALSE,"LUCROS E PERDAS (US$ 000)"}</definedName>
    <definedName name="yreyter" localSheetId="14" hidden="1">{"bs",#N/A,FALSE,"Consolidado";"cf",#N/A,FALSE,"Consolidado";"pl_hl",#N/A,FALSE,"Consolidado";"pl_us",#N/A,FALSE,"Consolidado";"Prem1",#N/A,FALSE,"Consolidado"}</definedName>
    <definedName name="yreyter" hidden="1">{"bs",#N/A,FALSE,"Consolidado";"cf",#N/A,FALSE,"Consolidado";"pl_hl",#N/A,FALSE,"Consolidado";"pl_us",#N/A,FALSE,"Consolidado";"Prem1",#N/A,FALSE,"Consolidado"}</definedName>
    <definedName name="yukyujk" localSheetId="14" hidden="1">{#N/A,#N/A,FALSE,"Aging Summary";#N/A,#N/A,FALSE,"Ratio Analysis";#N/A,#N/A,FALSE,"Test 120 Day Accts";#N/A,#N/A,FALSE,"Tickmarks"}</definedName>
    <definedName name="yukyujk" hidden="1">{#N/A,#N/A,FALSE,"Aging Summary";#N/A,#N/A,FALSE,"Ratio Analysis";#N/A,#N/A,FALSE,"Test 120 Day Accts";#N/A,#N/A,FALSE,"Tickmarks"}</definedName>
    <definedName name="yyy" localSheetId="14" hidden="1">{"CAP VOL",#N/A,FALSE,"CAPITAL";"CAP VAR",#N/A,FALSE,"CAPITAL";"CAP FIJ",#N/A,FALSE,"CAPITAL";"CAP CONS",#N/A,FALSE,"CAPITAL";"CAP DATA",#N/A,FALSE,"CAPITAL"}</definedName>
    <definedName name="yyy" hidden="1">{"CAP VOL",#N/A,FALSE,"CAPITAL";"CAP VAR",#N/A,FALSE,"CAPITAL";"CAP FIJ",#N/A,FALSE,"CAPITAL";"CAP CONS",#N/A,FALSE,"CAPITAL";"CAP DATA",#N/A,FALSE,"CAPITAL"}</definedName>
    <definedName name="Z_7A000CDD_396E_43DF_8427_7808FD41EFFE_.wvu.Cols" hidden="1">#REF!</definedName>
    <definedName name="Z_7A000CDD_396E_43DF_8427_7808FD41EFFE_.wvu.PrintArea" hidden="1">#REF!</definedName>
    <definedName name="Z_7A000CDD_396E_43DF_8427_7808FD41EFFE_.wvu.PrintTitles" hidden="1">#REF!</definedName>
    <definedName name="zcczxz" localSheetId="14" hidden="1">{"bs",#N/A,FALSE,"Consolidado";"cf",#N/A,FALSE,"Consolidado";"pl_hl",#N/A,FALSE,"Consolidado";"pl_us",#N/A,FALSE,"Consolidado";"Prem1",#N/A,FALSE,"Consolidado"}</definedName>
    <definedName name="zcczxz" hidden="1">{"bs",#N/A,FALSE,"Consolidado";"cf",#N/A,FALSE,"Consolidado";"pl_hl",#N/A,FALSE,"Consolidado";"pl_us",#N/A,FALSE,"Consolidado";"Prem1",#N/A,FALSE,"Consolidado"}</definedName>
    <definedName name="zzzzz" localSheetId="14" hidden="1">{#N/A,#N/A,FALSE,"Hoja1";#N/A,#N/A,FALSE,"Hoja2"}</definedName>
    <definedName name="zzzzz" hidden="1">{#N/A,#N/A,FALSE,"Hoja1";#N/A,#N/A,FALSE,"Hoja2"}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3" i="32" l="1"/>
  <c r="L23" i="32"/>
  <c r="K23" i="32"/>
  <c r="J23" i="32"/>
  <c r="I23" i="32"/>
  <c r="H23" i="32"/>
  <c r="M22" i="32"/>
  <c r="L22" i="32"/>
  <c r="K22" i="32"/>
  <c r="J22" i="32"/>
  <c r="I22" i="32"/>
  <c r="H22" i="32"/>
  <c r="M21" i="32"/>
  <c r="L21" i="32"/>
  <c r="K21" i="32"/>
  <c r="J21" i="32"/>
  <c r="I21" i="32"/>
  <c r="H21" i="32"/>
  <c r="I20" i="32"/>
  <c r="J20" i="32" s="1"/>
  <c r="K20" i="32" s="1"/>
  <c r="L20" i="32" s="1"/>
  <c r="M20" i="32" s="1"/>
  <c r="N20" i="32" s="1"/>
  <c r="O20" i="32" s="1"/>
  <c r="P20" i="32" s="1"/>
  <c r="Q20" i="32" s="1"/>
  <c r="R20" i="32" s="1"/>
  <c r="S20" i="32" s="1"/>
  <c r="T20" i="32" s="1"/>
  <c r="U20" i="32" s="1"/>
  <c r="V20" i="32" s="1"/>
  <c r="W20" i="32" s="1"/>
  <c r="J24" i="34"/>
  <c r="I24" i="34"/>
  <c r="H24" i="34"/>
  <c r="G24" i="34"/>
  <c r="J23" i="34"/>
  <c r="I23" i="34"/>
  <c r="H23" i="34"/>
  <c r="G23" i="34"/>
  <c r="Z22" i="34"/>
  <c r="Y22" i="34"/>
  <c r="X22" i="34"/>
  <c r="W22" i="34"/>
  <c r="V22" i="34"/>
  <c r="U22" i="34"/>
  <c r="T22" i="34"/>
  <c r="S22" i="34"/>
  <c r="R22" i="34"/>
  <c r="Q22" i="34"/>
  <c r="P22" i="34"/>
  <c r="O22" i="34"/>
  <c r="N22" i="34"/>
  <c r="M22" i="34"/>
  <c r="L22" i="34"/>
  <c r="K22" i="34"/>
  <c r="J22" i="34"/>
  <c r="I22" i="34"/>
  <c r="H22" i="34"/>
  <c r="G22" i="34"/>
  <c r="P14" i="34"/>
  <c r="P26" i="34" s="1"/>
  <c r="O14" i="34"/>
  <c r="O26" i="34" s="1"/>
  <c r="N14" i="34"/>
  <c r="N26" i="34" s="1"/>
  <c r="M14" i="34"/>
  <c r="M26" i="34" s="1"/>
  <c r="L14" i="34"/>
  <c r="L26" i="34" s="1"/>
  <c r="K14" i="34"/>
  <c r="K26" i="34" s="1"/>
  <c r="P12" i="34"/>
  <c r="P24" i="34" s="1"/>
  <c r="O12" i="34"/>
  <c r="N12" i="34"/>
  <c r="N24" i="34" s="1"/>
  <c r="M12" i="34"/>
  <c r="M24" i="34" s="1"/>
  <c r="L12" i="34"/>
  <c r="L24" i="34" s="1"/>
  <c r="K12" i="34"/>
  <c r="K24" i="34" s="1"/>
  <c r="J12" i="34"/>
  <c r="I12" i="34"/>
  <c r="H12" i="34"/>
  <c r="G12" i="34"/>
  <c r="Z11" i="34"/>
  <c r="Z23" i="34" s="1"/>
  <c r="Y11" i="34"/>
  <c r="Y23" i="34" s="1"/>
  <c r="X11" i="34"/>
  <c r="X23" i="34" s="1"/>
  <c r="W11" i="34"/>
  <c r="W23" i="34" s="1"/>
  <c r="V11" i="34"/>
  <c r="V23" i="34" s="1"/>
  <c r="U11" i="34"/>
  <c r="U23" i="34" s="1"/>
  <c r="T11" i="34"/>
  <c r="T23" i="34" s="1"/>
  <c r="S11" i="34"/>
  <c r="S23" i="34" s="1"/>
  <c r="R11" i="34"/>
  <c r="R23" i="34" s="1"/>
  <c r="Q11" i="34"/>
  <c r="Q23" i="34" s="1"/>
  <c r="P11" i="34"/>
  <c r="P23" i="34" s="1"/>
  <c r="O11" i="34"/>
  <c r="O23" i="34" s="1"/>
  <c r="N11" i="34"/>
  <c r="N23" i="34" s="1"/>
  <c r="N25" i="34" s="1"/>
  <c r="M11" i="34"/>
  <c r="M13" i="34" s="1"/>
  <c r="L11" i="34"/>
  <c r="L23" i="34" s="1"/>
  <c r="K11" i="34"/>
  <c r="K13" i="34" s="1"/>
  <c r="J11" i="34"/>
  <c r="I11" i="34"/>
  <c r="H11" i="34"/>
  <c r="G11" i="34"/>
  <c r="Z9" i="34"/>
  <c r="Y9" i="34"/>
  <c r="X9" i="34"/>
  <c r="W9" i="34"/>
  <c r="V9" i="34"/>
  <c r="U9" i="34"/>
  <c r="T9" i="34"/>
  <c r="S9" i="34"/>
  <c r="R9" i="34"/>
  <c r="Q9" i="34"/>
  <c r="P9" i="34"/>
  <c r="O9" i="34"/>
  <c r="N9" i="34"/>
  <c r="M9" i="34"/>
  <c r="L9" i="34"/>
  <c r="K9" i="34"/>
  <c r="J9" i="34"/>
  <c r="I9" i="34"/>
  <c r="H9" i="34"/>
  <c r="G9" i="34"/>
  <c r="P27" i="20"/>
  <c r="O27" i="20"/>
  <c r="N27" i="20"/>
  <c r="M27" i="20"/>
  <c r="L27" i="20"/>
  <c r="P26" i="20"/>
  <c r="P28" i="20" s="1"/>
  <c r="P25" i="20"/>
  <c r="O25" i="20"/>
  <c r="N25" i="20"/>
  <c r="M25" i="20"/>
  <c r="L25" i="20"/>
  <c r="Z24" i="20"/>
  <c r="Y24" i="20"/>
  <c r="X24" i="20"/>
  <c r="W24" i="20"/>
  <c r="V24" i="20"/>
  <c r="U24" i="20"/>
  <c r="T24" i="20"/>
  <c r="S24" i="20"/>
  <c r="R24" i="20"/>
  <c r="Q24" i="20"/>
  <c r="P24" i="20"/>
  <c r="O24" i="20"/>
  <c r="O26" i="20" s="1"/>
  <c r="O28" i="20" s="1"/>
  <c r="N24" i="20"/>
  <c r="N26" i="20" s="1"/>
  <c r="N28" i="20" s="1"/>
  <c r="M24" i="20"/>
  <c r="M26" i="20" s="1"/>
  <c r="M28" i="20" s="1"/>
  <c r="L24" i="20"/>
  <c r="L26" i="20" s="1"/>
  <c r="L28" i="20" s="1"/>
  <c r="J25" i="20"/>
  <c r="I25" i="20"/>
  <c r="H25" i="20"/>
  <c r="G25" i="20"/>
  <c r="J24" i="20"/>
  <c r="I24" i="20"/>
  <c r="H24" i="20"/>
  <c r="G24" i="20"/>
  <c r="Z22" i="20"/>
  <c r="Y22" i="20"/>
  <c r="X22" i="20"/>
  <c r="W22" i="20"/>
  <c r="V22" i="20"/>
  <c r="U22" i="20"/>
  <c r="T22" i="20"/>
  <c r="S22" i="20"/>
  <c r="R22" i="20"/>
  <c r="Q22" i="20"/>
  <c r="P22" i="20"/>
  <c r="O22" i="20"/>
  <c r="N22" i="20"/>
  <c r="M22" i="20"/>
  <c r="L22" i="20"/>
  <c r="K22" i="20"/>
  <c r="J22" i="20"/>
  <c r="I22" i="20"/>
  <c r="H22" i="20"/>
  <c r="G22" i="20"/>
  <c r="T26" i="26"/>
  <c r="T25" i="26"/>
  <c r="R26" i="26"/>
  <c r="R25" i="26"/>
  <c r="AV85" i="32"/>
  <c r="AU85" i="32"/>
  <c r="AV84" i="32"/>
  <c r="AU84" i="32"/>
  <c r="AV83" i="32"/>
  <c r="AU83" i="32"/>
  <c r="AV82" i="32"/>
  <c r="AU82" i="32"/>
  <c r="AV81" i="32"/>
  <c r="AU81" i="32"/>
  <c r="AV80" i="32"/>
  <c r="AU80" i="32"/>
  <c r="AV79" i="32"/>
  <c r="AR66" i="32"/>
  <c r="AQ66" i="32"/>
  <c r="AP66" i="32"/>
  <c r="AR65" i="32"/>
  <c r="AQ65" i="32"/>
  <c r="AP65" i="32"/>
  <c r="AR64" i="32"/>
  <c r="AQ64" i="32"/>
  <c r="AP64" i="32"/>
  <c r="AR63" i="32"/>
  <c r="AQ63" i="32"/>
  <c r="AP63" i="32"/>
  <c r="AR62" i="32"/>
  <c r="AQ62" i="32"/>
  <c r="AP62" i="32"/>
  <c r="AR61" i="32"/>
  <c r="AQ61" i="32"/>
  <c r="AP61" i="32"/>
  <c r="AM47" i="32"/>
  <c r="AL47" i="32"/>
  <c r="AK47" i="32"/>
  <c r="AJ47" i="32"/>
  <c r="AM46" i="32"/>
  <c r="AL46" i="32"/>
  <c r="AK46" i="32"/>
  <c r="AJ46" i="32"/>
  <c r="AM45" i="32"/>
  <c r="AL45" i="32"/>
  <c r="AK45" i="32"/>
  <c r="AJ45" i="32"/>
  <c r="AM44" i="32"/>
  <c r="AL44" i="32"/>
  <c r="AK44" i="32"/>
  <c r="AJ44" i="32"/>
  <c r="AM43" i="32"/>
  <c r="AL43" i="32"/>
  <c r="AK43" i="32"/>
  <c r="AJ43" i="32"/>
  <c r="AM42" i="32"/>
  <c r="AL42" i="32"/>
  <c r="AK42" i="32"/>
  <c r="AJ42" i="32"/>
  <c r="AM41" i="32"/>
  <c r="AL41" i="32"/>
  <c r="AK41" i="32"/>
  <c r="AJ41" i="32"/>
  <c r="AG28" i="32"/>
  <c r="AF28" i="32"/>
  <c r="AE28" i="32"/>
  <c r="AG27" i="32"/>
  <c r="AF27" i="32"/>
  <c r="AE27" i="32"/>
  <c r="AG26" i="32"/>
  <c r="AF26" i="32"/>
  <c r="AE26" i="32"/>
  <c r="AG25" i="32"/>
  <c r="AF25" i="32"/>
  <c r="AE25" i="32"/>
  <c r="AG24" i="32"/>
  <c r="AF24" i="32"/>
  <c r="AE24" i="32"/>
  <c r="AG23" i="32"/>
  <c r="AF23" i="32"/>
  <c r="AE23" i="32"/>
  <c r="D7" i="32"/>
  <c r="D6" i="32"/>
  <c r="D5" i="32"/>
  <c r="D4" i="32"/>
  <c r="D3" i="32"/>
  <c r="AT81" i="32"/>
  <c r="AT82" i="32" s="1"/>
  <c r="AT83" i="32" s="1"/>
  <c r="AT84" i="32" s="1"/>
  <c r="AT85" i="32" s="1"/>
  <c r="AT86" i="32" s="1"/>
  <c r="AT87" i="32" s="1"/>
  <c r="AT88" i="32" s="1"/>
  <c r="AT89" i="32" s="1"/>
  <c r="AT90" i="32" s="1"/>
  <c r="AT91" i="32" s="1"/>
  <c r="AT92" i="32" s="1"/>
  <c r="AT93" i="32" s="1"/>
  <c r="AT94" i="32" s="1"/>
  <c r="AT95" i="32" s="1"/>
  <c r="AO62" i="32"/>
  <c r="AO63" i="32" s="1"/>
  <c r="AO64" i="32" s="1"/>
  <c r="AO65" i="32" s="1"/>
  <c r="AO66" i="32" s="1"/>
  <c r="AO67" i="32" s="1"/>
  <c r="AO68" i="32" s="1"/>
  <c r="AO69" i="32" s="1"/>
  <c r="AO70" i="32" s="1"/>
  <c r="AO71" i="32" s="1"/>
  <c r="AO72" i="32" s="1"/>
  <c r="AO73" i="32" s="1"/>
  <c r="AO74" i="32" s="1"/>
  <c r="AO75" i="32" s="1"/>
  <c r="AO76" i="32" s="1"/>
  <c r="AI43" i="32"/>
  <c r="AI44" i="32" s="1"/>
  <c r="AI45" i="32" s="1"/>
  <c r="AI46" i="32" s="1"/>
  <c r="AI47" i="32" s="1"/>
  <c r="AI48" i="32" s="1"/>
  <c r="AI49" i="32" s="1"/>
  <c r="AI50" i="32" s="1"/>
  <c r="AI51" i="32" s="1"/>
  <c r="AI52" i="32" s="1"/>
  <c r="AI53" i="32" s="1"/>
  <c r="AI54" i="32" s="1"/>
  <c r="AI55" i="32" s="1"/>
  <c r="AI56" i="32" s="1"/>
  <c r="AI57" i="32" s="1"/>
  <c r="AD24" i="32"/>
  <c r="AD25" i="32" s="1"/>
  <c r="AD26" i="32" s="1"/>
  <c r="AD27" i="32" s="1"/>
  <c r="AD28" i="32" s="1"/>
  <c r="AD29" i="32" s="1"/>
  <c r="AD30" i="32" s="1"/>
  <c r="AD31" i="32" s="1"/>
  <c r="AD32" i="32" s="1"/>
  <c r="AD33" i="32" s="1"/>
  <c r="AD34" i="32" s="1"/>
  <c r="AD35" i="32" s="1"/>
  <c r="AD36" i="32" s="1"/>
  <c r="AD37" i="32" s="1"/>
  <c r="AD38" i="32" s="1"/>
  <c r="B4" i="32"/>
  <c r="B5" i="32" s="1"/>
  <c r="B6" i="32" s="1"/>
  <c r="B7" i="32" s="1"/>
  <c r="B8" i="32" s="1"/>
  <c r="B9" i="32" s="1"/>
  <c r="B10" i="32" s="1"/>
  <c r="B11" i="32" s="1"/>
  <c r="B12" i="32" s="1"/>
  <c r="B13" i="32" s="1"/>
  <c r="B14" i="32" s="1"/>
  <c r="B15" i="32" s="1"/>
  <c r="B16" i="32" s="1"/>
  <c r="B17" i="32" s="1"/>
  <c r="B18" i="32" s="1"/>
  <c r="D7" i="26"/>
  <c r="D6" i="26"/>
  <c r="D5" i="26"/>
  <c r="D4" i="26"/>
  <c r="D3" i="26"/>
  <c r="B4" i="26"/>
  <c r="B5" i="26" s="1"/>
  <c r="B6" i="26" s="1"/>
  <c r="B7" i="26" s="1"/>
  <c r="B8" i="26" s="1"/>
  <c r="B9" i="26" s="1"/>
  <c r="B10" i="26" s="1"/>
  <c r="B11" i="26" s="1"/>
  <c r="B12" i="26" s="1"/>
  <c r="B13" i="26" s="1"/>
  <c r="B14" i="26" s="1"/>
  <c r="B15" i="26" s="1"/>
  <c r="B16" i="26" s="1"/>
  <c r="B17" i="26" s="1"/>
  <c r="B18" i="26" s="1"/>
  <c r="D23" i="25"/>
  <c r="E23" i="25"/>
  <c r="F23" i="25"/>
  <c r="G23" i="25"/>
  <c r="H23" i="25"/>
  <c r="C23" i="25"/>
  <c r="L22" i="25"/>
  <c r="N60" i="24"/>
  <c r="L60" i="24"/>
  <c r="P59" i="24"/>
  <c r="O59" i="24"/>
  <c r="N59" i="24"/>
  <c r="M59" i="24"/>
  <c r="L59" i="24"/>
  <c r="P58" i="24"/>
  <c r="P60" i="24" s="1"/>
  <c r="O58" i="24"/>
  <c r="O60" i="24" s="1"/>
  <c r="N58" i="24"/>
  <c r="M58" i="24"/>
  <c r="M60" i="24" s="1"/>
  <c r="L58" i="24"/>
  <c r="P56" i="24"/>
  <c r="P55" i="24"/>
  <c r="O55" i="24"/>
  <c r="N55" i="24"/>
  <c r="M55" i="24"/>
  <c r="L55" i="24"/>
  <c r="P54" i="24"/>
  <c r="O54" i="24"/>
  <c r="O56" i="24" s="1"/>
  <c r="N54" i="24"/>
  <c r="N56" i="24" s="1"/>
  <c r="M54" i="24"/>
  <c r="M56" i="24" s="1"/>
  <c r="L54" i="24"/>
  <c r="L56" i="24" s="1"/>
  <c r="K59" i="24"/>
  <c r="K58" i="24"/>
  <c r="K55" i="24"/>
  <c r="K54" i="24"/>
  <c r="P49" i="24"/>
  <c r="O49" i="24"/>
  <c r="N49" i="24"/>
  <c r="M49" i="24"/>
  <c r="L49" i="24"/>
  <c r="P48" i="24"/>
  <c r="P50" i="24" s="1"/>
  <c r="O48" i="24"/>
  <c r="O50" i="24" s="1"/>
  <c r="N48" i="24"/>
  <c r="M48" i="24"/>
  <c r="L48" i="24"/>
  <c r="L50" i="24" s="1"/>
  <c r="P45" i="24"/>
  <c r="O45" i="24"/>
  <c r="N45" i="24"/>
  <c r="M45" i="24"/>
  <c r="L45" i="24"/>
  <c r="P44" i="24"/>
  <c r="O44" i="24"/>
  <c r="N44" i="24"/>
  <c r="N46" i="24" s="1"/>
  <c r="M44" i="24"/>
  <c r="M46" i="24" s="1"/>
  <c r="L44" i="24"/>
  <c r="K49" i="24"/>
  <c r="K45" i="24"/>
  <c r="K48" i="24"/>
  <c r="K44" i="24"/>
  <c r="P41" i="24"/>
  <c r="O41" i="24"/>
  <c r="N41" i="24"/>
  <c r="M41" i="24"/>
  <c r="N42" i="24" s="1"/>
  <c r="P40" i="24"/>
  <c r="O40" i="24"/>
  <c r="N40" i="24"/>
  <c r="M40" i="24"/>
  <c r="O13" i="34" l="1"/>
  <c r="O24" i="34"/>
  <c r="O25" i="34" s="1"/>
  <c r="O27" i="34" s="1"/>
  <c r="K23" i="34"/>
  <c r="K25" i="34" s="1"/>
  <c r="M23" i="34"/>
  <c r="L25" i="34"/>
  <c r="L27" i="34" s="1"/>
  <c r="M25" i="34"/>
  <c r="M27" i="34" s="1"/>
  <c r="N27" i="34"/>
  <c r="P25" i="34"/>
  <c r="P27" i="34" s="1"/>
  <c r="N13" i="34"/>
  <c r="P13" i="34"/>
  <c r="L13" i="34"/>
  <c r="L46" i="24"/>
  <c r="N50" i="24"/>
  <c r="O46" i="24"/>
  <c r="K60" i="24"/>
  <c r="P46" i="24"/>
  <c r="O42" i="24"/>
  <c r="P42" i="24"/>
  <c r="K56" i="24"/>
  <c r="M50" i="24"/>
  <c r="L40" i="24"/>
  <c r="L41" i="24"/>
  <c r="M42" i="24" s="1"/>
  <c r="K41" i="24"/>
  <c r="K40" i="24"/>
  <c r="K50" i="24"/>
  <c r="K46" i="24"/>
  <c r="P35" i="24"/>
  <c r="O35" i="24"/>
  <c r="N35" i="24"/>
  <c r="M35" i="24"/>
  <c r="L35" i="24"/>
  <c r="P34" i="24"/>
  <c r="O34" i="24"/>
  <c r="N34" i="24"/>
  <c r="M34" i="24"/>
  <c r="L34" i="24"/>
  <c r="K35" i="24"/>
  <c r="K34" i="24"/>
  <c r="K36" i="24" s="1"/>
  <c r="P31" i="24"/>
  <c r="O31" i="24"/>
  <c r="N31" i="24"/>
  <c r="M31" i="24"/>
  <c r="L31" i="24"/>
  <c r="P30" i="24"/>
  <c r="O30" i="24"/>
  <c r="N30" i="24"/>
  <c r="M30" i="24"/>
  <c r="L30" i="24"/>
  <c r="K31" i="24"/>
  <c r="K30" i="24"/>
  <c r="P27" i="24"/>
  <c r="O27" i="24"/>
  <c r="N27" i="24"/>
  <c r="M27" i="24"/>
  <c r="L27" i="24"/>
  <c r="P26" i="24"/>
  <c r="O26" i="24"/>
  <c r="N26" i="24"/>
  <c r="M26" i="24"/>
  <c r="L26" i="24"/>
  <c r="L28" i="24" s="1"/>
  <c r="K27" i="24"/>
  <c r="K26" i="24"/>
  <c r="P23" i="24"/>
  <c r="O23" i="24"/>
  <c r="N23" i="24"/>
  <c r="M23" i="24"/>
  <c r="L23" i="24"/>
  <c r="P22" i="24"/>
  <c r="P24" i="24" s="1"/>
  <c r="O22" i="24"/>
  <c r="N22" i="24"/>
  <c r="M22" i="24"/>
  <c r="L22" i="24"/>
  <c r="K23" i="24"/>
  <c r="K22" i="24"/>
  <c r="P17" i="24"/>
  <c r="O17" i="24"/>
  <c r="N17" i="24"/>
  <c r="M17" i="24"/>
  <c r="L17" i="24"/>
  <c r="P16" i="24"/>
  <c r="O16" i="24"/>
  <c r="N16" i="24"/>
  <c r="N18" i="24" s="1"/>
  <c r="M16" i="24"/>
  <c r="L16" i="24"/>
  <c r="K16" i="24"/>
  <c r="K17" i="24"/>
  <c r="P13" i="24"/>
  <c r="O13" i="24"/>
  <c r="N13" i="24"/>
  <c r="M13" i="24"/>
  <c r="L13" i="24"/>
  <c r="P12" i="24"/>
  <c r="O12" i="24"/>
  <c r="N12" i="24"/>
  <c r="M12" i="24"/>
  <c r="L12" i="24"/>
  <c r="L14" i="24" s="1"/>
  <c r="K13" i="24"/>
  <c r="K12" i="24"/>
  <c r="L8" i="24"/>
  <c r="M8" i="24"/>
  <c r="N8" i="24"/>
  <c r="O8" i="24"/>
  <c r="P8" i="24"/>
  <c r="L9" i="24"/>
  <c r="M9" i="24"/>
  <c r="N9" i="24"/>
  <c r="O9" i="24"/>
  <c r="P9" i="24"/>
  <c r="K9" i="24"/>
  <c r="K8" i="24"/>
  <c r="K10" i="24" s="1"/>
  <c r="Z4" i="24"/>
  <c r="Y4" i="24"/>
  <c r="X4" i="24"/>
  <c r="W4" i="24"/>
  <c r="V4" i="24"/>
  <c r="U4" i="24"/>
  <c r="T4" i="24"/>
  <c r="S4" i="24"/>
  <c r="R4" i="24"/>
  <c r="Q4" i="24"/>
  <c r="P4" i="24"/>
  <c r="O4" i="24"/>
  <c r="N4" i="24"/>
  <c r="M4" i="24"/>
  <c r="L4" i="24"/>
  <c r="K4" i="24"/>
  <c r="J4" i="24"/>
  <c r="I4" i="24"/>
  <c r="H4" i="24"/>
  <c r="G4" i="24"/>
  <c r="K8" i="7"/>
  <c r="L22" i="22"/>
  <c r="M22" i="22"/>
  <c r="N22" i="22"/>
  <c r="O22" i="22"/>
  <c r="P22" i="22"/>
  <c r="P24" i="22" s="1"/>
  <c r="L23" i="22"/>
  <c r="L24" i="22" s="1"/>
  <c r="L34" i="22" s="1"/>
  <c r="M23" i="22"/>
  <c r="N23" i="22"/>
  <c r="O23" i="22"/>
  <c r="P23" i="22"/>
  <c r="M24" i="22"/>
  <c r="N24" i="22"/>
  <c r="O24" i="22"/>
  <c r="L26" i="22"/>
  <c r="L28" i="22" s="1"/>
  <c r="M26" i="22"/>
  <c r="N26" i="22"/>
  <c r="O26" i="22"/>
  <c r="P26" i="22"/>
  <c r="L27" i="22"/>
  <c r="M27" i="22"/>
  <c r="M28" i="22" s="1"/>
  <c r="N27" i="22"/>
  <c r="O27" i="22"/>
  <c r="O28" i="22" s="1"/>
  <c r="O34" i="22" s="1"/>
  <c r="P27" i="22"/>
  <c r="N28" i="22"/>
  <c r="P28" i="22"/>
  <c r="L30" i="22"/>
  <c r="M30" i="22"/>
  <c r="N30" i="22"/>
  <c r="N32" i="22" s="1"/>
  <c r="O30" i="22"/>
  <c r="O32" i="22" s="1"/>
  <c r="P30" i="22"/>
  <c r="L31" i="22"/>
  <c r="M31" i="22"/>
  <c r="N31" i="22"/>
  <c r="O31" i="22"/>
  <c r="P31" i="22"/>
  <c r="P32" i="22" s="1"/>
  <c r="L32" i="22"/>
  <c r="M32" i="22"/>
  <c r="K34" i="22"/>
  <c r="K31" i="22"/>
  <c r="K30" i="22"/>
  <c r="K27" i="22"/>
  <c r="K26" i="22"/>
  <c r="K22" i="22"/>
  <c r="P19" i="22"/>
  <c r="P20" i="22" s="1"/>
  <c r="L18" i="22"/>
  <c r="M18" i="22"/>
  <c r="M20" i="22" s="1"/>
  <c r="N18" i="22"/>
  <c r="O18" i="22"/>
  <c r="P18" i="22"/>
  <c r="Q18" i="22"/>
  <c r="K18" i="22"/>
  <c r="K20" i="22" s="1"/>
  <c r="O16" i="22"/>
  <c r="L15" i="22"/>
  <c r="L19" i="22" s="1"/>
  <c r="M15" i="22"/>
  <c r="M19" i="22" s="1"/>
  <c r="N15" i="22"/>
  <c r="N19" i="22" s="1"/>
  <c r="O15" i="22"/>
  <c r="O19" i="22" s="1"/>
  <c r="O20" i="22" s="1"/>
  <c r="P15" i="22"/>
  <c r="K15" i="22"/>
  <c r="K19" i="22" s="1"/>
  <c r="L14" i="22"/>
  <c r="L16" i="22" s="1"/>
  <c r="M14" i="22"/>
  <c r="M16" i="22" s="1"/>
  <c r="N14" i="22"/>
  <c r="N16" i="22" s="1"/>
  <c r="O14" i="22"/>
  <c r="P14" i="22"/>
  <c r="P16" i="22" s="1"/>
  <c r="K14" i="22"/>
  <c r="K16" i="22" s="1"/>
  <c r="Z12" i="22"/>
  <c r="Y12" i="22"/>
  <c r="X12" i="22"/>
  <c r="W12" i="22"/>
  <c r="V12" i="22"/>
  <c r="U12" i="22"/>
  <c r="T12" i="22"/>
  <c r="S12" i="22"/>
  <c r="R12" i="22"/>
  <c r="Q12" i="22"/>
  <c r="P12" i="22"/>
  <c r="O12" i="22"/>
  <c r="N12" i="22"/>
  <c r="M12" i="22"/>
  <c r="L12" i="22"/>
  <c r="K12" i="22"/>
  <c r="J12" i="22"/>
  <c r="I12" i="22"/>
  <c r="H12" i="22"/>
  <c r="G12" i="22"/>
  <c r="K27" i="34" l="1"/>
  <c r="N36" i="24"/>
  <c r="K32" i="24"/>
  <c r="M32" i="24"/>
  <c r="K42" i="24"/>
  <c r="N28" i="24"/>
  <c r="P14" i="24"/>
  <c r="L42" i="24"/>
  <c r="P28" i="24"/>
  <c r="N32" i="24"/>
  <c r="L24" i="24"/>
  <c r="L32" i="24"/>
  <c r="O32" i="24"/>
  <c r="L36" i="24"/>
  <c r="M36" i="24"/>
  <c r="K28" i="24"/>
  <c r="O36" i="24"/>
  <c r="P32" i="24"/>
  <c r="P36" i="24"/>
  <c r="M24" i="24"/>
  <c r="M18" i="24"/>
  <c r="O24" i="24"/>
  <c r="M10" i="24"/>
  <c r="M28" i="24"/>
  <c r="K14" i="24"/>
  <c r="L18" i="24"/>
  <c r="N24" i="24"/>
  <c r="O28" i="24"/>
  <c r="O18" i="24"/>
  <c r="P18" i="24"/>
  <c r="N10" i="24"/>
  <c r="M14" i="24"/>
  <c r="N14" i="24"/>
  <c r="O14" i="24"/>
  <c r="O10" i="24"/>
  <c r="L10" i="24"/>
  <c r="P10" i="24"/>
  <c r="K24" i="24"/>
  <c r="K18" i="24"/>
  <c r="M34" i="22"/>
  <c r="P34" i="22"/>
  <c r="N34" i="22"/>
  <c r="K32" i="22"/>
  <c r="L20" i="22"/>
  <c r="N20" i="22"/>
  <c r="K23" i="22"/>
  <c r="K24" i="22" s="1"/>
  <c r="K28" i="22"/>
  <c r="L14" i="20"/>
  <c r="M14" i="20"/>
  <c r="N14" i="20"/>
  <c r="O14" i="20"/>
  <c r="P14" i="20"/>
  <c r="K14" i="20"/>
  <c r="K27" i="20" s="1"/>
  <c r="K118" i="4"/>
  <c r="P12" i="20" l="1"/>
  <c r="O12" i="20"/>
  <c r="N12" i="20"/>
  <c r="M12" i="20"/>
  <c r="L12" i="20"/>
  <c r="K12" i="20"/>
  <c r="K25" i="20" s="1"/>
  <c r="J12" i="20"/>
  <c r="I12" i="20"/>
  <c r="H12" i="20"/>
  <c r="G12" i="20"/>
  <c r="P11" i="20"/>
  <c r="O11" i="20"/>
  <c r="N11" i="20"/>
  <c r="M11" i="20"/>
  <c r="L11" i="20"/>
  <c r="K11" i="20"/>
  <c r="K24" i="20" s="1"/>
  <c r="K26" i="20" s="1"/>
  <c r="J11" i="20"/>
  <c r="I11" i="20"/>
  <c r="H11" i="20"/>
  <c r="G11" i="20"/>
  <c r="Z9" i="20"/>
  <c r="Q2" i="25" s="1"/>
  <c r="Q22" i="25" s="1"/>
  <c r="Y9" i="20"/>
  <c r="P2" i="25" s="1"/>
  <c r="P22" i="25" s="1"/>
  <c r="X9" i="20"/>
  <c r="O2" i="25" s="1"/>
  <c r="O22" i="25" s="1"/>
  <c r="W9" i="20"/>
  <c r="N2" i="25" s="1"/>
  <c r="N22" i="25" s="1"/>
  <c r="V9" i="20"/>
  <c r="M2" i="25" s="1"/>
  <c r="M22" i="25" s="1"/>
  <c r="U9" i="20"/>
  <c r="T9" i="20"/>
  <c r="S9" i="20"/>
  <c r="R9" i="20"/>
  <c r="Q9" i="20"/>
  <c r="P9" i="20"/>
  <c r="O9" i="20"/>
  <c r="N9" i="20"/>
  <c r="M9" i="20"/>
  <c r="L9" i="20"/>
  <c r="K9" i="20"/>
  <c r="J9" i="20"/>
  <c r="I9" i="20"/>
  <c r="H9" i="20"/>
  <c r="G9" i="20"/>
  <c r="K28" i="20" l="1"/>
  <c r="P13" i="20"/>
  <c r="N13" i="20"/>
  <c r="O13" i="20"/>
  <c r="K13" i="20"/>
  <c r="L13" i="20"/>
  <c r="M13" i="20"/>
  <c r="P22" i="4"/>
  <c r="R68" i="4"/>
  <c r="S68" i="4" s="1"/>
  <c r="T68" i="4" s="1"/>
  <c r="U68" i="4" s="1"/>
  <c r="V68" i="4" s="1"/>
  <c r="W68" i="4" s="1"/>
  <c r="X68" i="4" s="1"/>
  <c r="Y68" i="4" s="1"/>
  <c r="Z68" i="4" s="1"/>
  <c r="R67" i="4"/>
  <c r="S67" i="4" s="1"/>
  <c r="T67" i="4" s="1"/>
  <c r="U67" i="4" s="1"/>
  <c r="V67" i="4" s="1"/>
  <c r="W67" i="4" s="1"/>
  <c r="X67" i="4" s="1"/>
  <c r="Y67" i="4" s="1"/>
  <c r="Z67" i="4" s="1"/>
  <c r="R66" i="4"/>
  <c r="S66" i="4" s="1"/>
  <c r="T66" i="4" s="1"/>
  <c r="U66" i="4" s="1"/>
  <c r="V66" i="4" s="1"/>
  <c r="W66" i="4" s="1"/>
  <c r="X66" i="4" s="1"/>
  <c r="Y66" i="4" s="1"/>
  <c r="Z66" i="4" s="1"/>
  <c r="Q67" i="4"/>
  <c r="P116" i="4"/>
  <c r="P77" i="4" s="1"/>
  <c r="G37" i="4"/>
  <c r="H37" i="4"/>
  <c r="I37" i="4"/>
  <c r="J37" i="4"/>
  <c r="K37" i="4"/>
  <c r="L37" i="4"/>
  <c r="M37" i="4"/>
  <c r="N37" i="4"/>
  <c r="O37" i="4"/>
  <c r="P37" i="4"/>
  <c r="Q37" i="4"/>
  <c r="R37" i="4"/>
  <c r="S37" i="4"/>
  <c r="T37" i="4"/>
  <c r="U37" i="4"/>
  <c r="P39" i="4"/>
  <c r="P40" i="4"/>
  <c r="G41" i="4"/>
  <c r="G42" i="4" s="1"/>
  <c r="H41" i="4"/>
  <c r="I41" i="4"/>
  <c r="I42" i="4" s="1"/>
  <c r="J41" i="4"/>
  <c r="J44" i="4" s="1"/>
  <c r="J45" i="4" s="1"/>
  <c r="K41" i="4"/>
  <c r="K44" i="4" s="1"/>
  <c r="K45" i="4" s="1"/>
  <c r="L41" i="4"/>
  <c r="M41" i="4"/>
  <c r="N41" i="4"/>
  <c r="O41" i="4"/>
  <c r="O42" i="4" s="1"/>
  <c r="H42" i="4"/>
  <c r="L42" i="4"/>
  <c r="M42" i="4"/>
  <c r="N42" i="4"/>
  <c r="G43" i="4"/>
  <c r="H43" i="4"/>
  <c r="I43" i="4"/>
  <c r="J43" i="4"/>
  <c r="K43" i="4"/>
  <c r="L43" i="4"/>
  <c r="L44" i="4" s="1"/>
  <c r="L45" i="4" s="1"/>
  <c r="P43" i="4"/>
  <c r="Q43" i="4" s="1"/>
  <c r="R43" i="4" s="1"/>
  <c r="S43" i="4" s="1"/>
  <c r="T43" i="4" s="1"/>
  <c r="U43" i="4" s="1"/>
  <c r="G44" i="4"/>
  <c r="G45" i="4" s="1"/>
  <c r="H44" i="4"/>
  <c r="H45" i="4" s="1"/>
  <c r="I44" i="4"/>
  <c r="I45" i="4" s="1"/>
  <c r="M44" i="4"/>
  <c r="M45" i="4" s="1"/>
  <c r="N44" i="4"/>
  <c r="O44" i="4"/>
  <c r="O45" i="4" s="1"/>
  <c r="N45" i="4"/>
  <c r="K42" i="4" l="1"/>
  <c r="J42" i="4"/>
  <c r="P41" i="4"/>
  <c r="P106" i="4"/>
  <c r="P67" i="4" s="1"/>
  <c r="P66" i="4"/>
  <c r="K37" i="7"/>
  <c r="Q48" i="4"/>
  <c r="R48" i="4" s="1"/>
  <c r="S48" i="4" s="1"/>
  <c r="T48" i="4" s="1"/>
  <c r="U48" i="4" s="1"/>
  <c r="V48" i="4" s="1"/>
  <c r="W48" i="4" s="1"/>
  <c r="X48" i="4" s="1"/>
  <c r="Y48" i="4" s="1"/>
  <c r="Z48" i="4" s="1"/>
  <c r="Q47" i="4"/>
  <c r="R47" i="4" s="1"/>
  <c r="S47" i="4" s="1"/>
  <c r="T47" i="4" s="1"/>
  <c r="U47" i="4" s="1"/>
  <c r="V47" i="4" s="1"/>
  <c r="W47" i="4" s="1"/>
  <c r="X47" i="4" s="1"/>
  <c r="Y47" i="4" s="1"/>
  <c r="Z47" i="4" s="1"/>
  <c r="Q46" i="4"/>
  <c r="R46" i="4" s="1"/>
  <c r="S46" i="4" s="1"/>
  <c r="T46" i="4" s="1"/>
  <c r="U46" i="4" s="1"/>
  <c r="V46" i="4" s="1"/>
  <c r="W46" i="4" s="1"/>
  <c r="X46" i="4" s="1"/>
  <c r="Y46" i="4" s="1"/>
  <c r="Z46" i="4" s="1"/>
  <c r="V43" i="4"/>
  <c r="W43" i="4" s="1"/>
  <c r="X43" i="4" s="1"/>
  <c r="Y43" i="4" s="1"/>
  <c r="Z43" i="4" s="1"/>
  <c r="P105" i="4"/>
  <c r="AC23" i="14"/>
  <c r="AG22" i="14"/>
  <c r="AC22" i="14"/>
  <c r="AD22" i="14"/>
  <c r="P79" i="4"/>
  <c r="P42" i="4" l="1"/>
  <c r="P44" i="4"/>
  <c r="P45" i="4" s="1"/>
  <c r="P68" i="4"/>
  <c r="P119" i="4"/>
  <c r="P115" i="4"/>
  <c r="O62" i="4"/>
  <c r="M61" i="4"/>
  <c r="L61" i="4"/>
  <c r="O58" i="4" l="1"/>
  <c r="N58" i="4"/>
  <c r="O79" i="4"/>
  <c r="L28" i="12"/>
  <c r="L27" i="12"/>
  <c r="L26" i="12"/>
  <c r="L3" i="12"/>
  <c r="L25" i="12" s="1"/>
  <c r="Z28" i="12"/>
  <c r="Y28" i="12"/>
  <c r="Z26" i="12"/>
  <c r="Y26" i="12"/>
  <c r="Z3" i="12"/>
  <c r="Z25" i="12" s="1"/>
  <c r="Y3" i="12"/>
  <c r="Y25" i="12" s="1"/>
  <c r="D9" i="18" l="1"/>
  <c r="G37" i="13"/>
  <c r="E37" i="13"/>
  <c r="G25" i="13"/>
  <c r="F25" i="13"/>
  <c r="F37" i="13" s="1"/>
  <c r="E25" i="13"/>
  <c r="D25" i="13"/>
  <c r="D37" i="13" s="1"/>
  <c r="T66" i="14"/>
  <c r="K39" i="7" s="1"/>
  <c r="S66" i="14"/>
  <c r="G66" i="14"/>
  <c r="K38" i="7" s="1"/>
  <c r="F66" i="14"/>
  <c r="C6" i="18"/>
  <c r="X28" i="12"/>
  <c r="W28" i="12"/>
  <c r="V28" i="12"/>
  <c r="U28" i="12"/>
  <c r="T28" i="12"/>
  <c r="S28" i="12"/>
  <c r="R28" i="12"/>
  <c r="Q28" i="12"/>
  <c r="P28" i="12"/>
  <c r="O28" i="12"/>
  <c r="N28" i="12"/>
  <c r="M28" i="12"/>
  <c r="T27" i="12"/>
  <c r="S27" i="12"/>
  <c r="R27" i="12"/>
  <c r="Q27" i="12"/>
  <c r="P27" i="12"/>
  <c r="O27" i="12"/>
  <c r="N27" i="12"/>
  <c r="M27" i="12"/>
  <c r="X26" i="12"/>
  <c r="W26" i="12"/>
  <c r="V26" i="12"/>
  <c r="U26" i="12"/>
  <c r="T26" i="12"/>
  <c r="S26" i="12"/>
  <c r="R26" i="12"/>
  <c r="Q26" i="12"/>
  <c r="P26" i="12"/>
  <c r="O26" i="12"/>
  <c r="N26" i="12"/>
  <c r="M26" i="12"/>
  <c r="O13" i="4"/>
  <c r="O12" i="4"/>
  <c r="Z5" i="4"/>
  <c r="Y5" i="4"/>
  <c r="X5" i="4"/>
  <c r="W5" i="4"/>
  <c r="V5" i="4"/>
  <c r="U5" i="4"/>
  <c r="T5" i="4"/>
  <c r="S5" i="4"/>
  <c r="R5" i="4"/>
  <c r="Q5" i="4"/>
  <c r="P5" i="4"/>
  <c r="O5" i="4"/>
  <c r="N5" i="4"/>
  <c r="M5" i="4"/>
  <c r="L5" i="4"/>
  <c r="K5" i="4"/>
  <c r="Z100" i="4"/>
  <c r="Z72" i="4"/>
  <c r="Z37" i="4"/>
  <c r="Z19" i="4"/>
  <c r="AE22" i="14"/>
  <c r="AF22" i="14"/>
  <c r="Q119" i="4"/>
  <c r="P127" i="4"/>
  <c r="O107" i="4"/>
  <c r="O110" i="4"/>
  <c r="N107" i="4"/>
  <c r="O109" i="4"/>
  <c r="O108" i="4"/>
  <c r="O106" i="4"/>
  <c r="O105" i="4"/>
  <c r="O104" i="4"/>
  <c r="O93" i="4" s="1"/>
  <c r="P92" i="4" s="1"/>
  <c r="O127" i="4"/>
  <c r="O125" i="4"/>
  <c r="O124" i="4"/>
  <c r="O119" i="4"/>
  <c r="O118" i="4"/>
  <c r="O117" i="4"/>
  <c r="O116" i="4"/>
  <c r="O115" i="4"/>
  <c r="N125" i="4"/>
  <c r="L15" i="14"/>
  <c r="M15" i="14"/>
  <c r="M31" i="14" s="1"/>
  <c r="P107" i="4"/>
  <c r="P108" i="4"/>
  <c r="P109" i="4"/>
  <c r="Q109" i="4" s="1"/>
  <c r="P110" i="4"/>
  <c r="P117" i="4"/>
  <c r="P118" i="4"/>
  <c r="P125" i="4"/>
  <c r="S42" i="14"/>
  <c r="S50" i="14" s="1"/>
  <c r="R42" i="14"/>
  <c r="R50" i="14" s="1"/>
  <c r="Q42" i="14"/>
  <c r="Q50" i="14" s="1"/>
  <c r="T42" i="14"/>
  <c r="P124" i="4" s="1"/>
  <c r="T30" i="14"/>
  <c r="R30" i="14"/>
  <c r="Q30" i="14"/>
  <c r="Q32" i="14" s="1"/>
  <c r="Q60" i="14" s="1"/>
  <c r="S30" i="14"/>
  <c r="Q20" i="14"/>
  <c r="R20" i="14"/>
  <c r="R32" i="14" s="1"/>
  <c r="R60" i="14" s="1"/>
  <c r="S20" i="14"/>
  <c r="S32" i="14" s="1"/>
  <c r="S60" i="14" s="1"/>
  <c r="T20" i="14"/>
  <c r="T32" i="14" s="1"/>
  <c r="Z50" i="14"/>
  <c r="Z30" i="14"/>
  <c r="Z20" i="14"/>
  <c r="G57" i="14"/>
  <c r="F57" i="14"/>
  <c r="E57" i="14"/>
  <c r="D57" i="14"/>
  <c r="D59" i="14" s="1"/>
  <c r="G51" i="14"/>
  <c r="F51" i="14"/>
  <c r="G44" i="14"/>
  <c r="F44" i="14"/>
  <c r="F59" i="14" s="1"/>
  <c r="Q110" i="4"/>
  <c r="Q117" i="4"/>
  <c r="G25" i="14"/>
  <c r="G31" i="14" s="1"/>
  <c r="G15" i="14"/>
  <c r="M51" i="14"/>
  <c r="O48" i="4"/>
  <c r="N48" i="4"/>
  <c r="P49" i="4"/>
  <c r="P48" i="4"/>
  <c r="P47" i="4"/>
  <c r="P46" i="4"/>
  <c r="G51" i="13"/>
  <c r="F51" i="13"/>
  <c r="E51" i="13"/>
  <c r="D51" i="13"/>
  <c r="G42" i="13"/>
  <c r="F42" i="13"/>
  <c r="E42" i="13"/>
  <c r="K42" i="13"/>
  <c r="L42" i="13"/>
  <c r="M42" i="13"/>
  <c r="D42" i="13"/>
  <c r="F35" i="13"/>
  <c r="E35" i="13"/>
  <c r="D35" i="13"/>
  <c r="G35" i="13"/>
  <c r="F30" i="13"/>
  <c r="E30" i="13"/>
  <c r="D30" i="13"/>
  <c r="G30" i="13"/>
  <c r="F12" i="13"/>
  <c r="E12" i="13"/>
  <c r="D12" i="13"/>
  <c r="F17" i="13"/>
  <c r="E17" i="13"/>
  <c r="D17" i="13"/>
  <c r="F23" i="13"/>
  <c r="E23" i="13"/>
  <c r="D23" i="13"/>
  <c r="G23" i="13"/>
  <c r="G17" i="13"/>
  <c r="G12" i="13"/>
  <c r="G44" i="13" s="1"/>
  <c r="G53" i="13" s="1"/>
  <c r="M51" i="13"/>
  <c r="M35" i="13"/>
  <c r="M30" i="13"/>
  <c r="M12" i="13"/>
  <c r="M25" i="13" s="1"/>
  <c r="Z4" i="4" l="1"/>
  <c r="T50" i="14"/>
  <c r="T60" i="14" s="1"/>
  <c r="C5" i="18"/>
  <c r="F44" i="13"/>
  <c r="F53" i="13" s="1"/>
  <c r="O111" i="4"/>
  <c r="Z32" i="14"/>
  <c r="Z60" i="14" s="1"/>
  <c r="O120" i="4"/>
  <c r="G59" i="14"/>
  <c r="M59" i="14"/>
  <c r="Q125" i="4"/>
  <c r="E44" i="13"/>
  <c r="E53" i="13" s="1"/>
  <c r="D44" i="13"/>
  <c r="D53" i="13" s="1"/>
  <c r="H42" i="13"/>
  <c r="M37" i="13"/>
  <c r="M44" i="13" s="1"/>
  <c r="M53" i="13" s="1"/>
  <c r="G61" i="14" l="1"/>
  <c r="G63" i="14" s="1"/>
  <c r="M61" i="14"/>
  <c r="H25" i="14"/>
  <c r="H31" i="14" s="1"/>
  <c r="F25" i="14"/>
  <c r="F31" i="14" s="1"/>
  <c r="E25" i="14"/>
  <c r="E31" i="14" s="1"/>
  <c r="J15" i="14"/>
  <c r="F15" i="14"/>
  <c r="F61" i="14" s="1"/>
  <c r="E15" i="14"/>
  <c r="N62" i="14" l="1"/>
  <c r="Z6" i="1"/>
  <c r="O10" i="1"/>
  <c r="P10" i="1" s="1"/>
  <c r="P6" i="1"/>
  <c r="O6" i="1"/>
  <c r="Q6" i="1"/>
  <c r="R6" i="1"/>
  <c r="S6" i="1"/>
  <c r="T6" i="1"/>
  <c r="U6" i="1"/>
  <c r="V6" i="1"/>
  <c r="W6" i="1"/>
  <c r="X6" i="1"/>
  <c r="Y6" i="1"/>
  <c r="J6" i="1"/>
  <c r="K6" i="1"/>
  <c r="L6" i="1"/>
  <c r="M6" i="1"/>
  <c r="N6" i="1"/>
  <c r="K10" i="1"/>
  <c r="H6" i="1"/>
  <c r="I6" i="1"/>
  <c r="C13" i="17"/>
  <c r="C11" i="17"/>
  <c r="C6" i="17"/>
  <c r="C12" i="17" l="1"/>
  <c r="C15" i="17" s="1"/>
  <c r="C17" i="17" s="1"/>
  <c r="C19" i="17" s="1"/>
  <c r="V8" i="1"/>
  <c r="U27" i="12"/>
  <c r="C21" i="17"/>
  <c r="F12" i="17"/>
  <c r="F13" i="17"/>
  <c r="W8" i="1" l="1"/>
  <c r="V27" i="12"/>
  <c r="K4" i="7"/>
  <c r="L4" i="7"/>
  <c r="M4" i="7"/>
  <c r="N4" i="7"/>
  <c r="X8" i="1" l="1"/>
  <c r="W27" i="12"/>
  <c r="N22" i="4"/>
  <c r="M22" i="4"/>
  <c r="N28" i="4"/>
  <c r="P19" i="4"/>
  <c r="Q19" i="4"/>
  <c r="R19" i="4"/>
  <c r="S19" i="4"/>
  <c r="T19" i="4"/>
  <c r="U19" i="4"/>
  <c r="V19" i="4"/>
  <c r="W19" i="4"/>
  <c r="X19" i="4"/>
  <c r="Y19" i="4"/>
  <c r="L20" i="4"/>
  <c r="N20" i="4"/>
  <c r="M20" i="4"/>
  <c r="Y8" i="1" l="1"/>
  <c r="X27" i="12"/>
  <c r="Q4" i="4"/>
  <c r="P4" i="4"/>
  <c r="Z8" i="1" l="1"/>
  <c r="Y27" i="12"/>
  <c r="Y100" i="4"/>
  <c r="X100" i="4"/>
  <c r="W100" i="4"/>
  <c r="V100" i="4"/>
  <c r="U100" i="4"/>
  <c r="T100" i="4"/>
  <c r="S100" i="4"/>
  <c r="R100" i="4"/>
  <c r="Q100" i="4"/>
  <c r="P100" i="4"/>
  <c r="O100" i="4"/>
  <c r="N100" i="4"/>
  <c r="M100" i="4"/>
  <c r="L100" i="4"/>
  <c r="K100" i="4"/>
  <c r="J100" i="4"/>
  <c r="I100" i="4"/>
  <c r="H100" i="4"/>
  <c r="G100" i="4"/>
  <c r="Y72" i="4"/>
  <c r="X72" i="4"/>
  <c r="W72" i="4"/>
  <c r="V72" i="4"/>
  <c r="U72" i="4"/>
  <c r="T72" i="4"/>
  <c r="S72" i="4"/>
  <c r="R72" i="4"/>
  <c r="Q72" i="4"/>
  <c r="P72" i="4"/>
  <c r="O72" i="4"/>
  <c r="N72" i="4"/>
  <c r="M72" i="4"/>
  <c r="L72" i="4"/>
  <c r="K72" i="4"/>
  <c r="J72" i="4"/>
  <c r="I72" i="4"/>
  <c r="H72" i="4"/>
  <c r="G72" i="4"/>
  <c r="Y37" i="4"/>
  <c r="X37" i="4"/>
  <c r="W37" i="4"/>
  <c r="V37" i="4"/>
  <c r="Z27" i="12" l="1"/>
  <c r="Z7" i="4"/>
  <c r="N21" i="7"/>
  <c r="M21" i="7"/>
  <c r="L21" i="7"/>
  <c r="K21" i="7"/>
  <c r="N10" i="7"/>
  <c r="M10" i="7"/>
  <c r="L10" i="7"/>
  <c r="K10" i="7"/>
  <c r="O2" i="7"/>
  <c r="F63" i="14"/>
  <c r="O10" i="7" l="1"/>
  <c r="O4" i="7"/>
  <c r="O21" i="7"/>
  <c r="P2" i="7"/>
  <c r="P4" i="7" s="1"/>
  <c r="N79" i="4"/>
  <c r="N17" i="7" s="1"/>
  <c r="O17" i="7" l="1"/>
  <c r="Q2" i="7"/>
  <c r="Q4" i="7" s="1"/>
  <c r="P21" i="7"/>
  <c r="P10" i="7"/>
  <c r="O89" i="4"/>
  <c r="R2" i="7" l="1"/>
  <c r="R4" i="7" s="1"/>
  <c r="Q10" i="7"/>
  <c r="Q21" i="7"/>
  <c r="S2" i="7" l="1"/>
  <c r="S4" i="7" s="1"/>
  <c r="R10" i="7"/>
  <c r="R21" i="7"/>
  <c r="O134" i="4"/>
  <c r="T2" i="7" l="1"/>
  <c r="T4" i="7" s="1"/>
  <c r="S10" i="7"/>
  <c r="S21" i="7"/>
  <c r="N34" i="4"/>
  <c r="N33" i="4"/>
  <c r="N32" i="4"/>
  <c r="L22" i="4"/>
  <c r="K22" i="4"/>
  <c r="J22" i="4"/>
  <c r="U2" i="7" l="1"/>
  <c r="T21" i="7"/>
  <c r="T10" i="7"/>
  <c r="Y7" i="4"/>
  <c r="Z8" i="4" s="1"/>
  <c r="Z18" i="4" s="1"/>
  <c r="X7" i="4"/>
  <c r="W7" i="4"/>
  <c r="V7" i="4"/>
  <c r="U7" i="4"/>
  <c r="T7" i="4"/>
  <c r="S7" i="4"/>
  <c r="R7" i="4"/>
  <c r="Q7" i="4"/>
  <c r="P7" i="4"/>
  <c r="O7" i="4"/>
  <c r="N7" i="4"/>
  <c r="M7" i="4"/>
  <c r="L7" i="4"/>
  <c r="Y4" i="4"/>
  <c r="X4" i="4"/>
  <c r="W4" i="4"/>
  <c r="V4" i="4"/>
  <c r="U4" i="4"/>
  <c r="T4" i="4"/>
  <c r="S4" i="4"/>
  <c r="R4" i="4"/>
  <c r="O4" i="4"/>
  <c r="N4" i="4"/>
  <c r="N13" i="4"/>
  <c r="N12" i="4"/>
  <c r="M13" i="4"/>
  <c r="M12" i="4"/>
  <c r="R8" i="4" l="1"/>
  <c r="R18" i="4" s="1"/>
  <c r="U8" i="4"/>
  <c r="X8" i="4"/>
  <c r="M8" i="4"/>
  <c r="T8" i="4"/>
  <c r="O8" i="4"/>
  <c r="W8" i="4"/>
  <c r="Y8" i="4"/>
  <c r="P8" i="4"/>
  <c r="P18" i="4" s="1"/>
  <c r="V2" i="7"/>
  <c r="U4" i="7"/>
  <c r="U10" i="7"/>
  <c r="U21" i="7"/>
  <c r="Q8" i="4"/>
  <c r="Q18" i="4" s="1"/>
  <c r="S8" i="4"/>
  <c r="V8" i="4"/>
  <c r="N8" i="4"/>
  <c r="W2" i="7" l="1"/>
  <c r="V4" i="7"/>
  <c r="V10" i="7"/>
  <c r="V21" i="7"/>
  <c r="M79" i="4"/>
  <c r="M59" i="4"/>
  <c r="X2" i="7" l="1"/>
  <c r="Y2" i="7" s="1"/>
  <c r="W10" i="7"/>
  <c r="W21" i="7"/>
  <c r="W4" i="7"/>
  <c r="Y4" i="7" l="1"/>
  <c r="Z2" i="7"/>
  <c r="Y10" i="7"/>
  <c r="Y21" i="7"/>
  <c r="X21" i="7"/>
  <c r="X4" i="7"/>
  <c r="X10" i="7"/>
  <c r="I7" i="4"/>
  <c r="J7" i="4"/>
  <c r="K7" i="4"/>
  <c r="Z10" i="7" l="1"/>
  <c r="Z21" i="7"/>
  <c r="Z4" i="7"/>
  <c r="M127" i="4"/>
  <c r="N127" i="4"/>
  <c r="N108" i="4"/>
  <c r="M108" i="4"/>
  <c r="N124" i="4"/>
  <c r="W50" i="14"/>
  <c r="M124" i="4"/>
  <c r="N119" i="4"/>
  <c r="M119" i="4"/>
  <c r="Y30" i="14"/>
  <c r="X30" i="14"/>
  <c r="N117" i="4"/>
  <c r="N118" i="4"/>
  <c r="M117" i="4"/>
  <c r="M118" i="4"/>
  <c r="N116" i="4"/>
  <c r="O77" i="4" s="1"/>
  <c r="O15" i="7" s="1"/>
  <c r="M116" i="4"/>
  <c r="N115" i="4"/>
  <c r="X20" i="14"/>
  <c r="K51" i="14"/>
  <c r="K57" i="14"/>
  <c r="M110" i="4"/>
  <c r="N109" i="4"/>
  <c r="M109" i="4"/>
  <c r="M107" i="4"/>
  <c r="N105" i="4"/>
  <c r="M105" i="4"/>
  <c r="N104" i="4"/>
  <c r="M104" i="4"/>
  <c r="L51" i="13"/>
  <c r="K51" i="13"/>
  <c r="L35" i="13"/>
  <c r="L30" i="13"/>
  <c r="K30" i="13"/>
  <c r="L10" i="13"/>
  <c r="L12" i="13" s="1"/>
  <c r="L25" i="13" s="1"/>
  <c r="K10" i="13"/>
  <c r="K12" i="13" s="1"/>
  <c r="K25" i="13" s="1"/>
  <c r="AC15" i="14"/>
  <c r="AC16" i="14"/>
  <c r="AC17" i="14"/>
  <c r="AC18" i="14"/>
  <c r="AC19" i="14"/>
  <c r="AC25" i="14"/>
  <c r="AE25" i="14" s="1"/>
  <c r="AC27" i="14"/>
  <c r="AE27" i="14" s="1"/>
  <c r="O85" i="4"/>
  <c r="O84" i="4"/>
  <c r="O83" i="4"/>
  <c r="O82" i="4"/>
  <c r="O32" i="4"/>
  <c r="N53" i="4"/>
  <c r="O80" i="4" s="1"/>
  <c r="K59" i="14" l="1"/>
  <c r="X32" i="14"/>
  <c r="L37" i="13"/>
  <c r="L44" i="13" s="1"/>
  <c r="L53" i="13" s="1"/>
  <c r="Y50" i="14" s="1"/>
  <c r="O28" i="4"/>
  <c r="O34" i="4"/>
  <c r="O33" i="4"/>
  <c r="O22" i="4"/>
  <c r="N75" i="4"/>
  <c r="N13" i="7" s="1"/>
  <c r="Y20" i="14"/>
  <c r="Y32" i="14" s="1"/>
  <c r="M115" i="4"/>
  <c r="K15" i="14"/>
  <c r="K31" i="14" s="1"/>
  <c r="K61" i="14" s="1"/>
  <c r="L31" i="14"/>
  <c r="N106" i="4"/>
  <c r="O76" i="4" s="1"/>
  <c r="M106" i="4"/>
  <c r="M76" i="4" s="1"/>
  <c r="M14" i="7" s="1"/>
  <c r="K35" i="13"/>
  <c r="K37" i="13" s="1"/>
  <c r="K44" i="13" s="1"/>
  <c r="K53" i="13" s="1"/>
  <c r="X46" i="14" s="1"/>
  <c r="M85" i="4"/>
  <c r="E51" i="14"/>
  <c r="W60" i="14"/>
  <c r="E44" i="14"/>
  <c r="E59" i="14" s="1"/>
  <c r="E61" i="14" s="1"/>
  <c r="D25" i="14"/>
  <c r="D31" i="14" s="1"/>
  <c r="U20" i="14"/>
  <c r="H15" i="14"/>
  <c r="D15" i="14"/>
  <c r="H53" i="13"/>
  <c r="H51" i="13"/>
  <c r="H50" i="13"/>
  <c r="H49" i="13"/>
  <c r="H44" i="13"/>
  <c r="H41" i="13"/>
  <c r="H40" i="13"/>
  <c r="H39" i="13"/>
  <c r="H37" i="13"/>
  <c r="H35" i="13"/>
  <c r="H34" i="13"/>
  <c r="H33" i="13"/>
  <c r="H30" i="13"/>
  <c r="H29" i="13"/>
  <c r="H28" i="13"/>
  <c r="H25" i="13"/>
  <c r="H23" i="13"/>
  <c r="H22" i="13"/>
  <c r="H21" i="13"/>
  <c r="H20" i="13"/>
  <c r="H17" i="13"/>
  <c r="H16" i="13"/>
  <c r="H15" i="13"/>
  <c r="H12" i="13"/>
  <c r="H11" i="13"/>
  <c r="H10" i="13"/>
  <c r="H9" i="13"/>
  <c r="M17" i="7"/>
  <c r="K17" i="7"/>
  <c r="Q1" i="7"/>
  <c r="R1" i="7" s="1"/>
  <c r="S1" i="7" s="1"/>
  <c r="T1" i="7" s="1"/>
  <c r="U1" i="7" s="1"/>
  <c r="V1" i="7" s="1"/>
  <c r="W1" i="7" s="1"/>
  <c r="X1" i="7" s="1"/>
  <c r="Y1" i="7" s="1"/>
  <c r="K127" i="4"/>
  <c r="R125" i="4"/>
  <c r="S125" i="4" s="1"/>
  <c r="T125" i="4" s="1"/>
  <c r="U125" i="4" s="1"/>
  <c r="V125" i="4" s="1"/>
  <c r="W125" i="4" s="1"/>
  <c r="X125" i="4" s="1"/>
  <c r="Y125" i="4" s="1"/>
  <c r="Z125" i="4" s="1"/>
  <c r="R119" i="4"/>
  <c r="S119" i="4" s="1"/>
  <c r="T119" i="4" s="1"/>
  <c r="U119" i="4" s="1"/>
  <c r="V119" i="4" s="1"/>
  <c r="W119" i="4" s="1"/>
  <c r="X119" i="4" s="1"/>
  <c r="Y119" i="4" s="1"/>
  <c r="Z119" i="4" s="1"/>
  <c r="R117" i="4"/>
  <c r="S117" i="4" s="1"/>
  <c r="T117" i="4" s="1"/>
  <c r="U117" i="4" s="1"/>
  <c r="V117" i="4" s="1"/>
  <c r="W117" i="4" s="1"/>
  <c r="X117" i="4" s="1"/>
  <c r="Y117" i="4" s="1"/>
  <c r="Z117" i="4" s="1"/>
  <c r="N68" i="4"/>
  <c r="M68" i="4"/>
  <c r="R110" i="4"/>
  <c r="S110" i="4" s="1"/>
  <c r="T110" i="4" s="1"/>
  <c r="U110" i="4" s="1"/>
  <c r="V110" i="4" s="1"/>
  <c r="W110" i="4" s="1"/>
  <c r="X110" i="4" s="1"/>
  <c r="Y110" i="4" s="1"/>
  <c r="Z110" i="4" s="1"/>
  <c r="R109" i="4"/>
  <c r="S109" i="4" s="1"/>
  <c r="T109" i="4" s="1"/>
  <c r="U109" i="4" s="1"/>
  <c r="V109" i="4" s="1"/>
  <c r="W109" i="4" s="1"/>
  <c r="X109" i="4" s="1"/>
  <c r="Y109" i="4" s="1"/>
  <c r="Z109" i="4" s="1"/>
  <c r="N66" i="4"/>
  <c r="K104" i="4"/>
  <c r="M93" i="4"/>
  <c r="L93" i="4"/>
  <c r="M92" i="4" s="1"/>
  <c r="J93" i="4"/>
  <c r="K92" i="4" s="1"/>
  <c r="L92" i="4"/>
  <c r="N85" i="4"/>
  <c r="K85" i="4"/>
  <c r="K84" i="4"/>
  <c r="N83" i="4"/>
  <c r="M83" i="4"/>
  <c r="L83" i="4"/>
  <c r="K83" i="4"/>
  <c r="L82" i="4"/>
  <c r="K82" i="4"/>
  <c r="L76" i="4"/>
  <c r="L14" i="7" s="1"/>
  <c r="K76" i="4"/>
  <c r="K14" i="7" s="1"/>
  <c r="M74" i="4"/>
  <c r="L74" i="4"/>
  <c r="L12" i="7" s="1"/>
  <c r="K74" i="4"/>
  <c r="K12" i="7" s="1"/>
  <c r="L70" i="4"/>
  <c r="I68" i="4"/>
  <c r="H68" i="4"/>
  <c r="G68" i="4"/>
  <c r="L67" i="4"/>
  <c r="K67" i="4"/>
  <c r="J67" i="4"/>
  <c r="I67" i="4"/>
  <c r="H67" i="4"/>
  <c r="G67" i="4"/>
  <c r="I66" i="4"/>
  <c r="H66" i="4"/>
  <c r="G66" i="4"/>
  <c r="L60" i="4"/>
  <c r="K60" i="4"/>
  <c r="I60" i="4"/>
  <c r="H60" i="4"/>
  <c r="G60" i="4"/>
  <c r="M53" i="4"/>
  <c r="L53" i="4"/>
  <c r="M80" i="4" s="1"/>
  <c r="K53" i="4"/>
  <c r="J53" i="4"/>
  <c r="P84" i="4"/>
  <c r="N84" i="4"/>
  <c r="M84" i="4"/>
  <c r="N82" i="4"/>
  <c r="M82" i="4"/>
  <c r="P32" i="4"/>
  <c r="M6" i="7"/>
  <c r="M33" i="4"/>
  <c r="K33" i="4"/>
  <c r="J33" i="4"/>
  <c r="I33" i="4"/>
  <c r="H33" i="4"/>
  <c r="AB29" i="4"/>
  <c r="L28" i="4"/>
  <c r="K28" i="4"/>
  <c r="J28" i="4"/>
  <c r="I28" i="4"/>
  <c r="H28" i="4"/>
  <c r="K20" i="4"/>
  <c r="J20" i="4"/>
  <c r="I20" i="4"/>
  <c r="H20" i="4"/>
  <c r="AD13" i="4"/>
  <c r="AC13" i="4"/>
  <c r="AF10" i="4"/>
  <c r="L13" i="4" s="1"/>
  <c r="K13" i="4" s="1"/>
  <c r="J13" i="4" s="1"/>
  <c r="AE10" i="4"/>
  <c r="AG10" i="4" s="1"/>
  <c r="AF9" i="4"/>
  <c r="L12" i="4" s="1"/>
  <c r="K12" i="4" s="1"/>
  <c r="J12" i="4" s="1"/>
  <c r="AE9" i="4"/>
  <c r="AG9" i="4" s="1"/>
  <c r="L8" i="4"/>
  <c r="K8" i="4"/>
  <c r="J8" i="4"/>
  <c r="J18" i="4" s="1"/>
  <c r="M4" i="4"/>
  <c r="M18" i="4" s="1"/>
  <c r="L4" i="4"/>
  <c r="K4" i="4"/>
  <c r="Q22" i="4" l="1"/>
  <c r="M70" i="4"/>
  <c r="N70" i="4" s="1"/>
  <c r="O70" i="4" s="1"/>
  <c r="P70" i="4" s="1"/>
  <c r="Q70" i="4" s="1"/>
  <c r="R70" i="4" s="1"/>
  <c r="S70" i="4" s="1"/>
  <c r="T70" i="4" s="1"/>
  <c r="U70" i="4" s="1"/>
  <c r="V70" i="4" s="1"/>
  <c r="W70" i="4" s="1"/>
  <c r="X70" i="4" s="1"/>
  <c r="Y70" i="4" s="1"/>
  <c r="L8" i="12"/>
  <c r="P35" i="4"/>
  <c r="Q35" i="4" s="1"/>
  <c r="R35" i="4" s="1"/>
  <c r="S35" i="4" s="1"/>
  <c r="T35" i="4" s="1"/>
  <c r="U35" i="4" s="1"/>
  <c r="V35" i="4" s="1"/>
  <c r="W35" i="4" s="1"/>
  <c r="X35" i="4" s="1"/>
  <c r="Y35" i="4" s="1"/>
  <c r="Z35" i="4" s="1"/>
  <c r="D61" i="14"/>
  <c r="L6" i="12"/>
  <c r="Z1" i="7"/>
  <c r="N67" i="4"/>
  <c r="K18" i="4"/>
  <c r="O14" i="7"/>
  <c r="M125" i="4"/>
  <c r="X50" i="14"/>
  <c r="X60" i="14" s="1"/>
  <c r="Y60" i="14"/>
  <c r="Y63" i="14" s="1"/>
  <c r="O18" i="4"/>
  <c r="N92" i="4"/>
  <c r="N120" i="4"/>
  <c r="N93" i="4"/>
  <c r="O92" i="4" s="1"/>
  <c r="M120" i="4"/>
  <c r="N76" i="4"/>
  <c r="N14" i="7" s="1"/>
  <c r="M67" i="4"/>
  <c r="M50" i="4"/>
  <c r="M54" i="4" s="1"/>
  <c r="M58" i="4"/>
  <c r="N80" i="4"/>
  <c r="L18" i="4"/>
  <c r="T18" i="4"/>
  <c r="U18" i="4"/>
  <c r="N59" i="4"/>
  <c r="N18" i="4"/>
  <c r="V18" i="4"/>
  <c r="Q32" i="4"/>
  <c r="Y18" i="4"/>
  <c r="P13" i="4"/>
  <c r="Q13" i="4" s="1"/>
  <c r="R13" i="4" s="1"/>
  <c r="S13" i="4" s="1"/>
  <c r="T13" i="4" s="1"/>
  <c r="U13" i="4" s="1"/>
  <c r="V13" i="4" s="1"/>
  <c r="W13" i="4" s="1"/>
  <c r="X13" i="4" s="1"/>
  <c r="Y13" i="4" s="1"/>
  <c r="Z13" i="4" s="1"/>
  <c r="W18" i="4"/>
  <c r="S18" i="4"/>
  <c r="X18" i="4"/>
  <c r="M60" i="4"/>
  <c r="M34" i="4"/>
  <c r="M66" i="4"/>
  <c r="M28" i="4"/>
  <c r="L80" i="4"/>
  <c r="M111" i="4"/>
  <c r="P82" i="4"/>
  <c r="M12" i="7"/>
  <c r="R22" i="4" l="1"/>
  <c r="Y8" i="12"/>
  <c r="Z70" i="4"/>
  <c r="Z8" i="12" s="1"/>
  <c r="N62" i="4"/>
  <c r="M62" i="4"/>
  <c r="N61" i="4"/>
  <c r="N74" i="4"/>
  <c r="N12" i="7" s="1"/>
  <c r="N60" i="4"/>
  <c r="N6" i="7"/>
  <c r="Q84" i="4"/>
  <c r="P12" i="4"/>
  <c r="N50" i="4"/>
  <c r="N54" i="4" s="1"/>
  <c r="M7" i="7"/>
  <c r="N18" i="7" s="1"/>
  <c r="O95" i="4"/>
  <c r="R32" i="4"/>
  <c r="M95" i="4"/>
  <c r="M126" i="4"/>
  <c r="M128" i="4" s="1"/>
  <c r="M130" i="4" s="1"/>
  <c r="M55" i="4"/>
  <c r="S22" i="4" l="1"/>
  <c r="N7" i="7"/>
  <c r="O18" i="7" s="1"/>
  <c r="S32" i="4"/>
  <c r="M8" i="7"/>
  <c r="R84" i="4"/>
  <c r="Q12" i="4"/>
  <c r="Q82" i="4"/>
  <c r="N95" i="4"/>
  <c r="N126" i="4"/>
  <c r="N128" i="4" s="1"/>
  <c r="N55" i="4"/>
  <c r="T22" i="4" l="1"/>
  <c r="U22" i="4" s="1"/>
  <c r="N8" i="7"/>
  <c r="T32" i="4"/>
  <c r="R82" i="4"/>
  <c r="R12" i="4"/>
  <c r="S84" i="4"/>
  <c r="P95" i="4"/>
  <c r="N3" i="12"/>
  <c r="N25" i="12" s="1"/>
  <c r="N134" i="4"/>
  <c r="N135" i="4" s="1"/>
  <c r="N6" i="12"/>
  <c r="N5" i="12"/>
  <c r="N7" i="12"/>
  <c r="N14" i="4"/>
  <c r="O14" i="4" s="1"/>
  <c r="V22" i="4" l="1"/>
  <c r="P14" i="4"/>
  <c r="P20" i="4" s="1"/>
  <c r="O20" i="4"/>
  <c r="Q95" i="4"/>
  <c r="S12" i="4"/>
  <c r="S82" i="4"/>
  <c r="U32" i="4"/>
  <c r="T84" i="4"/>
  <c r="L14" i="4"/>
  <c r="W22" i="4" l="1"/>
  <c r="X22" i="4" s="1"/>
  <c r="Y22" i="4" s="1"/>
  <c r="Z22" i="4" s="1"/>
  <c r="T12" i="4"/>
  <c r="T82" i="4"/>
  <c r="U84" i="4"/>
  <c r="V32" i="4"/>
  <c r="K14" i="4"/>
  <c r="J14" i="4" s="1"/>
  <c r="R95" i="4"/>
  <c r="M14" i="4"/>
  <c r="L79" i="4"/>
  <c r="L33" i="4" l="1"/>
  <c r="L17" i="7"/>
  <c r="W32" i="4"/>
  <c r="V84" i="4"/>
  <c r="S95" i="4"/>
  <c r="U82" i="4"/>
  <c r="U12" i="4"/>
  <c r="Q14" i="4" l="1"/>
  <c r="X32" i="4"/>
  <c r="V82" i="4"/>
  <c r="V12" i="4"/>
  <c r="T95" i="4"/>
  <c r="W84" i="4"/>
  <c r="P34" i="4" l="1"/>
  <c r="U95" i="4"/>
  <c r="W12" i="4"/>
  <c r="R14" i="4"/>
  <c r="Q20" i="4"/>
  <c r="X84" i="4"/>
  <c r="W82" i="4"/>
  <c r="N77" i="4"/>
  <c r="Q39" i="4" l="1"/>
  <c r="Y84" i="4"/>
  <c r="Z84" i="4"/>
  <c r="Y32" i="4"/>
  <c r="P33" i="4"/>
  <c r="P17" i="7"/>
  <c r="N78" i="4"/>
  <c r="N15" i="7"/>
  <c r="S14" i="4"/>
  <c r="R20" i="4"/>
  <c r="X82" i="4"/>
  <c r="X12" i="4"/>
  <c r="V95" i="4"/>
  <c r="Q44" i="24" l="1"/>
  <c r="Q35" i="24"/>
  <c r="Q31" i="24"/>
  <c r="Q40" i="4"/>
  <c r="Q30" i="22"/>
  <c r="Q34" i="4"/>
  <c r="Q28" i="4"/>
  <c r="Q79" i="4" s="1"/>
  <c r="Q107" i="4" s="1"/>
  <c r="R39" i="4"/>
  <c r="Y82" i="4"/>
  <c r="Z82" i="4"/>
  <c r="Z32" i="4"/>
  <c r="Z95" i="4"/>
  <c r="N81" i="4"/>
  <c r="N97" i="4" s="1"/>
  <c r="N16" i="7"/>
  <c r="N19" i="7" s="1"/>
  <c r="Y12" i="4"/>
  <c r="Z12" i="4" s="1"/>
  <c r="T14" i="4"/>
  <c r="S20" i="4"/>
  <c r="W95" i="4"/>
  <c r="R44" i="24" l="1"/>
  <c r="R35" i="24"/>
  <c r="R31" i="24"/>
  <c r="Q41" i="4"/>
  <c r="Q44" i="4" s="1"/>
  <c r="Q34" i="24" s="1"/>
  <c r="Q36" i="24" s="1"/>
  <c r="AM48" i="32" s="1"/>
  <c r="Q48" i="24"/>
  <c r="Q40" i="24"/>
  <c r="Q17" i="7"/>
  <c r="Q33" i="4"/>
  <c r="R34" i="4"/>
  <c r="R30" i="22"/>
  <c r="R28" i="4"/>
  <c r="R79" i="4" s="1"/>
  <c r="R33" i="4" s="1"/>
  <c r="S39" i="4"/>
  <c r="R40" i="4"/>
  <c r="N87" i="4"/>
  <c r="Y95" i="4"/>
  <c r="X95" i="4"/>
  <c r="U14" i="4"/>
  <c r="T20" i="4"/>
  <c r="Q42" i="4" l="1"/>
  <c r="Q11" i="20"/>
  <c r="Q22" i="22"/>
  <c r="S34" i="4"/>
  <c r="S44" i="24"/>
  <c r="S35" i="24"/>
  <c r="S31" i="24"/>
  <c r="R41" i="4"/>
  <c r="R44" i="4" s="1"/>
  <c r="R34" i="24" s="1"/>
  <c r="R36" i="24" s="1"/>
  <c r="AM49" i="32" s="1"/>
  <c r="R48" i="24"/>
  <c r="R40" i="24"/>
  <c r="Q45" i="4"/>
  <c r="R17" i="7"/>
  <c r="S28" i="4"/>
  <c r="S79" i="4" s="1"/>
  <c r="S17" i="7" s="1"/>
  <c r="S30" i="22"/>
  <c r="R107" i="4"/>
  <c r="T39" i="4"/>
  <c r="S40" i="4"/>
  <c r="P83" i="4"/>
  <c r="O68" i="4"/>
  <c r="O67" i="4"/>
  <c r="V14" i="4"/>
  <c r="U20" i="4"/>
  <c r="K43" i="7"/>
  <c r="R42" i="4" l="1"/>
  <c r="S41" i="4"/>
  <c r="S42" i="4" s="1"/>
  <c r="S40" i="24"/>
  <c r="S48" i="24"/>
  <c r="T44" i="24"/>
  <c r="T31" i="24"/>
  <c r="T35" i="24"/>
  <c r="R45" i="4"/>
  <c r="R22" i="22"/>
  <c r="R11" i="20"/>
  <c r="S33" i="4"/>
  <c r="T28" i="4"/>
  <c r="T79" i="4" s="1"/>
  <c r="T33" i="4" s="1"/>
  <c r="T30" i="22"/>
  <c r="S107" i="4"/>
  <c r="T34" i="4"/>
  <c r="U39" i="4"/>
  <c r="T40" i="4"/>
  <c r="W14" i="4"/>
  <c r="V20" i="4"/>
  <c r="W3" i="12"/>
  <c r="W25" i="12" s="1"/>
  <c r="X3" i="12"/>
  <c r="X25" i="12" s="1"/>
  <c r="S44" i="4" l="1"/>
  <c r="S34" i="24" s="1"/>
  <c r="S36" i="24" s="1"/>
  <c r="AM50" i="32" s="1"/>
  <c r="T17" i="7"/>
  <c r="T107" i="4"/>
  <c r="T41" i="4"/>
  <c r="T44" i="4" s="1"/>
  <c r="T34" i="24" s="1"/>
  <c r="T36" i="24" s="1"/>
  <c r="AM51" i="32" s="1"/>
  <c r="T40" i="24"/>
  <c r="T48" i="24"/>
  <c r="U44" i="24"/>
  <c r="U35" i="24"/>
  <c r="U31" i="24"/>
  <c r="U40" i="4"/>
  <c r="U30" i="22"/>
  <c r="U34" i="4"/>
  <c r="U28" i="4"/>
  <c r="U79" i="4" s="1"/>
  <c r="U33" i="4" s="1"/>
  <c r="V39" i="4"/>
  <c r="O6" i="7"/>
  <c r="Q83" i="4"/>
  <c r="O50" i="4"/>
  <c r="X14" i="4"/>
  <c r="W20" i="4"/>
  <c r="T42" i="4" l="1"/>
  <c r="S11" i="20"/>
  <c r="S22" i="22"/>
  <c r="S45" i="4"/>
  <c r="V44" i="24"/>
  <c r="V35" i="24"/>
  <c r="V31" i="24"/>
  <c r="U41" i="4"/>
  <c r="U40" i="24"/>
  <c r="U48" i="24"/>
  <c r="V28" i="4"/>
  <c r="V79" i="4" s="1"/>
  <c r="V33" i="4" s="1"/>
  <c r="V30" i="22"/>
  <c r="T45" i="4"/>
  <c r="T22" i="22"/>
  <c r="T11" i="20"/>
  <c r="W39" i="4"/>
  <c r="U17" i="7"/>
  <c r="U107" i="4"/>
  <c r="V34" i="4"/>
  <c r="Z6" i="12"/>
  <c r="Y6" i="12"/>
  <c r="O7" i="7"/>
  <c r="P18" i="7" s="1"/>
  <c r="R83" i="4"/>
  <c r="Y14" i="4"/>
  <c r="X20" i="4"/>
  <c r="C20" i="17"/>
  <c r="AC29" i="4" l="1"/>
  <c r="W44" i="24"/>
  <c r="W35" i="24"/>
  <c r="W31" i="24"/>
  <c r="U44" i="4"/>
  <c r="U42" i="4"/>
  <c r="W34" i="4"/>
  <c r="W28" i="4"/>
  <c r="W79" i="4" s="1"/>
  <c r="W33" i="4" s="1"/>
  <c r="W30" i="22"/>
  <c r="V17" i="7"/>
  <c r="X39" i="4"/>
  <c r="V107" i="4"/>
  <c r="Y20" i="4"/>
  <c r="Z14" i="4"/>
  <c r="Z20" i="4" s="1"/>
  <c r="O8" i="7"/>
  <c r="O53" i="4"/>
  <c r="P80" i="4" s="1"/>
  <c r="S83" i="4"/>
  <c r="C22" i="17"/>
  <c r="F23" i="7" l="1"/>
  <c r="Z28" i="34"/>
  <c r="R28" i="34"/>
  <c r="U29" i="20"/>
  <c r="M29" i="20"/>
  <c r="M30" i="20" s="1"/>
  <c r="W29" i="20"/>
  <c r="K28" i="34"/>
  <c r="K29" i="34" s="1"/>
  <c r="Y28" i="34"/>
  <c r="Q28" i="34"/>
  <c r="T29" i="20"/>
  <c r="L29" i="20"/>
  <c r="L30" i="20" s="1"/>
  <c r="S28" i="34"/>
  <c r="X28" i="34"/>
  <c r="P28" i="34"/>
  <c r="P30" i="34" s="1"/>
  <c r="S29" i="20"/>
  <c r="N29" i="20"/>
  <c r="N30" i="20" s="1"/>
  <c r="W28" i="34"/>
  <c r="O28" i="34"/>
  <c r="O30" i="34" s="1"/>
  <c r="Z29" i="20"/>
  <c r="R29" i="20"/>
  <c r="L28" i="34"/>
  <c r="L30" i="34" s="1"/>
  <c r="V28" i="34"/>
  <c r="N28" i="34"/>
  <c r="N30" i="34" s="1"/>
  <c r="Y29" i="20"/>
  <c r="Q29" i="20"/>
  <c r="K29" i="20"/>
  <c r="O29" i="20"/>
  <c r="O30" i="20" s="1"/>
  <c r="U28" i="34"/>
  <c r="M28" i="34"/>
  <c r="M30" i="34" s="1"/>
  <c r="X29" i="20"/>
  <c r="P29" i="20"/>
  <c r="P30" i="20" s="1"/>
  <c r="T28" i="34"/>
  <c r="V29" i="20"/>
  <c r="K15" i="34"/>
  <c r="O15" i="34"/>
  <c r="M15" i="34"/>
  <c r="L15" i="34"/>
  <c r="N15" i="34"/>
  <c r="P15" i="34"/>
  <c r="K30" i="34"/>
  <c r="K30" i="20"/>
  <c r="O15" i="20"/>
  <c r="L15" i="20"/>
  <c r="P15" i="20"/>
  <c r="K15" i="20"/>
  <c r="N15" i="20"/>
  <c r="M15" i="20"/>
  <c r="X44" i="24"/>
  <c r="X35" i="24"/>
  <c r="X31" i="24"/>
  <c r="U34" i="24"/>
  <c r="U36" i="24" s="1"/>
  <c r="AM52" i="32" s="1"/>
  <c r="U45" i="4"/>
  <c r="U22" i="22"/>
  <c r="U11" i="20"/>
  <c r="X28" i="4"/>
  <c r="X79" i="4" s="1"/>
  <c r="X33" i="4" s="1"/>
  <c r="X30" i="22"/>
  <c r="X34" i="4"/>
  <c r="W17" i="7"/>
  <c r="Y39" i="4"/>
  <c r="W107" i="4"/>
  <c r="O54" i="4"/>
  <c r="O126" i="4" s="1"/>
  <c r="O128" i="4" s="1"/>
  <c r="T83" i="4"/>
  <c r="L126" i="4"/>
  <c r="L127" i="4"/>
  <c r="L125" i="4"/>
  <c r="L124" i="4"/>
  <c r="L128" i="4" s="1"/>
  <c r="L119" i="4"/>
  <c r="L116" i="4"/>
  <c r="L68" i="4" s="1"/>
  <c r="L118" i="4"/>
  <c r="L115" i="4"/>
  <c r="L120" i="4" s="1"/>
  <c r="L107" i="4"/>
  <c r="L110" i="4"/>
  <c r="L105" i="4"/>
  <c r="L49" i="4"/>
  <c r="L85" i="4" s="1"/>
  <c r="L48" i="4"/>
  <c r="L84" i="4" s="1"/>
  <c r="C5" i="26" l="1"/>
  <c r="E3" i="25"/>
  <c r="C5" i="32"/>
  <c r="C6" i="26"/>
  <c r="C6" i="32"/>
  <c r="F3" i="25"/>
  <c r="C8" i="26"/>
  <c r="C8" i="32"/>
  <c r="H3" i="25"/>
  <c r="C3" i="32"/>
  <c r="C3" i="25"/>
  <c r="C3" i="26"/>
  <c r="C4" i="32"/>
  <c r="C4" i="26"/>
  <c r="D3" i="25"/>
  <c r="C7" i="32"/>
  <c r="C7" i="26"/>
  <c r="G3" i="25"/>
  <c r="Z39" i="4"/>
  <c r="Z28" i="4" s="1"/>
  <c r="Y44" i="24"/>
  <c r="Y35" i="24"/>
  <c r="Y31" i="24"/>
  <c r="Y28" i="4"/>
  <c r="Y79" i="4" s="1"/>
  <c r="Y17" i="7" s="1"/>
  <c r="Y30" i="22"/>
  <c r="X107" i="4"/>
  <c r="Y34" i="4"/>
  <c r="X17" i="7"/>
  <c r="L7" i="12"/>
  <c r="O55" i="4"/>
  <c r="M32" i="4"/>
  <c r="L95" i="4"/>
  <c r="L111" i="4"/>
  <c r="L130" i="4" s="1"/>
  <c r="L66" i="4"/>
  <c r="M75" i="4"/>
  <c r="M13" i="7" s="1"/>
  <c r="U83" i="4"/>
  <c r="K105" i="4"/>
  <c r="K116" i="4"/>
  <c r="K68" i="4" s="1"/>
  <c r="Z34" i="4" l="1"/>
  <c r="Z40" i="4"/>
  <c r="Z40" i="24" s="1"/>
  <c r="Z30" i="22"/>
  <c r="Z44" i="24"/>
  <c r="Z35" i="24"/>
  <c r="Z31" i="24"/>
  <c r="Y107" i="4"/>
  <c r="Y33" i="4"/>
  <c r="Z79" i="4"/>
  <c r="Z17" i="7" s="1"/>
  <c r="Z7" i="12"/>
  <c r="Y7" i="12"/>
  <c r="L5" i="12"/>
  <c r="L6" i="7"/>
  <c r="L50" i="4"/>
  <c r="L54" i="4" s="1"/>
  <c r="L55" i="4" s="1"/>
  <c r="K66" i="4"/>
  <c r="L75" i="4"/>
  <c r="V83" i="4"/>
  <c r="Z106" i="4" l="1"/>
  <c r="Z41" i="24" s="1"/>
  <c r="Z41" i="4"/>
  <c r="Z42" i="4" s="1"/>
  <c r="Z48" i="24"/>
  <c r="Z107" i="4"/>
  <c r="Z33" i="4"/>
  <c r="Z116" i="4"/>
  <c r="O135" i="4"/>
  <c r="O75" i="4"/>
  <c r="O66" i="4"/>
  <c r="K95" i="4"/>
  <c r="L32" i="4"/>
  <c r="L13" i="7"/>
  <c r="L7" i="7"/>
  <c r="M18" i="7" s="1"/>
  <c r="W83" i="4"/>
  <c r="Z44" i="4" l="1"/>
  <c r="Z6" i="7" s="1"/>
  <c r="Z7" i="7" s="1"/>
  <c r="Z8" i="7" s="1"/>
  <c r="Z134" i="4"/>
  <c r="Z49" i="24"/>
  <c r="Z50" i="24" s="1"/>
  <c r="Z17" i="24"/>
  <c r="Z9" i="24"/>
  <c r="Z13" i="24"/>
  <c r="Q105" i="4"/>
  <c r="Q45" i="24" s="1"/>
  <c r="Q46" i="24" s="1"/>
  <c r="AQ67" i="32" s="1"/>
  <c r="L8" i="7"/>
  <c r="K6" i="7"/>
  <c r="K58" i="4"/>
  <c r="K50" i="4"/>
  <c r="K54" i="4" s="1"/>
  <c r="P75" i="4"/>
  <c r="P13" i="7" s="1"/>
  <c r="O13" i="7"/>
  <c r="O78" i="4"/>
  <c r="O16" i="7" s="1"/>
  <c r="X83" i="4"/>
  <c r="I7" i="12"/>
  <c r="H7" i="12"/>
  <c r="G7" i="12"/>
  <c r="B7" i="12"/>
  <c r="A7" i="12"/>
  <c r="I6" i="12"/>
  <c r="H6" i="12"/>
  <c r="G6" i="12"/>
  <c r="B6" i="12"/>
  <c r="A6" i="12"/>
  <c r="I5" i="12"/>
  <c r="H5" i="12"/>
  <c r="G5" i="12"/>
  <c r="B5" i="12"/>
  <c r="A5" i="12"/>
  <c r="V3" i="12"/>
  <c r="V25" i="12" s="1"/>
  <c r="U3" i="12"/>
  <c r="U25" i="12" s="1"/>
  <c r="T3" i="12"/>
  <c r="T25" i="12" s="1"/>
  <c r="S3" i="12"/>
  <c r="S25" i="12" s="1"/>
  <c r="R3" i="12"/>
  <c r="R25" i="12" s="1"/>
  <c r="Q3" i="12"/>
  <c r="Q25" i="12" s="1"/>
  <c r="P3" i="12"/>
  <c r="P25" i="12" s="1"/>
  <c r="O3" i="12"/>
  <c r="O25" i="12" s="1"/>
  <c r="M3" i="12"/>
  <c r="M25" i="12" s="1"/>
  <c r="K3" i="12"/>
  <c r="J3" i="12"/>
  <c r="K8" i="12"/>
  <c r="I8" i="12"/>
  <c r="H8" i="12"/>
  <c r="A8" i="12"/>
  <c r="I3" i="12"/>
  <c r="H3" i="12"/>
  <c r="G3" i="12"/>
  <c r="Z22" i="22" l="1"/>
  <c r="Z34" i="24"/>
  <c r="Z36" i="24" s="1"/>
  <c r="Z45" i="4"/>
  <c r="Z11" i="20"/>
  <c r="K108" i="4"/>
  <c r="L62" i="4"/>
  <c r="Y83" i="4"/>
  <c r="Z83" i="4"/>
  <c r="K55" i="4"/>
  <c r="K126" i="4"/>
  <c r="Q75" i="4"/>
  <c r="Q13" i="7" s="1"/>
  <c r="K7" i="7"/>
  <c r="I134" i="4"/>
  <c r="I135" i="4" s="1"/>
  <c r="H134" i="4"/>
  <c r="H135" i="4" s="1"/>
  <c r="J125" i="4"/>
  <c r="K125" i="4" s="1"/>
  <c r="J124" i="4"/>
  <c r="J128" i="4" s="1"/>
  <c r="J119" i="4"/>
  <c r="K119" i="4" s="1"/>
  <c r="J118" i="4"/>
  <c r="J117" i="4"/>
  <c r="K117" i="4" s="1"/>
  <c r="J116" i="4"/>
  <c r="J115" i="4"/>
  <c r="I115" i="4"/>
  <c r="J110" i="4"/>
  <c r="K110" i="4" s="1"/>
  <c r="J109" i="4"/>
  <c r="K109" i="4" s="1"/>
  <c r="J107" i="4"/>
  <c r="K107" i="4" s="1"/>
  <c r="J105" i="4"/>
  <c r="D88" i="4"/>
  <c r="G79" i="4"/>
  <c r="G33" i="4" s="1"/>
  <c r="J58" i="4"/>
  <c r="J49" i="4"/>
  <c r="J35" i="4" s="1"/>
  <c r="K111" i="4" l="1"/>
  <c r="N88" i="4"/>
  <c r="N90" i="4" s="1"/>
  <c r="H32" i="4"/>
  <c r="J32" i="4"/>
  <c r="J70" i="4"/>
  <c r="J95" i="4" s="1"/>
  <c r="K32" i="4"/>
  <c r="R105" i="4"/>
  <c r="J111" i="4"/>
  <c r="J66" i="4"/>
  <c r="J5" i="12" s="1"/>
  <c r="K75" i="4"/>
  <c r="I32" i="4"/>
  <c r="J120" i="4"/>
  <c r="J134" i="4"/>
  <c r="J135" i="4" s="1"/>
  <c r="J68" i="4"/>
  <c r="J6" i="12"/>
  <c r="R75" i="4" l="1"/>
  <c r="R13" i="7" s="1"/>
  <c r="R45" i="24"/>
  <c r="R46" i="24" s="1"/>
  <c r="AQ68" i="32" s="1"/>
  <c r="J130" i="4"/>
  <c r="S105" i="4"/>
  <c r="K13" i="7"/>
  <c r="J50" i="4"/>
  <c r="J54" i="4" s="1"/>
  <c r="J55" i="4" s="1"/>
  <c r="J6" i="7"/>
  <c r="J59" i="4"/>
  <c r="J60" i="4" s="1"/>
  <c r="J8" i="12"/>
  <c r="N8" i="12"/>
  <c r="J7" i="12"/>
  <c r="M8" i="12"/>
  <c r="S75" i="4" l="1"/>
  <c r="S13" i="7" s="1"/>
  <c r="S45" i="24"/>
  <c r="S46" i="24" s="1"/>
  <c r="AQ69" i="32" s="1"/>
  <c r="T105" i="4"/>
  <c r="O8" i="12"/>
  <c r="T75" i="4" l="1"/>
  <c r="T13" i="7" s="1"/>
  <c r="T45" i="24"/>
  <c r="T46" i="24" s="1"/>
  <c r="AQ70" i="32" s="1"/>
  <c r="U105" i="4"/>
  <c r="P8" i="12"/>
  <c r="M5" i="12"/>
  <c r="M7" i="12"/>
  <c r="L134" i="4"/>
  <c r="L135" i="4" s="1"/>
  <c r="U75" i="4" l="1"/>
  <c r="U13" i="7" s="1"/>
  <c r="U45" i="24"/>
  <c r="U46" i="24" s="1"/>
  <c r="AQ71" i="32" s="1"/>
  <c r="V105" i="4"/>
  <c r="M134" i="4"/>
  <c r="M135" i="4" s="1"/>
  <c r="M77" i="4"/>
  <c r="Q8" i="12"/>
  <c r="V75" i="4" l="1"/>
  <c r="V13" i="7" s="1"/>
  <c r="V45" i="24"/>
  <c r="V46" i="24" s="1"/>
  <c r="AQ72" i="32" s="1"/>
  <c r="W105" i="4"/>
  <c r="M15" i="7"/>
  <c r="M78" i="4"/>
  <c r="R8" i="12"/>
  <c r="W75" i="4" l="1"/>
  <c r="W13" i="7" s="1"/>
  <c r="W45" i="24"/>
  <c r="W46" i="24" s="1"/>
  <c r="AQ73" i="32" s="1"/>
  <c r="Y5" i="12"/>
  <c r="X105" i="4"/>
  <c r="M16" i="7"/>
  <c r="M19" i="7" s="1"/>
  <c r="M81" i="4"/>
  <c r="S8" i="12"/>
  <c r="X75" i="4" l="1"/>
  <c r="X13" i="7" s="1"/>
  <c r="X45" i="24"/>
  <c r="X46" i="24" s="1"/>
  <c r="AQ74" i="32" s="1"/>
  <c r="Y105" i="4"/>
  <c r="M97" i="4"/>
  <c r="T8" i="12"/>
  <c r="Y75" i="4" l="1"/>
  <c r="Y13" i="7" s="1"/>
  <c r="Y45" i="24"/>
  <c r="Y46" i="24" s="1"/>
  <c r="Z105" i="4"/>
  <c r="Z5" i="12"/>
  <c r="M88" i="4"/>
  <c r="M87" i="4"/>
  <c r="U8" i="12"/>
  <c r="AQ75" i="32" l="1"/>
  <c r="AQ76" i="32"/>
  <c r="Z75" i="4"/>
  <c r="Z13" i="7" s="1"/>
  <c r="Z45" i="24"/>
  <c r="Z46" i="24" s="1"/>
  <c r="Z135" i="4"/>
  <c r="M90" i="4"/>
  <c r="V8" i="12"/>
  <c r="W8" i="12"/>
  <c r="X8" i="12" l="1"/>
  <c r="K77" i="4" l="1"/>
  <c r="K134" i="4"/>
  <c r="K135" i="4" s="1"/>
  <c r="K5" i="12"/>
  <c r="K6" i="12"/>
  <c r="K7" i="12"/>
  <c r="K15" i="7" l="1"/>
  <c r="K78" i="4"/>
  <c r="L77" i="4"/>
  <c r="L15" i="7" l="1"/>
  <c r="L78" i="4"/>
  <c r="K16" i="7"/>
  <c r="K19" i="7" s="1"/>
  <c r="K81" i="4"/>
  <c r="M6" i="12"/>
  <c r="K97" i="4" l="1"/>
  <c r="L16" i="7"/>
  <c r="L19" i="7" s="1"/>
  <c r="L81" i="4"/>
  <c r="O5" i="12"/>
  <c r="S7" i="12"/>
  <c r="P7" i="12"/>
  <c r="O7" i="12"/>
  <c r="Q7" i="12"/>
  <c r="K88" i="4" l="1"/>
  <c r="K87" i="4"/>
  <c r="L97" i="4"/>
  <c r="K124" i="4"/>
  <c r="K128" i="4" s="1"/>
  <c r="R7" i="12"/>
  <c r="K115" i="4" l="1"/>
  <c r="K120" i="4" s="1"/>
  <c r="K130" i="4" s="1"/>
  <c r="K90" i="4"/>
  <c r="L87" i="4"/>
  <c r="L88" i="4"/>
  <c r="T7" i="12"/>
  <c r="L90" i="4" l="1"/>
  <c r="U7" i="12"/>
  <c r="V7" i="12" l="1"/>
  <c r="W7" i="12" l="1"/>
  <c r="X7" i="12" l="1"/>
  <c r="O6" i="12" l="1"/>
  <c r="P6" i="12" l="1"/>
  <c r="Q6" i="12" l="1"/>
  <c r="R6" i="12" l="1"/>
  <c r="S6" i="12" l="1"/>
  <c r="T6" i="12" l="1"/>
  <c r="U6" i="12" l="1"/>
  <c r="V6" i="12" l="1"/>
  <c r="W6" i="12" l="1"/>
  <c r="X6" i="12" l="1"/>
  <c r="P5" i="12" l="1"/>
  <c r="Q5" i="12"/>
  <c r="R5" i="12"/>
  <c r="S5" i="12"/>
  <c r="T5" i="12"/>
  <c r="U5" i="12"/>
  <c r="V5" i="12"/>
  <c r="W5" i="12"/>
  <c r="X5" i="12"/>
  <c r="O130" i="4" l="1"/>
  <c r="P134" i="4" l="1"/>
  <c r="P6" i="7" l="1"/>
  <c r="P7" i="7" s="1"/>
  <c r="Q18" i="7" s="1"/>
  <c r="P15" i="7"/>
  <c r="P76" i="4"/>
  <c r="P14" i="7" s="1"/>
  <c r="P135" i="4"/>
  <c r="P78" i="4" l="1"/>
  <c r="P16" i="7" s="1"/>
  <c r="P8" i="7"/>
  <c r="Q116" i="4"/>
  <c r="Q77" i="4" l="1"/>
  <c r="Q15" i="7" s="1"/>
  <c r="Q49" i="24"/>
  <c r="Q50" i="24" s="1"/>
  <c r="AR67" i="32" s="1"/>
  <c r="Q9" i="24"/>
  <c r="Q17" i="24"/>
  <c r="Q13" i="24"/>
  <c r="Q106" i="4"/>
  <c r="Q76" i="4" l="1"/>
  <c r="Q14" i="7" s="1"/>
  <c r="Q41" i="24"/>
  <c r="Q6" i="7"/>
  <c r="Q134" i="4"/>
  <c r="Q135" i="4" s="1"/>
  <c r="R106" i="4"/>
  <c r="S106" i="4"/>
  <c r="S41" i="24" s="1"/>
  <c r="T106" i="4"/>
  <c r="T41" i="24" s="1"/>
  <c r="U116" i="4"/>
  <c r="V40" i="4"/>
  <c r="W40" i="4"/>
  <c r="X40" i="4"/>
  <c r="Y40" i="4"/>
  <c r="T42" i="24" l="1"/>
  <c r="AP70" i="32" s="1"/>
  <c r="Q78" i="4"/>
  <c r="Q16" i="7" s="1"/>
  <c r="R76" i="4"/>
  <c r="R14" i="7" s="1"/>
  <c r="R41" i="24"/>
  <c r="S42" i="24" s="1"/>
  <c r="AP69" i="32" s="1"/>
  <c r="Y116" i="4"/>
  <c r="Y49" i="24" s="1"/>
  <c r="Y48" i="24"/>
  <c r="Y40" i="24"/>
  <c r="X41" i="4"/>
  <c r="X42" i="4" s="1"/>
  <c r="X40" i="24"/>
  <c r="X48" i="24"/>
  <c r="V106" i="4"/>
  <c r="V41" i="24" s="1"/>
  <c r="V40" i="24"/>
  <c r="V48" i="24"/>
  <c r="Q42" i="24"/>
  <c r="AP67" i="32" s="1"/>
  <c r="W116" i="4"/>
  <c r="W49" i="24" s="1"/>
  <c r="W40" i="24"/>
  <c r="W48" i="24"/>
  <c r="U134" i="4"/>
  <c r="U49" i="24"/>
  <c r="U50" i="24" s="1"/>
  <c r="AR71" i="32" s="1"/>
  <c r="U17" i="24"/>
  <c r="U13" i="24"/>
  <c r="U9" i="24"/>
  <c r="Y41" i="4"/>
  <c r="Y42" i="4" s="1"/>
  <c r="Y106" i="4"/>
  <c r="Y41" i="24" s="1"/>
  <c r="Z42" i="24" s="1"/>
  <c r="R6" i="7"/>
  <c r="R7" i="7" s="1"/>
  <c r="S18" i="7" s="1"/>
  <c r="X116" i="4"/>
  <c r="X106" i="4"/>
  <c r="X41" i="24" s="1"/>
  <c r="T6" i="7"/>
  <c r="T7" i="7" s="1"/>
  <c r="T8" i="7" s="1"/>
  <c r="V116" i="4"/>
  <c r="S116" i="4"/>
  <c r="W41" i="4"/>
  <c r="W44" i="4" s="1"/>
  <c r="W34" i="24" s="1"/>
  <c r="W36" i="24" s="1"/>
  <c r="AM54" i="32" s="1"/>
  <c r="V41" i="4"/>
  <c r="W106" i="4"/>
  <c r="R116" i="4"/>
  <c r="U106" i="4"/>
  <c r="T116" i="4"/>
  <c r="T76" i="4"/>
  <c r="T14" i="7" s="1"/>
  <c r="S76" i="4"/>
  <c r="S14" i="7" s="1"/>
  <c r="Q7" i="7"/>
  <c r="R18" i="7" s="1"/>
  <c r="Q14" i="22" l="1"/>
  <c r="Y134" i="4"/>
  <c r="Y135" i="4" s="1"/>
  <c r="Z77" i="4"/>
  <c r="Z15" i="7" s="1"/>
  <c r="Y50" i="24"/>
  <c r="Y13" i="24"/>
  <c r="Y9" i="24"/>
  <c r="Y17" i="24"/>
  <c r="W50" i="24"/>
  <c r="AR73" i="32" s="1"/>
  <c r="W9" i="24"/>
  <c r="W17" i="24"/>
  <c r="V76" i="4"/>
  <c r="V14" i="7" s="1"/>
  <c r="U41" i="24"/>
  <c r="W76" i="4"/>
  <c r="W14" i="7" s="1"/>
  <c r="W41" i="24"/>
  <c r="W42" i="24" s="1"/>
  <c r="AP73" i="32" s="1"/>
  <c r="R42" i="24"/>
  <c r="AP68" i="32" s="1"/>
  <c r="W13" i="24"/>
  <c r="Y42" i="24"/>
  <c r="W134" i="4"/>
  <c r="W135" i="4" s="1"/>
  <c r="X44" i="4"/>
  <c r="X34" i="24" s="1"/>
  <c r="X36" i="24" s="1"/>
  <c r="AM55" i="32" s="1"/>
  <c r="T134" i="4"/>
  <c r="T135" i="4" s="1"/>
  <c r="T49" i="24"/>
  <c r="T50" i="24" s="1"/>
  <c r="AR70" i="32" s="1"/>
  <c r="T9" i="24"/>
  <c r="T13" i="24"/>
  <c r="T17" i="24"/>
  <c r="V134" i="4"/>
  <c r="V135" i="4" s="1"/>
  <c r="V49" i="24"/>
  <c r="V50" i="24" s="1"/>
  <c r="AR72" i="32" s="1"/>
  <c r="V9" i="24"/>
  <c r="V13" i="24"/>
  <c r="V17" i="24"/>
  <c r="Y77" i="4"/>
  <c r="Y15" i="7" s="1"/>
  <c r="X49" i="24"/>
  <c r="X50" i="24" s="1"/>
  <c r="AR74" i="32" s="1"/>
  <c r="X13" i="24"/>
  <c r="X17" i="24"/>
  <c r="X9" i="24"/>
  <c r="R49" i="24"/>
  <c r="R50" i="24" s="1"/>
  <c r="AR68" i="32" s="1"/>
  <c r="R17" i="24"/>
  <c r="R9" i="24"/>
  <c r="R13" i="24"/>
  <c r="S134" i="4"/>
  <c r="S135" i="4" s="1"/>
  <c r="S49" i="24"/>
  <c r="S50" i="24" s="1"/>
  <c r="AR69" i="32" s="1"/>
  <c r="S9" i="24"/>
  <c r="S13" i="24"/>
  <c r="S17" i="24"/>
  <c r="W45" i="4"/>
  <c r="W22" i="22"/>
  <c r="W11" i="20"/>
  <c r="Z76" i="4"/>
  <c r="Y76" i="4"/>
  <c r="X134" i="4"/>
  <c r="X135" i="4" s="1"/>
  <c r="Y44" i="4"/>
  <c r="Y34" i="24" s="1"/>
  <c r="Y36" i="24" s="1"/>
  <c r="W77" i="4"/>
  <c r="W15" i="7" s="1"/>
  <c r="V77" i="4"/>
  <c r="V15" i="7" s="1"/>
  <c r="X77" i="4"/>
  <c r="X15" i="7" s="1"/>
  <c r="S77" i="4"/>
  <c r="S15" i="7" s="1"/>
  <c r="W6" i="7"/>
  <c r="W7" i="7" s="1"/>
  <c r="X18" i="7" s="1"/>
  <c r="S6" i="7"/>
  <c r="S7" i="7" s="1"/>
  <c r="S8" i="7" s="1"/>
  <c r="W42" i="4"/>
  <c r="U18" i="7"/>
  <c r="X76" i="4"/>
  <c r="X14" i="7" s="1"/>
  <c r="U76" i="4"/>
  <c r="U14" i="7" s="1"/>
  <c r="U6" i="7"/>
  <c r="V44" i="4"/>
  <c r="V34" i="24" s="1"/>
  <c r="V36" i="24" s="1"/>
  <c r="AM53" i="32" s="1"/>
  <c r="V42" i="4"/>
  <c r="U135" i="4"/>
  <c r="U77" i="4"/>
  <c r="U15" i="7" s="1"/>
  <c r="R77" i="4"/>
  <c r="R134" i="4"/>
  <c r="R135" i="4" s="1"/>
  <c r="T77" i="4"/>
  <c r="T15" i="7" s="1"/>
  <c r="R8" i="7"/>
  <c r="Q8" i="7"/>
  <c r="AR75" i="32" l="1"/>
  <c r="AR76" i="32"/>
  <c r="AM57" i="32"/>
  <c r="AM56" i="32"/>
  <c r="AP75" i="32"/>
  <c r="AP76" i="32"/>
  <c r="X6" i="7"/>
  <c r="X7" i="7" s="1"/>
  <c r="Y18" i="7" s="1"/>
  <c r="X11" i="20"/>
  <c r="X45" i="4"/>
  <c r="X22" i="22"/>
  <c r="X42" i="24"/>
  <c r="AP74" i="32" s="1"/>
  <c r="V42" i="24"/>
  <c r="AP72" i="32" s="1"/>
  <c r="U42" i="24"/>
  <c r="AP71" i="32" s="1"/>
  <c r="Y6" i="7"/>
  <c r="Y7" i="7" s="1"/>
  <c r="Z18" i="7" s="1"/>
  <c r="Y22" i="22"/>
  <c r="Y11" i="20"/>
  <c r="V22" i="22"/>
  <c r="V11" i="20"/>
  <c r="W78" i="4"/>
  <c r="Y78" i="4"/>
  <c r="Y14" i="7"/>
  <c r="Z78" i="4"/>
  <c r="Z14" i="7"/>
  <c r="Y45" i="4"/>
  <c r="V78" i="4"/>
  <c r="T18" i="7"/>
  <c r="S78" i="4"/>
  <c r="W8" i="7"/>
  <c r="T78" i="4"/>
  <c r="U78" i="4"/>
  <c r="X78" i="4"/>
  <c r="V6" i="7"/>
  <c r="V45" i="4"/>
  <c r="R15" i="7"/>
  <c r="R78" i="4"/>
  <c r="U7" i="7"/>
  <c r="V18" i="7" s="1"/>
  <c r="S16" i="7" l="1"/>
  <c r="S14" i="22"/>
  <c r="Y16" i="7"/>
  <c r="Y14" i="22"/>
  <c r="R16" i="7"/>
  <c r="R14" i="22"/>
  <c r="V16" i="7"/>
  <c r="V14" i="22"/>
  <c r="W16" i="7"/>
  <c r="W14" i="22"/>
  <c r="X16" i="7"/>
  <c r="X14" i="22"/>
  <c r="U16" i="7"/>
  <c r="U14" i="22"/>
  <c r="Z16" i="7"/>
  <c r="Z14" i="22"/>
  <c r="T16" i="7"/>
  <c r="T14" i="22"/>
  <c r="Y8" i="7"/>
  <c r="X8" i="7"/>
  <c r="V7" i="7"/>
  <c r="W18" i="7" s="1"/>
  <c r="U8" i="7"/>
  <c r="V8" i="7" l="1"/>
  <c r="P50" i="4" l="1"/>
  <c r="P51" i="4" s="1"/>
  <c r="P53" i="4" s="1"/>
  <c r="P85" i="4"/>
  <c r="Q80" i="4" l="1"/>
  <c r="P54" i="4"/>
  <c r="P126" i="4" s="1"/>
  <c r="Q127" i="4" l="1"/>
  <c r="P128" i="4"/>
  <c r="P55" i="4"/>
  <c r="L51" i="14" l="1"/>
  <c r="L59" i="14"/>
  <c r="N110" i="4"/>
  <c r="N111" i="4" s="1"/>
  <c r="N130" i="4" l="1"/>
  <c r="L61" i="14"/>
  <c r="Y64" i="14" s="1"/>
  <c r="P58" i="4"/>
  <c r="Q58" i="4" s="1"/>
  <c r="R58" i="4" s="1"/>
  <c r="S58" i="4" s="1"/>
  <c r="T58" i="4" s="1"/>
  <c r="U58" i="4" s="1"/>
  <c r="V58" i="4" s="1"/>
  <c r="W58" i="4" s="1"/>
  <c r="X58" i="4" s="1"/>
  <c r="Y58" i="4" s="1"/>
  <c r="Z58" i="4" s="1"/>
  <c r="O59" i="4"/>
  <c r="O74" i="4"/>
  <c r="O81" i="4" s="1"/>
  <c r="O97" i="4" s="1"/>
  <c r="O88" i="4" s="1"/>
  <c r="O87" i="4" s="1"/>
  <c r="O90" i="4" s="1"/>
  <c r="O12" i="7"/>
  <c r="O19" i="7" s="1"/>
  <c r="O28" i="7" s="1"/>
  <c r="O34" i="7" s="1"/>
  <c r="P59" i="4" l="1"/>
  <c r="P61" i="4" s="1"/>
  <c r="P62" i="4"/>
  <c r="O60" i="4"/>
  <c r="O61" i="4"/>
  <c r="Q62" i="4"/>
  <c r="P74" i="4" l="1"/>
  <c r="P12" i="7" s="1"/>
  <c r="P19" i="7" s="1"/>
  <c r="P28" i="7" s="1"/>
  <c r="P34" i="7" s="1"/>
  <c r="P60" i="4"/>
  <c r="R62" i="4"/>
  <c r="Q59" i="4"/>
  <c r="Q108" i="4"/>
  <c r="Q61" i="4" l="1"/>
  <c r="Q59" i="24"/>
  <c r="P81" i="4"/>
  <c r="P97" i="4" s="1"/>
  <c r="P87" i="4" s="1"/>
  <c r="R108" i="4"/>
  <c r="S62" i="4"/>
  <c r="R59" i="4"/>
  <c r="Q74" i="4"/>
  <c r="Q60" i="4"/>
  <c r="R61" i="4" l="1"/>
  <c r="R59" i="24"/>
  <c r="S108" i="4"/>
  <c r="P88" i="4"/>
  <c r="Q81" i="4"/>
  <c r="Q12" i="7"/>
  <c r="Q19" i="7" s="1"/>
  <c r="Q28" i="7" s="1"/>
  <c r="R60" i="4"/>
  <c r="R74" i="4"/>
  <c r="T62" i="4"/>
  <c r="S59" i="4"/>
  <c r="S61" i="4" l="1"/>
  <c r="S59" i="24"/>
  <c r="U62" i="4"/>
  <c r="T59" i="4"/>
  <c r="R12" i="7"/>
  <c r="R19" i="7" s="1"/>
  <c r="R28" i="7" s="1"/>
  <c r="R34" i="7" s="1"/>
  <c r="Q34" i="7"/>
  <c r="P90" i="4"/>
  <c r="P93" i="4" s="1"/>
  <c r="S60" i="4"/>
  <c r="S74" i="4"/>
  <c r="T108" i="4"/>
  <c r="U108" i="4" s="1"/>
  <c r="T61" i="4" l="1"/>
  <c r="T59" i="24"/>
  <c r="S12" i="7"/>
  <c r="S19" i="7" s="1"/>
  <c r="S28" i="7" s="1"/>
  <c r="S34" i="7" s="1"/>
  <c r="Q92" i="4"/>
  <c r="P104" i="4"/>
  <c r="U59" i="4"/>
  <c r="P120" i="4"/>
  <c r="K40" i="7"/>
  <c r="T60" i="4"/>
  <c r="T74" i="4"/>
  <c r="U61" i="4" l="1"/>
  <c r="U59" i="24"/>
  <c r="V108" i="4"/>
  <c r="V62" i="4"/>
  <c r="U60" i="4"/>
  <c r="U74" i="4"/>
  <c r="T12" i="7"/>
  <c r="T19" i="7" s="1"/>
  <c r="T28" i="7" s="1"/>
  <c r="V59" i="4"/>
  <c r="P111" i="4"/>
  <c r="P130" i="4" s="1"/>
  <c r="C7" i="18"/>
  <c r="E7" i="18" s="1"/>
  <c r="F7" i="18" s="1"/>
  <c r="V61" i="4" l="1"/>
  <c r="V59" i="24"/>
  <c r="W108" i="4"/>
  <c r="W62" i="4"/>
  <c r="C4" i="18"/>
  <c r="E4" i="18" s="1"/>
  <c r="W59" i="4"/>
  <c r="X62" i="4"/>
  <c r="T34" i="7"/>
  <c r="V74" i="4"/>
  <c r="V60" i="4"/>
  <c r="U12" i="7"/>
  <c r="U19" i="7" s="1"/>
  <c r="U28" i="7" s="1"/>
  <c r="U34" i="7" s="1"/>
  <c r="W61" i="4" l="1"/>
  <c r="W59" i="24"/>
  <c r="V12" i="7"/>
  <c r="V19" i="7" s="1"/>
  <c r="V28" i="7" s="1"/>
  <c r="X59" i="4"/>
  <c r="Y62" i="4"/>
  <c r="X108" i="4"/>
  <c r="W74" i="4"/>
  <c r="W60" i="4"/>
  <c r="X61" i="4" l="1"/>
  <c r="X59" i="24"/>
  <c r="Y108" i="4"/>
  <c r="Y59" i="4"/>
  <c r="W12" i="7"/>
  <c r="W19" i="7" s="1"/>
  <c r="W28" i="7" s="1"/>
  <c r="W34" i="7" s="1"/>
  <c r="X74" i="4"/>
  <c r="X60" i="4"/>
  <c r="V34" i="7"/>
  <c r="Y61" i="4" l="1"/>
  <c r="Y59" i="24"/>
  <c r="Z59" i="4"/>
  <c r="Z62" i="4"/>
  <c r="AA62" i="4"/>
  <c r="Z108" i="4"/>
  <c r="X12" i="7"/>
  <c r="X19" i="7" s="1"/>
  <c r="X28" i="7" s="1"/>
  <c r="Y74" i="4"/>
  <c r="Y60" i="4"/>
  <c r="Z60" i="4" l="1"/>
  <c r="Z59" i="24"/>
  <c r="AA61" i="4"/>
  <c r="Z61" i="4"/>
  <c r="Z74" i="4"/>
  <c r="Z12" i="7" s="1"/>
  <c r="Z19" i="7" s="1"/>
  <c r="X34" i="7"/>
  <c r="Y12" i="7"/>
  <c r="Y19" i="7" s="1"/>
  <c r="Y28" i="7" s="1"/>
  <c r="Y34" i="7" s="1"/>
  <c r="Z26" i="7" l="1"/>
  <c r="Z28" i="7" s="1"/>
  <c r="Z34" i="7" l="1"/>
  <c r="K34" i="7" s="1"/>
  <c r="K30" i="7"/>
  <c r="C2" i="18" l="1"/>
  <c r="E2" i="18" s="1"/>
  <c r="F2" i="18" s="1"/>
  <c r="K35" i="7"/>
  <c r="K31" i="7"/>
  <c r="K42" i="7"/>
  <c r="K32" i="7"/>
  <c r="K44" i="7" l="1"/>
  <c r="C9" i="18"/>
  <c r="E9" i="18" s="1"/>
  <c r="F9" i="18" s="1"/>
  <c r="K46" i="7" l="1"/>
  <c r="C11" i="18"/>
  <c r="E11" i="18" s="1"/>
  <c r="F11" i="18" s="1"/>
  <c r="K47" i="7" l="1"/>
  <c r="K57" i="7"/>
  <c r="Q49" i="4" l="1"/>
  <c r="R49" i="4"/>
  <c r="S49" i="4"/>
  <c r="T49" i="4"/>
  <c r="U49" i="4"/>
  <c r="V49" i="4"/>
  <c r="W49" i="4"/>
  <c r="X49" i="4"/>
  <c r="Y49" i="4"/>
  <c r="Z49" i="4"/>
  <c r="Q50" i="4"/>
  <c r="R50" i="4"/>
  <c r="S50" i="4"/>
  <c r="T50" i="4"/>
  <c r="U50" i="4"/>
  <c r="V50" i="4"/>
  <c r="W50" i="4"/>
  <c r="X50" i="4"/>
  <c r="Y50" i="4"/>
  <c r="Z50" i="4"/>
  <c r="Q51" i="4"/>
  <c r="R51" i="4"/>
  <c r="S51" i="4"/>
  <c r="T51" i="4"/>
  <c r="U51" i="4"/>
  <c r="V51" i="4"/>
  <c r="W51" i="4"/>
  <c r="X51" i="4"/>
  <c r="Y51" i="4"/>
  <c r="Z51" i="4"/>
  <c r="Q53" i="4"/>
  <c r="R53" i="4"/>
  <c r="S53" i="4"/>
  <c r="T53" i="4"/>
  <c r="U53" i="4"/>
  <c r="V53" i="4"/>
  <c r="W53" i="4"/>
  <c r="X53" i="4"/>
  <c r="Y53" i="4"/>
  <c r="Z53" i="4"/>
  <c r="Q54" i="4"/>
  <c r="R54" i="4"/>
  <c r="S54" i="4"/>
  <c r="T54" i="4"/>
  <c r="U54" i="4"/>
  <c r="V54" i="4"/>
  <c r="W54" i="4"/>
  <c r="X54" i="4"/>
  <c r="Y54" i="4"/>
  <c r="Z54" i="4"/>
  <c r="Q55" i="4"/>
  <c r="R55" i="4"/>
  <c r="S55" i="4"/>
  <c r="T55" i="4"/>
  <c r="U55" i="4"/>
  <c r="V55" i="4"/>
  <c r="W55" i="4"/>
  <c r="X55" i="4"/>
  <c r="Y55" i="4"/>
  <c r="Z55" i="4"/>
  <c r="R80" i="4"/>
  <c r="S80" i="4"/>
  <c r="T80" i="4"/>
  <c r="U80" i="4"/>
  <c r="V80" i="4"/>
  <c r="W80" i="4"/>
  <c r="X80" i="4"/>
  <c r="Y80" i="4"/>
  <c r="Z80" i="4"/>
  <c r="R81" i="4"/>
  <c r="S81" i="4"/>
  <c r="T81" i="4"/>
  <c r="U81" i="4"/>
  <c r="V81" i="4"/>
  <c r="W81" i="4"/>
  <c r="X81" i="4"/>
  <c r="Y81" i="4"/>
  <c r="Z81" i="4"/>
  <c r="Q85" i="4"/>
  <c r="R85" i="4"/>
  <c r="S85" i="4"/>
  <c r="T85" i="4"/>
  <c r="U85" i="4"/>
  <c r="V85" i="4"/>
  <c r="W85" i="4"/>
  <c r="X85" i="4"/>
  <c r="Y85" i="4"/>
  <c r="Z85" i="4"/>
  <c r="Q87" i="4"/>
  <c r="R87" i="4"/>
  <c r="S87" i="4"/>
  <c r="T87" i="4"/>
  <c r="U87" i="4"/>
  <c r="V87" i="4"/>
  <c r="W87" i="4"/>
  <c r="X87" i="4"/>
  <c r="Y87" i="4"/>
  <c r="Z87" i="4"/>
  <c r="Q88" i="4"/>
  <c r="R88" i="4"/>
  <c r="S88" i="4"/>
  <c r="T88" i="4"/>
  <c r="U88" i="4"/>
  <c r="V88" i="4"/>
  <c r="W88" i="4"/>
  <c r="X88" i="4"/>
  <c r="Y88" i="4"/>
  <c r="Z88" i="4"/>
  <c r="Q90" i="4"/>
  <c r="R90" i="4"/>
  <c r="S90" i="4"/>
  <c r="T90" i="4"/>
  <c r="U90" i="4"/>
  <c r="V90" i="4"/>
  <c r="W90" i="4"/>
  <c r="X90" i="4"/>
  <c r="Y90" i="4"/>
  <c r="Z90" i="4"/>
  <c r="R92" i="4"/>
  <c r="S92" i="4"/>
  <c r="T92" i="4"/>
  <c r="U92" i="4"/>
  <c r="V92" i="4"/>
  <c r="W92" i="4"/>
  <c r="X92" i="4"/>
  <c r="Y92" i="4"/>
  <c r="Z92" i="4"/>
  <c r="Q93" i="4"/>
  <c r="R93" i="4"/>
  <c r="S93" i="4"/>
  <c r="T93" i="4"/>
  <c r="U93" i="4"/>
  <c r="V93" i="4"/>
  <c r="W93" i="4"/>
  <c r="X93" i="4"/>
  <c r="Y93" i="4"/>
  <c r="Z93" i="4"/>
  <c r="Q97" i="4"/>
  <c r="R97" i="4"/>
  <c r="S97" i="4"/>
  <c r="T97" i="4"/>
  <c r="U97" i="4"/>
  <c r="V97" i="4"/>
  <c r="W97" i="4"/>
  <c r="X97" i="4"/>
  <c r="Y97" i="4"/>
  <c r="Z97" i="4"/>
  <c r="Q104" i="4"/>
  <c r="R104" i="4"/>
  <c r="S104" i="4"/>
  <c r="T104" i="4"/>
  <c r="U104" i="4"/>
  <c r="V104" i="4"/>
  <c r="W104" i="4"/>
  <c r="X104" i="4"/>
  <c r="Y104" i="4"/>
  <c r="Z104" i="4"/>
  <c r="Q111" i="4"/>
  <c r="R111" i="4"/>
  <c r="S111" i="4"/>
  <c r="T111" i="4"/>
  <c r="U111" i="4"/>
  <c r="V111" i="4"/>
  <c r="W111" i="4"/>
  <c r="X111" i="4"/>
  <c r="Y111" i="4"/>
  <c r="Z111" i="4"/>
  <c r="Q115" i="4"/>
  <c r="R115" i="4"/>
  <c r="S115" i="4"/>
  <c r="T115" i="4"/>
  <c r="U115" i="4"/>
  <c r="V115" i="4"/>
  <c r="W115" i="4"/>
  <c r="X115" i="4"/>
  <c r="Y115" i="4"/>
  <c r="Z115" i="4"/>
  <c r="Q118" i="4"/>
  <c r="R118" i="4"/>
  <c r="S118" i="4"/>
  <c r="T118" i="4"/>
  <c r="U118" i="4"/>
  <c r="V118" i="4"/>
  <c r="W118" i="4"/>
  <c r="X118" i="4"/>
  <c r="Y118" i="4"/>
  <c r="Z118" i="4"/>
  <c r="Q120" i="4"/>
  <c r="R120" i="4"/>
  <c r="S120" i="4"/>
  <c r="T120" i="4"/>
  <c r="U120" i="4"/>
  <c r="V120" i="4"/>
  <c r="W120" i="4"/>
  <c r="X120" i="4"/>
  <c r="Y120" i="4"/>
  <c r="Z120" i="4"/>
  <c r="Q124" i="4"/>
  <c r="R124" i="4"/>
  <c r="S124" i="4"/>
  <c r="T124" i="4"/>
  <c r="U124" i="4"/>
  <c r="V124" i="4"/>
  <c r="W124" i="4"/>
  <c r="X124" i="4"/>
  <c r="Y124" i="4"/>
  <c r="Z124" i="4"/>
  <c r="Q126" i="4"/>
  <c r="R126" i="4"/>
  <c r="S126" i="4"/>
  <c r="T126" i="4"/>
  <c r="U126" i="4"/>
  <c r="V126" i="4"/>
  <c r="W126" i="4"/>
  <c r="X126" i="4"/>
  <c r="Y126" i="4"/>
  <c r="Z126" i="4"/>
  <c r="R127" i="4"/>
  <c r="S127" i="4"/>
  <c r="T127" i="4"/>
  <c r="U127" i="4"/>
  <c r="V127" i="4"/>
  <c r="W127" i="4"/>
  <c r="X127" i="4"/>
  <c r="Y127" i="4"/>
  <c r="Z127" i="4"/>
  <c r="Q128" i="4"/>
  <c r="R128" i="4"/>
  <c r="S128" i="4"/>
  <c r="T128" i="4"/>
  <c r="U128" i="4"/>
  <c r="V128" i="4"/>
  <c r="W128" i="4"/>
  <c r="X128" i="4"/>
  <c r="Y128" i="4"/>
  <c r="Z128" i="4"/>
  <c r="Q130" i="4"/>
  <c r="R130" i="4"/>
  <c r="S130" i="4"/>
  <c r="T130" i="4"/>
  <c r="U130" i="4"/>
  <c r="V130" i="4"/>
  <c r="W130" i="4"/>
  <c r="X130" i="4"/>
  <c r="Y130" i="4"/>
  <c r="Z130" i="4"/>
  <c r="Q12" i="20"/>
  <c r="R12" i="20"/>
  <c r="S12" i="20"/>
  <c r="T12" i="20"/>
  <c r="U12" i="20"/>
  <c r="V12" i="20"/>
  <c r="W12" i="20"/>
  <c r="X12" i="20"/>
  <c r="Y12" i="20"/>
  <c r="Z12" i="20"/>
  <c r="Q13" i="20"/>
  <c r="R13" i="20"/>
  <c r="S13" i="20"/>
  <c r="T13" i="20"/>
  <c r="U13" i="20"/>
  <c r="V13" i="20"/>
  <c r="W13" i="20"/>
  <c r="X13" i="20"/>
  <c r="Y13" i="20"/>
  <c r="Z13" i="20"/>
  <c r="Q14" i="20"/>
  <c r="R14" i="20"/>
  <c r="S14" i="20"/>
  <c r="T14" i="20"/>
  <c r="U14" i="20"/>
  <c r="V14" i="20"/>
  <c r="W14" i="20"/>
  <c r="X14" i="20"/>
  <c r="Y14" i="20"/>
  <c r="Z14" i="20"/>
  <c r="Q15" i="20"/>
  <c r="R15" i="20"/>
  <c r="S15" i="20"/>
  <c r="T15" i="20"/>
  <c r="U15" i="20"/>
  <c r="V15" i="20"/>
  <c r="W15" i="20"/>
  <c r="X15" i="20"/>
  <c r="Y15" i="20"/>
  <c r="Z15" i="20"/>
  <c r="K19" i="20"/>
  <c r="Q25" i="20"/>
  <c r="R25" i="20"/>
  <c r="S25" i="20"/>
  <c r="T25" i="20"/>
  <c r="U25" i="20"/>
  <c r="V25" i="20"/>
  <c r="W25" i="20"/>
  <c r="X25" i="20"/>
  <c r="Y25" i="20"/>
  <c r="Z25" i="20"/>
  <c r="Q26" i="20"/>
  <c r="R26" i="20"/>
  <c r="S26" i="20"/>
  <c r="T26" i="20"/>
  <c r="U26" i="20"/>
  <c r="V26" i="20"/>
  <c r="W26" i="20"/>
  <c r="X26" i="20"/>
  <c r="Y26" i="20"/>
  <c r="Z26" i="20"/>
  <c r="Q27" i="20"/>
  <c r="R27" i="20"/>
  <c r="S27" i="20"/>
  <c r="T27" i="20"/>
  <c r="U27" i="20"/>
  <c r="V27" i="20"/>
  <c r="W27" i="20"/>
  <c r="X27" i="20"/>
  <c r="Y27" i="20"/>
  <c r="Z27" i="20"/>
  <c r="Q28" i="20"/>
  <c r="R28" i="20"/>
  <c r="S28" i="20"/>
  <c r="T28" i="20"/>
  <c r="U28" i="20"/>
  <c r="V28" i="20"/>
  <c r="W28" i="20"/>
  <c r="X28" i="20"/>
  <c r="Y28" i="20"/>
  <c r="Z28" i="20"/>
  <c r="Q30" i="20"/>
  <c r="R30" i="20"/>
  <c r="S30" i="20"/>
  <c r="T30" i="20"/>
  <c r="U30" i="20"/>
  <c r="V30" i="20"/>
  <c r="W30" i="20"/>
  <c r="X30" i="20"/>
  <c r="Y30" i="20"/>
  <c r="Z30" i="20"/>
  <c r="I3" i="25"/>
  <c r="J3" i="25"/>
  <c r="K3" i="25"/>
  <c r="L3" i="25"/>
  <c r="M3" i="25"/>
  <c r="N3" i="25"/>
  <c r="O3" i="25"/>
  <c r="P3" i="25"/>
  <c r="Q3" i="25"/>
  <c r="I23" i="25"/>
  <c r="J23" i="25"/>
  <c r="K23" i="25"/>
  <c r="L23" i="25"/>
  <c r="M23" i="25"/>
  <c r="N23" i="25"/>
  <c r="O23" i="25"/>
  <c r="P23" i="25"/>
  <c r="Q23" i="25"/>
  <c r="Q8" i="24"/>
  <c r="R8" i="24"/>
  <c r="S8" i="24"/>
  <c r="T8" i="24"/>
  <c r="U8" i="24"/>
  <c r="V8" i="24"/>
  <c r="W8" i="24"/>
  <c r="X8" i="24"/>
  <c r="Y8" i="24"/>
  <c r="Z8" i="24"/>
  <c r="Q10" i="24"/>
  <c r="R10" i="24"/>
  <c r="S10" i="24"/>
  <c r="T10" i="24"/>
  <c r="U10" i="24"/>
  <c r="V10" i="24"/>
  <c r="W10" i="24"/>
  <c r="X10" i="24"/>
  <c r="Y10" i="24"/>
  <c r="Z10" i="24"/>
  <c r="Q12" i="24"/>
  <c r="R12" i="24"/>
  <c r="S12" i="24"/>
  <c r="T12" i="24"/>
  <c r="U12" i="24"/>
  <c r="V12" i="24"/>
  <c r="W12" i="24"/>
  <c r="X12" i="24"/>
  <c r="Y12" i="24"/>
  <c r="Z12" i="24"/>
  <c r="Q14" i="24"/>
  <c r="R14" i="24"/>
  <c r="S14" i="24"/>
  <c r="T14" i="24"/>
  <c r="U14" i="24"/>
  <c r="V14" i="24"/>
  <c r="W14" i="24"/>
  <c r="X14" i="24"/>
  <c r="Y14" i="24"/>
  <c r="Z14" i="24"/>
  <c r="Q16" i="24"/>
  <c r="R16" i="24"/>
  <c r="S16" i="24"/>
  <c r="T16" i="24"/>
  <c r="U16" i="24"/>
  <c r="V16" i="24"/>
  <c r="W16" i="24"/>
  <c r="X16" i="24"/>
  <c r="Y16" i="24"/>
  <c r="Z16" i="24"/>
  <c r="Q18" i="24"/>
  <c r="R18" i="24"/>
  <c r="S18" i="24"/>
  <c r="T18" i="24"/>
  <c r="U18" i="24"/>
  <c r="V18" i="24"/>
  <c r="W18" i="24"/>
  <c r="X18" i="24"/>
  <c r="Y18" i="24"/>
  <c r="Z18" i="24"/>
  <c r="Q22" i="24"/>
  <c r="R22" i="24"/>
  <c r="S22" i="24"/>
  <c r="T22" i="24"/>
  <c r="U22" i="24"/>
  <c r="V22" i="24"/>
  <c r="W22" i="24"/>
  <c r="X22" i="24"/>
  <c r="Y22" i="24"/>
  <c r="Z22" i="24"/>
  <c r="Q23" i="24"/>
  <c r="R23" i="24"/>
  <c r="S23" i="24"/>
  <c r="T23" i="24"/>
  <c r="U23" i="24"/>
  <c r="V23" i="24"/>
  <c r="W23" i="24"/>
  <c r="X23" i="24"/>
  <c r="Y23" i="24"/>
  <c r="Z23" i="24"/>
  <c r="Q24" i="24"/>
  <c r="R24" i="24"/>
  <c r="S24" i="24"/>
  <c r="T24" i="24"/>
  <c r="U24" i="24"/>
  <c r="V24" i="24"/>
  <c r="W24" i="24"/>
  <c r="X24" i="24"/>
  <c r="Y24" i="24"/>
  <c r="Z24" i="24"/>
  <c r="Q26" i="24"/>
  <c r="R26" i="24"/>
  <c r="S26" i="24"/>
  <c r="T26" i="24"/>
  <c r="U26" i="24"/>
  <c r="V26" i="24"/>
  <c r="W26" i="24"/>
  <c r="X26" i="24"/>
  <c r="Y26" i="24"/>
  <c r="Z26" i="24"/>
  <c r="Q27" i="24"/>
  <c r="R27" i="24"/>
  <c r="S27" i="24"/>
  <c r="T27" i="24"/>
  <c r="U27" i="24"/>
  <c r="V27" i="24"/>
  <c r="W27" i="24"/>
  <c r="X27" i="24"/>
  <c r="Y27" i="24"/>
  <c r="Z27" i="24"/>
  <c r="Q28" i="24"/>
  <c r="R28" i="24"/>
  <c r="S28" i="24"/>
  <c r="T28" i="24"/>
  <c r="U28" i="24"/>
  <c r="V28" i="24"/>
  <c r="W28" i="24"/>
  <c r="X28" i="24"/>
  <c r="Y28" i="24"/>
  <c r="Z28" i="24"/>
  <c r="Q30" i="24"/>
  <c r="R30" i="24"/>
  <c r="S30" i="24"/>
  <c r="T30" i="24"/>
  <c r="U30" i="24"/>
  <c r="V30" i="24"/>
  <c r="W30" i="24"/>
  <c r="X30" i="24"/>
  <c r="Y30" i="24"/>
  <c r="Z30" i="24"/>
  <c r="Q32" i="24"/>
  <c r="R32" i="24"/>
  <c r="S32" i="24"/>
  <c r="T32" i="24"/>
  <c r="U32" i="24"/>
  <c r="V32" i="24"/>
  <c r="W32" i="24"/>
  <c r="X32" i="24"/>
  <c r="Y32" i="24"/>
  <c r="Z32" i="24"/>
  <c r="Q54" i="24"/>
  <c r="R54" i="24"/>
  <c r="S54" i="24"/>
  <c r="T54" i="24"/>
  <c r="U54" i="24"/>
  <c r="V54" i="24"/>
  <c r="W54" i="24"/>
  <c r="X54" i="24"/>
  <c r="Y54" i="24"/>
  <c r="Z54" i="24"/>
  <c r="Q55" i="24"/>
  <c r="R55" i="24"/>
  <c r="S55" i="24"/>
  <c r="T55" i="24"/>
  <c r="U55" i="24"/>
  <c r="V55" i="24"/>
  <c r="W55" i="24"/>
  <c r="X55" i="24"/>
  <c r="Y55" i="24"/>
  <c r="Z55" i="24"/>
  <c r="Q56" i="24"/>
  <c r="R56" i="24"/>
  <c r="S56" i="24"/>
  <c r="T56" i="24"/>
  <c r="U56" i="24"/>
  <c r="V56" i="24"/>
  <c r="W56" i="24"/>
  <c r="X56" i="24"/>
  <c r="Y56" i="24"/>
  <c r="Z56" i="24"/>
  <c r="Q58" i="24"/>
  <c r="R58" i="24"/>
  <c r="S58" i="24"/>
  <c r="T58" i="24"/>
  <c r="U58" i="24"/>
  <c r="V58" i="24"/>
  <c r="W58" i="24"/>
  <c r="X58" i="24"/>
  <c r="Y58" i="24"/>
  <c r="Z58" i="24"/>
  <c r="Q60" i="24"/>
  <c r="R60" i="24"/>
  <c r="S60" i="24"/>
  <c r="T60" i="24"/>
  <c r="U60" i="24"/>
  <c r="V60" i="24"/>
  <c r="W60" i="24"/>
  <c r="X60" i="24"/>
  <c r="Y60" i="24"/>
  <c r="Z60" i="24"/>
  <c r="D8" i="26"/>
  <c r="C9" i="26"/>
  <c r="D9" i="26"/>
  <c r="C10" i="26"/>
  <c r="D10" i="26"/>
  <c r="C11" i="26"/>
  <c r="D11" i="26"/>
  <c r="C12" i="26"/>
  <c r="D12" i="26"/>
  <c r="C13" i="26"/>
  <c r="D13" i="26"/>
  <c r="C14" i="26"/>
  <c r="D14" i="26"/>
  <c r="C15" i="26"/>
  <c r="D15" i="26"/>
  <c r="C16" i="26"/>
  <c r="D16" i="26"/>
  <c r="C17" i="26"/>
  <c r="D17" i="26"/>
  <c r="C18" i="26"/>
  <c r="D18" i="26"/>
  <c r="Q12" i="34"/>
  <c r="R12" i="34"/>
  <c r="S12" i="34"/>
  <c r="T12" i="34"/>
  <c r="U12" i="34"/>
  <c r="V12" i="34"/>
  <c r="W12" i="34"/>
  <c r="X12" i="34"/>
  <c r="Y12" i="34"/>
  <c r="Z12" i="34"/>
  <c r="Q13" i="34"/>
  <c r="R13" i="34"/>
  <c r="S13" i="34"/>
  <c r="T13" i="34"/>
  <c r="U13" i="34"/>
  <c r="V13" i="34"/>
  <c r="W13" i="34"/>
  <c r="X13" i="34"/>
  <c r="Y13" i="34"/>
  <c r="Z13" i="34"/>
  <c r="Q14" i="34"/>
  <c r="R14" i="34"/>
  <c r="S14" i="34"/>
  <c r="T14" i="34"/>
  <c r="U14" i="34"/>
  <c r="V14" i="34"/>
  <c r="W14" i="34"/>
  <c r="X14" i="34"/>
  <c r="Y14" i="34"/>
  <c r="Z14" i="34"/>
  <c r="Q15" i="34"/>
  <c r="R15" i="34"/>
  <c r="S15" i="34"/>
  <c r="T15" i="34"/>
  <c r="U15" i="34"/>
  <c r="V15" i="34"/>
  <c r="W15" i="34"/>
  <c r="X15" i="34"/>
  <c r="Y15" i="34"/>
  <c r="Z15" i="34"/>
  <c r="K19" i="34"/>
  <c r="Q24" i="34"/>
  <c r="R24" i="34"/>
  <c r="S24" i="34"/>
  <c r="T24" i="34"/>
  <c r="U24" i="34"/>
  <c r="V24" i="34"/>
  <c r="W24" i="34"/>
  <c r="X24" i="34"/>
  <c r="Y24" i="34"/>
  <c r="Z24" i="34"/>
  <c r="Q25" i="34"/>
  <c r="R25" i="34"/>
  <c r="S25" i="34"/>
  <c r="T25" i="34"/>
  <c r="U25" i="34"/>
  <c r="V25" i="34"/>
  <c r="W25" i="34"/>
  <c r="X25" i="34"/>
  <c r="Y25" i="34"/>
  <c r="Z25" i="34"/>
  <c r="Q26" i="34"/>
  <c r="R26" i="34"/>
  <c r="S26" i="34"/>
  <c r="T26" i="34"/>
  <c r="U26" i="34"/>
  <c r="V26" i="34"/>
  <c r="W26" i="34"/>
  <c r="X26" i="34"/>
  <c r="Y26" i="34"/>
  <c r="Z26" i="34"/>
  <c r="Q27" i="34"/>
  <c r="R27" i="34"/>
  <c r="S27" i="34"/>
  <c r="T27" i="34"/>
  <c r="U27" i="34"/>
  <c r="V27" i="34"/>
  <c r="W27" i="34"/>
  <c r="X27" i="34"/>
  <c r="Y27" i="34"/>
  <c r="Z27" i="34"/>
  <c r="Q29" i="34"/>
  <c r="R29" i="34"/>
  <c r="S29" i="34"/>
  <c r="T29" i="34"/>
  <c r="U29" i="34"/>
  <c r="V29" i="34"/>
  <c r="W29" i="34"/>
  <c r="X29" i="34"/>
  <c r="Y29" i="34"/>
  <c r="Z29" i="34"/>
  <c r="Q30" i="34"/>
  <c r="R30" i="34"/>
  <c r="S30" i="34"/>
  <c r="T30" i="34"/>
  <c r="U30" i="34"/>
  <c r="V30" i="34"/>
  <c r="W30" i="34"/>
  <c r="X30" i="34"/>
  <c r="Y30" i="34"/>
  <c r="Z30" i="34"/>
  <c r="D8" i="32"/>
  <c r="C9" i="32"/>
  <c r="D9" i="32"/>
  <c r="C10" i="32"/>
  <c r="D10" i="32"/>
  <c r="C11" i="32"/>
  <c r="D11" i="32"/>
  <c r="C12" i="32"/>
  <c r="D12" i="32"/>
  <c r="C13" i="32"/>
  <c r="D13" i="32"/>
  <c r="C14" i="32"/>
  <c r="D14" i="32"/>
  <c r="C15" i="32"/>
  <c r="D15" i="32"/>
  <c r="C16" i="32"/>
  <c r="D16" i="32"/>
  <c r="C17" i="32"/>
  <c r="D17" i="32"/>
  <c r="C18" i="32"/>
  <c r="D18" i="32"/>
  <c r="N21" i="32"/>
  <c r="O21" i="32"/>
  <c r="P21" i="32"/>
  <c r="Q21" i="32"/>
  <c r="R21" i="32"/>
  <c r="S21" i="32"/>
  <c r="T21" i="32"/>
  <c r="U21" i="32"/>
  <c r="V21" i="32"/>
  <c r="W21" i="32"/>
  <c r="N22" i="32"/>
  <c r="O22" i="32"/>
  <c r="P22" i="32"/>
  <c r="Q22" i="32"/>
  <c r="R22" i="32"/>
  <c r="S22" i="32"/>
  <c r="T22" i="32"/>
  <c r="U22" i="32"/>
  <c r="V22" i="32"/>
  <c r="W22" i="32"/>
  <c r="N23" i="32"/>
  <c r="O23" i="32"/>
  <c r="P23" i="32"/>
  <c r="Q23" i="32"/>
  <c r="R23" i="32"/>
  <c r="S23" i="32"/>
  <c r="T23" i="32"/>
  <c r="U23" i="32"/>
  <c r="V23" i="32"/>
  <c r="W23" i="32"/>
  <c r="AE29" i="32"/>
  <c r="AF29" i="32"/>
  <c r="AG29" i="32"/>
  <c r="AE30" i="32"/>
  <c r="AF30" i="32"/>
  <c r="AG30" i="32"/>
  <c r="AE31" i="32"/>
  <c r="AF31" i="32"/>
  <c r="AG31" i="32"/>
  <c r="AE32" i="32"/>
  <c r="AF32" i="32"/>
  <c r="AG32" i="32"/>
  <c r="AE33" i="32"/>
  <c r="AF33" i="32"/>
  <c r="AG33" i="32"/>
  <c r="AE34" i="32"/>
  <c r="AF34" i="32"/>
  <c r="AG34" i="32"/>
  <c r="AE35" i="32"/>
  <c r="AF35" i="32"/>
  <c r="AG35" i="32"/>
  <c r="AE36" i="32"/>
  <c r="AF36" i="32"/>
  <c r="AG36" i="32"/>
  <c r="AE37" i="32"/>
  <c r="AF37" i="32"/>
  <c r="AG37" i="32"/>
  <c r="AE38" i="32"/>
  <c r="AF38" i="32"/>
  <c r="AG38" i="32"/>
  <c r="AJ48" i="32"/>
  <c r="AK48" i="32"/>
  <c r="AL48" i="32"/>
  <c r="AJ49" i="32"/>
  <c r="AK49" i="32"/>
  <c r="AL49" i="32"/>
  <c r="AJ50" i="32"/>
  <c r="AK50" i="32"/>
  <c r="AL50" i="32"/>
  <c r="AJ51" i="32"/>
  <c r="AK51" i="32"/>
  <c r="AL51" i="32"/>
  <c r="AJ52" i="32"/>
  <c r="AK52" i="32"/>
  <c r="AL52" i="32"/>
  <c r="AJ53" i="32"/>
  <c r="AK53" i="32"/>
  <c r="AL53" i="32"/>
  <c r="AJ54" i="32"/>
  <c r="AK54" i="32"/>
  <c r="AL54" i="32"/>
  <c r="AJ55" i="32"/>
  <c r="AK55" i="32"/>
  <c r="AL55" i="32"/>
  <c r="AJ56" i="32"/>
  <c r="AK56" i="32"/>
  <c r="AL56" i="32"/>
  <c r="AJ57" i="32"/>
  <c r="AK57" i="32"/>
  <c r="AL57" i="32"/>
  <c r="AU86" i="32"/>
  <c r="AV86" i="32"/>
  <c r="AU87" i="32"/>
  <c r="AV87" i="32"/>
  <c r="AU88" i="32"/>
  <c r="AV88" i="32"/>
  <c r="AU89" i="32"/>
  <c r="AV89" i="32"/>
  <c r="AU90" i="32"/>
  <c r="AV90" i="32"/>
  <c r="AU91" i="32"/>
  <c r="AV91" i="32"/>
  <c r="AU92" i="32"/>
  <c r="AV92" i="32"/>
  <c r="AU93" i="32"/>
  <c r="AV93" i="32"/>
  <c r="AU94" i="32"/>
  <c r="AV94" i="32"/>
  <c r="AU95" i="32"/>
  <c r="AV95" i="32"/>
  <c r="Q15" i="22"/>
  <c r="R15" i="22"/>
  <c r="S15" i="22"/>
  <c r="T15" i="22"/>
  <c r="U15" i="22"/>
  <c r="V15" i="22"/>
  <c r="W15" i="22"/>
  <c r="X15" i="22"/>
  <c r="Y15" i="22"/>
  <c r="Z15" i="22"/>
  <c r="Q16" i="22"/>
  <c r="R16" i="22"/>
  <c r="S16" i="22"/>
  <c r="T16" i="22"/>
  <c r="U16" i="22"/>
  <c r="V16" i="22"/>
  <c r="W16" i="22"/>
  <c r="X16" i="22"/>
  <c r="Y16" i="22"/>
  <c r="Z16" i="22"/>
  <c r="R18" i="22"/>
  <c r="S18" i="22"/>
  <c r="T18" i="22"/>
  <c r="U18" i="22"/>
  <c r="V18" i="22"/>
  <c r="W18" i="22"/>
  <c r="X18" i="22"/>
  <c r="Y18" i="22"/>
  <c r="Z18" i="22"/>
  <c r="Q19" i="22"/>
  <c r="R19" i="22"/>
  <c r="S19" i="22"/>
  <c r="T19" i="22"/>
  <c r="U19" i="22"/>
  <c r="V19" i="22"/>
  <c r="W19" i="22"/>
  <c r="X19" i="22"/>
  <c r="Y19" i="22"/>
  <c r="Z19" i="22"/>
  <c r="Q20" i="22"/>
  <c r="R20" i="22"/>
  <c r="S20" i="22"/>
  <c r="T20" i="22"/>
  <c r="U20" i="22"/>
  <c r="V20" i="22"/>
  <c r="W20" i="22"/>
  <c r="X20" i="22"/>
  <c r="Y20" i="22"/>
  <c r="Z20" i="22"/>
  <c r="Q23" i="22"/>
  <c r="R23" i="22"/>
  <c r="S23" i="22"/>
  <c r="T23" i="22"/>
  <c r="U23" i="22"/>
  <c r="V23" i="22"/>
  <c r="W23" i="22"/>
  <c r="X23" i="22"/>
  <c r="Y23" i="22"/>
  <c r="Z23" i="22"/>
  <c r="Q24" i="22"/>
  <c r="R24" i="22"/>
  <c r="S24" i="22"/>
  <c r="T24" i="22"/>
  <c r="U24" i="22"/>
  <c r="V24" i="22"/>
  <c r="W24" i="22"/>
  <c r="X24" i="22"/>
  <c r="Y24" i="22"/>
  <c r="Z24" i="22"/>
  <c r="Q26" i="22"/>
  <c r="R26" i="22"/>
  <c r="S26" i="22"/>
  <c r="T26" i="22"/>
  <c r="U26" i="22"/>
  <c r="V26" i="22"/>
  <c r="W26" i="22"/>
  <c r="X26" i="22"/>
  <c r="Y26" i="22"/>
  <c r="Z26" i="22"/>
  <c r="Q27" i="22"/>
  <c r="R27" i="22"/>
  <c r="S27" i="22"/>
  <c r="T27" i="22"/>
  <c r="U27" i="22"/>
  <c r="V27" i="22"/>
  <c r="W27" i="22"/>
  <c r="X27" i="22"/>
  <c r="Y27" i="22"/>
  <c r="Z27" i="22"/>
  <c r="Q28" i="22"/>
  <c r="R28" i="22"/>
  <c r="S28" i="22"/>
  <c r="T28" i="22"/>
  <c r="U28" i="22"/>
  <c r="V28" i="22"/>
  <c r="W28" i="22"/>
  <c r="X28" i="22"/>
  <c r="Y28" i="22"/>
  <c r="Z28" i="22"/>
  <c r="Q31" i="22"/>
  <c r="R31" i="22"/>
  <c r="S31" i="22"/>
  <c r="T31" i="22"/>
  <c r="U31" i="22"/>
  <c r="V31" i="22"/>
  <c r="W31" i="22"/>
  <c r="X31" i="22"/>
  <c r="Y31" i="22"/>
  <c r="Z31" i="22"/>
  <c r="Q32" i="22"/>
  <c r="R32" i="22"/>
  <c r="S32" i="22"/>
  <c r="T32" i="22"/>
  <c r="U32" i="22"/>
  <c r="V32" i="22"/>
  <c r="W32" i="22"/>
  <c r="X32" i="22"/>
  <c r="Y32" i="22"/>
  <c r="Z32" i="22"/>
  <c r="Q34" i="22"/>
  <c r="R34" i="22"/>
  <c r="S34" i="22"/>
  <c r="T34" i="22"/>
  <c r="U34" i="22"/>
  <c r="V34" i="22"/>
  <c r="W34" i="22"/>
  <c r="X34" i="22"/>
  <c r="Y34" i="22"/>
  <c r="Z3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tc={028FC7B0-C4A7-4468-8B6E-BF1CCDE93D4C}</author>
    <author>tc={234C6253-ACCA-433D-817C-D319E341D7E5}</author>
    <author>tc={755C6809-6369-47D4-A157-28865CA3C8F9}</author>
  </authors>
  <commentList>
    <comment ref="Q4" authorId="0" shapeId="0" xr:uid="{028FC7B0-C4A7-4468-8B6E-BF1CCDE93D4C}">
      <text>
        <t>[Comentario encadenado]
Su versión de Excel le permite leer este comentario encadenado; sin embargo, las ediciones que se apliquen se quitarán si el archivo se abre en una versión más reciente de Excel. Más información: https://go.microsoft.com/fwlink/?linkid=870924
Comentario:
    Proyecciones Bancolombia Marzo 2025</t>
      </text>
    </comment>
    <comment ref="Q8" authorId="1" shapeId="0" xr:uid="{234C6253-ACCA-433D-817C-D319E341D7E5}">
      <text>
        <t>[Comentario encadenado]
Su versión de Excel le permite leer este comentario encadenado; sin embargo, las ediciones que se apliquen se quitarán si el archivo se abre en una versión más reciente de Excel. Más información: https://go.microsoft.com/fwlink/?linkid=870924
Comentario:
    Proyecciones Bancolombia Marzo 2025</t>
      </text>
    </comment>
    <comment ref="Q12" authorId="2" shapeId="0" xr:uid="{755C6809-6369-47D4-A157-28865CA3C8F9}">
      <text>
        <t>[Comentario encadenado]
Su versión de Excel le permite leer este comentario encadenado; sin embargo, las ediciones que se apliquen se quitarán si el archivo se abre en una versión más reciente de Excel. Más información: https://go.microsoft.com/fwlink/?linkid=870924
Comentario:
    Proyecciones Bartchart</t>
      </text>
    </comment>
  </commentList>
</comments>
</file>

<file path=xl/sharedStrings.xml><?xml version="1.0" encoding="utf-8"?>
<sst xmlns="http://schemas.openxmlformats.org/spreadsheetml/2006/main" count="802" uniqueCount="536">
  <si>
    <t>Inflación Colombia</t>
  </si>
  <si>
    <t>Inflación USA</t>
  </si>
  <si>
    <t>Paridad</t>
  </si>
  <si>
    <t>TRM</t>
  </si>
  <si>
    <t>Tasa Impositiva</t>
  </si>
  <si>
    <t>REAL 2015</t>
  </si>
  <si>
    <t>REAL 2016</t>
  </si>
  <si>
    <t>REAL 2017</t>
  </si>
  <si>
    <t>REAL 2018</t>
  </si>
  <si>
    <t>REAL 2019</t>
  </si>
  <si>
    <t>REAL 2020</t>
  </si>
  <si>
    <t>REAL 2021</t>
  </si>
  <si>
    <t>PRY 2025</t>
  </si>
  <si>
    <t>PRY 2026</t>
  </si>
  <si>
    <t>PRY 2027</t>
  </si>
  <si>
    <t>PRY 2028</t>
  </si>
  <si>
    <t>PRY 2029</t>
  </si>
  <si>
    <t>PRY 2030</t>
  </si>
  <si>
    <t>PRY 2031</t>
  </si>
  <si>
    <t>PRY 2032</t>
  </si>
  <si>
    <t>Crecimiento Precio azúcar NY #11</t>
  </si>
  <si>
    <t>Azúcar NY #11 (USD cents/lb)</t>
  </si>
  <si>
    <t>Matriz Ingresos</t>
  </si>
  <si>
    <t>Ventas Nacionales</t>
  </si>
  <si>
    <t>Ventas Mercados excedentarios</t>
  </si>
  <si>
    <t>total azucar</t>
  </si>
  <si>
    <t>Otros</t>
  </si>
  <si>
    <t>Total ingresos</t>
  </si>
  <si>
    <t>Crecimiento estimado venta nacional</t>
  </si>
  <si>
    <t>Crecimiento venta mcdos excedentarios</t>
  </si>
  <si>
    <t>Crecimiento otras ventas</t>
  </si>
  <si>
    <t>Crecimiento promedio Ingresos</t>
  </si>
  <si>
    <t>Porcentaje Costos/Ingresos</t>
  </si>
  <si>
    <t>Crecimiento Ingresos</t>
  </si>
  <si>
    <t>Mejora Margen Bruto</t>
  </si>
  <si>
    <t>TACC</t>
  </si>
  <si>
    <t>Mejora Margen Operacional</t>
  </si>
  <si>
    <t>Mejora Margen EBITDA</t>
  </si>
  <si>
    <t>Crecimieno Gasto Administrativo</t>
  </si>
  <si>
    <t>CAPEX/Ingresos</t>
  </si>
  <si>
    <t>Costo Deuda</t>
  </si>
  <si>
    <t>Estado de Resultados (Miles COP$)</t>
  </si>
  <si>
    <t>Ingresos</t>
  </si>
  <si>
    <t>Costos</t>
  </si>
  <si>
    <t>Utilidad Bruta</t>
  </si>
  <si>
    <t>Margen Bruto</t>
  </si>
  <si>
    <t>Gasto Administrativo</t>
  </si>
  <si>
    <t>Utilidad Operacional</t>
  </si>
  <si>
    <t>Margen Operacional</t>
  </si>
  <si>
    <t>Otros Ingresos</t>
  </si>
  <si>
    <t>Otros Egresos</t>
  </si>
  <si>
    <t>Ingreso Financiero</t>
  </si>
  <si>
    <t>MARGEN BRUTO</t>
  </si>
  <si>
    <t>Gasto Financiero</t>
  </si>
  <si>
    <t>Utilidad Antes de Impuestos</t>
  </si>
  <si>
    <t>Impuestos</t>
  </si>
  <si>
    <t>Impuesto Diferido y otros</t>
  </si>
  <si>
    <t>Total Impuestos y otros</t>
  </si>
  <si>
    <t>Utilidad Neta</t>
  </si>
  <si>
    <t>Margen Neto</t>
  </si>
  <si>
    <t>Depreciaciones, Amortizaciones y otros</t>
  </si>
  <si>
    <t>EBITDA</t>
  </si>
  <si>
    <t>Margen EBITDA</t>
  </si>
  <si>
    <t>Políticas de Capital de Trabajo (Días)</t>
  </si>
  <si>
    <t>Cartera</t>
  </si>
  <si>
    <t>Inventario</t>
  </si>
  <si>
    <t>Proveedores</t>
  </si>
  <si>
    <t>MARGEN EBITDA</t>
  </si>
  <si>
    <t>Política de Caja Mínima (Días Gasto)</t>
  </si>
  <si>
    <t>Flujo de Caja</t>
  </si>
  <si>
    <t>Inventarios</t>
  </si>
  <si>
    <t>WK</t>
  </si>
  <si>
    <t>CAPEX</t>
  </si>
  <si>
    <t>Flujo de Caja Libre</t>
  </si>
  <si>
    <t>Amortizaciones Deuda</t>
  </si>
  <si>
    <t>Deuda</t>
  </si>
  <si>
    <t>Capital</t>
  </si>
  <si>
    <t>Dividendos</t>
  </si>
  <si>
    <t>Flujo de Caja Disponible</t>
  </si>
  <si>
    <t>Caja Inicial</t>
  </si>
  <si>
    <t>Caja Final</t>
  </si>
  <si>
    <t>Caja Mínima</t>
  </si>
  <si>
    <t>Necesidades de caja</t>
  </si>
  <si>
    <t>Balance General</t>
  </si>
  <si>
    <t>Activos</t>
  </si>
  <si>
    <t>Caja</t>
  </si>
  <si>
    <t>Propiedad Planta y Equipo</t>
  </si>
  <si>
    <t>Depreciación Acumulada</t>
  </si>
  <si>
    <t>Activo por Impuesto</t>
  </si>
  <si>
    <t>Otros Activos</t>
  </si>
  <si>
    <t>Total Activos</t>
  </si>
  <si>
    <t>Pasivos</t>
  </si>
  <si>
    <t>Obligaciones Financieras</t>
  </si>
  <si>
    <t>Beneficios a empleados</t>
  </si>
  <si>
    <t>Pasivo por Impuesto</t>
  </si>
  <si>
    <t>Otros Pasivos</t>
  </si>
  <si>
    <t>Total Pasivos</t>
  </si>
  <si>
    <t>Patrimonio</t>
  </si>
  <si>
    <t>Capital Social</t>
  </si>
  <si>
    <t>Reservas</t>
  </si>
  <si>
    <t>Utilidad del Periodo</t>
  </si>
  <si>
    <t>Utilidades acumuladas</t>
  </si>
  <si>
    <t>Total Patrimonio</t>
  </si>
  <si>
    <t>Check</t>
  </si>
  <si>
    <t>PARA GRÁFICAS (CUADRAR GRÁFICA WK)</t>
  </si>
  <si>
    <t>PROVEEDORES</t>
  </si>
  <si>
    <t>WK (BALANCE)</t>
  </si>
  <si>
    <t>Políticas Capital de Trabajo (Días)</t>
  </si>
  <si>
    <t>Weighted Average Cost Of Capital - WACC</t>
  </si>
  <si>
    <t>Concepto</t>
  </si>
  <si>
    <t>Dato</t>
  </si>
  <si>
    <t>Fuente</t>
  </si>
  <si>
    <t>Tasa Risk Free 10 años (Treasure)</t>
  </si>
  <si>
    <t>Implied risk premium, Damodaran</t>
  </si>
  <si>
    <t>Prima de Mercado (Risk Premium)</t>
  </si>
  <si>
    <t>Prima Riesgo País (EMBI )</t>
  </si>
  <si>
    <t>Prima por Liquidez</t>
  </si>
  <si>
    <t>Beta Negocio Agroindustria desapalancado</t>
  </si>
  <si>
    <t>% Endeudamiento Sector Total</t>
  </si>
  <si>
    <t>Beta Apalancado</t>
  </si>
  <si>
    <t>Beta apalancado con estructura de Capital y escudo fiscal</t>
  </si>
  <si>
    <t>Tasa Impositiva LP</t>
  </si>
  <si>
    <t>Tasa impositiva Colombia</t>
  </si>
  <si>
    <t>Prima por tamaño</t>
  </si>
  <si>
    <t>Costo del Patrimonio en USD</t>
  </si>
  <si>
    <t>(-) Inflación USA</t>
  </si>
  <si>
    <t>Inflación de largo plazo esperada para Estados Unidos</t>
  </si>
  <si>
    <t>SUBTOTAL</t>
  </si>
  <si>
    <t>(+) Inflación COP</t>
  </si>
  <si>
    <t>Inflación de largo plazo esperada para Colombia</t>
  </si>
  <si>
    <t>Costo del Patrimonio en COP</t>
  </si>
  <si>
    <t>Costo de la Deuda neto impuestos</t>
  </si>
  <si>
    <t>Costo promedio de la deuda Colombia para ingenios azucareros</t>
  </si>
  <si>
    <t>% Endeudamiento Financiero</t>
  </si>
  <si>
    <t>Costo Ponderado Anual Corrientes</t>
  </si>
  <si>
    <t>VALORACIÓN COMPAÑÍA</t>
  </si>
  <si>
    <t>NOPAT</t>
  </si>
  <si>
    <t>Flujo de Caja (Valoración)</t>
  </si>
  <si>
    <t>Flujo de Caja Libre Ajustado</t>
  </si>
  <si>
    <t>Valor Compañía</t>
  </si>
  <si>
    <t>WACC</t>
  </si>
  <si>
    <t>Gradiente Crecimiento Perpetuidad</t>
  </si>
  <si>
    <t>Flujo constante a perpetudiad con ∇</t>
  </si>
  <si>
    <t>Perpetuidad</t>
  </si>
  <si>
    <t>Flujo de Caja Libre Ajustado + Perpetuidad</t>
  </si>
  <si>
    <t>Valor Activo Compañía</t>
  </si>
  <si>
    <t>X EBITDA 2018</t>
  </si>
  <si>
    <t>X EBITDA 2019</t>
  </si>
  <si>
    <t>Deuda Actual Compañía</t>
  </si>
  <si>
    <t>Valor Patrimonio Compañía</t>
  </si>
  <si>
    <t>Ajuste</t>
  </si>
  <si>
    <t>Valoración 2020</t>
  </si>
  <si>
    <t>INGENIO RISARALDA S.A.</t>
  </si>
  <si>
    <t>ESTADO DE RESULTADOS INTEGRALES</t>
  </si>
  <si>
    <t>En millones de pesos</t>
  </si>
  <si>
    <t># Nota</t>
  </si>
  <si>
    <t>VAR</t>
  </si>
  <si>
    <t>Horiz %</t>
  </si>
  <si>
    <t>año 2021</t>
  </si>
  <si>
    <t>INGRESOS OPERACIONALES</t>
  </si>
  <si>
    <t>TOTAL INGRESOS OPERACIONALES</t>
  </si>
  <si>
    <t>Ingresos Operacionales Azúcar, Alcohol y Otros</t>
  </si>
  <si>
    <t>COSTO DE VENTAS</t>
  </si>
  <si>
    <t>Costo de ventas</t>
  </si>
  <si>
    <t>UTILIDAD BRUTA EN VENTAS</t>
  </si>
  <si>
    <t>GASTOS DE ADMINISTRACIÓN</t>
  </si>
  <si>
    <t>Gastos de Personal Administración</t>
  </si>
  <si>
    <t>Otros Gastos de Administración</t>
  </si>
  <si>
    <t>TOTAL GASTOS DE ADMINISTRACIÓN</t>
  </si>
  <si>
    <t>GASTOS DE VENTA</t>
  </si>
  <si>
    <t>Fletes Nacionales</t>
  </si>
  <si>
    <t>Fletes Exportación</t>
  </si>
  <si>
    <t>Otros Gastos de Venta</t>
  </si>
  <si>
    <t>TOTAL GASTOS DE VENTA</t>
  </si>
  <si>
    <t>UTILIDAD (O PÉRDIDA) OPERACIONAL</t>
  </si>
  <si>
    <t>INGRESOS NO OPERACIONALES</t>
  </si>
  <si>
    <t>Ingresos Financieros</t>
  </si>
  <si>
    <t>Otros Ingresos No Operacionales</t>
  </si>
  <si>
    <t>TOTAL INGRESOS NO OPERACIONALES</t>
  </si>
  <si>
    <t>GASTOS NO OPERACIONALES</t>
  </si>
  <si>
    <t>Gastos Financieros</t>
  </si>
  <si>
    <t>Gastos Extraordinarios</t>
  </si>
  <si>
    <t>TOTAL GASTOS NO OPERACIONALES</t>
  </si>
  <si>
    <t>UTILIDAD ANTES DE IMPUESTOS</t>
  </si>
  <si>
    <t>Impuesto de Renta</t>
  </si>
  <si>
    <t>Impuesto de Renta para la Equidad - CREE</t>
  </si>
  <si>
    <t xml:space="preserve"> </t>
  </si>
  <si>
    <t>Impuesto Diferido para Actividades de Operación</t>
  </si>
  <si>
    <t>TOTAL IMPUESTO DE RENTA</t>
  </si>
  <si>
    <t>UTILIDAD (O PERDIDA) DEL EJERCICIO</t>
  </si>
  <si>
    <t>OTROS RESULTADOS INTEGRALES</t>
  </si>
  <si>
    <t>TOTAL COBERTURAS</t>
  </si>
  <si>
    <t>Valoración Coberturas</t>
  </si>
  <si>
    <t>Impuesto Diferido para Resultados Integrales</t>
  </si>
  <si>
    <t>TOTAL OTROS RESULTADOS INTEGRALES</t>
  </si>
  <si>
    <t>BENEFICIO (O PERDIDA) NETA TOTAL</t>
  </si>
  <si>
    <t>h</t>
  </si>
  <si>
    <t>ESTADO DE SITUACIÓN FINANCIERA</t>
  </si>
  <si>
    <t>ACTIVO</t>
  </si>
  <si>
    <t>PASIVO</t>
  </si>
  <si>
    <t>Nota</t>
  </si>
  <si>
    <t>ACTIVO CORRIENTE</t>
  </si>
  <si>
    <t>PASIVO CORRIENTE</t>
  </si>
  <si>
    <t>INSTRUMENTOS FINANCIEROS</t>
  </si>
  <si>
    <t>TOTAL EFECTIVO Y EQUIVALENTES AL EFECTIVO</t>
  </si>
  <si>
    <t>Efectivo y Equivalentes al Efectivo</t>
  </si>
  <si>
    <t>TOTAL OBLIGACIONES FINANCIERAS CP</t>
  </si>
  <si>
    <t>Obligaciones Financieras Corto Plazo</t>
  </si>
  <si>
    <t>TOTAL VALORACION COBERTURAS.</t>
  </si>
  <si>
    <t>Valoración de Coberturas</t>
  </si>
  <si>
    <t>TOTAL CLIENTES</t>
  </si>
  <si>
    <t>Clientes</t>
  </si>
  <si>
    <t>TOTAL PROVEEDORES</t>
  </si>
  <si>
    <t>TOTAL ANTICIPOS Y AVANCES</t>
  </si>
  <si>
    <t>Anticipos y Avances</t>
  </si>
  <si>
    <t>TOTAL DIVIDENDOS POR PAGAR</t>
  </si>
  <si>
    <t>Dividendos por Pagar</t>
  </si>
  <si>
    <t>TOTAL OTRAS CUENTAS POR COBRAR</t>
  </si>
  <si>
    <t>Otras Cuentas por Cobrar</t>
  </si>
  <si>
    <t>TOTAL OTRAS CUENTAS POR PAGAR</t>
  </si>
  <si>
    <t>Otras Cuentas por Pagar</t>
  </si>
  <si>
    <t>Total Instrumentos Financieros</t>
  </si>
  <si>
    <t>TOTAL IMPUESTOS, GRAVAMENES Y TASAS</t>
  </si>
  <si>
    <t>Impuestos, Gravámenes y Tasas</t>
  </si>
  <si>
    <t>TOTAL BENEFICIOS A EMPLEADOS</t>
  </si>
  <si>
    <t>Beneficios a Empleados</t>
  </si>
  <si>
    <t>TOTAL VALORACION COBERTURAS</t>
  </si>
  <si>
    <t>INVENTARIOS</t>
  </si>
  <si>
    <t>TOTAL OTROS PASIVOS</t>
  </si>
  <si>
    <t>TOTAL PRODUCTO EN PROCESO</t>
  </si>
  <si>
    <t>Producto en Proceso</t>
  </si>
  <si>
    <t>Pasivo por arrendamiento</t>
  </si>
  <si>
    <t>TOTAL PRODUCTO TERMINADO</t>
  </si>
  <si>
    <t>Producto Terminado</t>
  </si>
  <si>
    <t>TOTAL PASIVO CORRIENTE</t>
  </si>
  <si>
    <t>TOTAL INVENTARIOS ALMACEN</t>
  </si>
  <si>
    <t>Inventarios Almacen</t>
  </si>
  <si>
    <t>prom</t>
  </si>
  <si>
    <t>TOTAL ANTICIPOS Y AVANCES COMPRA INVENTARIOS</t>
  </si>
  <si>
    <t>Anticipos y Avances de Compras de Inventarios</t>
  </si>
  <si>
    <t>PASIVO NO CORRIENTE</t>
  </si>
  <si>
    <t>OBLIGACIONES FINANCIERAS</t>
  </si>
  <si>
    <t>TOTAL INVENTARIOS EN TRANSITO</t>
  </si>
  <si>
    <t>Inventarios en Tránsito</t>
  </si>
  <si>
    <t>KD</t>
  </si>
  <si>
    <t>TOTAL MATERIAS PRIMAS EN OTRAS BODEGAS</t>
  </si>
  <si>
    <t>Materias Primas en Otras Bodegas</t>
  </si>
  <si>
    <t>TOTAL OBLIGACIONES FINANCIERAS LP</t>
  </si>
  <si>
    <t>Obligaciones Financieras Largo Plazo</t>
  </si>
  <si>
    <t>Total Inventarios</t>
  </si>
  <si>
    <t>Beneficios a Empleados Largo Plazo</t>
  </si>
  <si>
    <t>DIVIDENDOS</t>
  </si>
  <si>
    <t>TOTAL BENEFICIOS A EMPLEADOS LP</t>
  </si>
  <si>
    <t>Pasivos Estimados o Provisiones Largo Plazo</t>
  </si>
  <si>
    <t>TOTAL ACTIVOS BIOLOGICOS</t>
  </si>
  <si>
    <t>Activos Biológicos</t>
  </si>
  <si>
    <t>TOTAL PASIVOS ESTIMADOS O PROVISIONES LP</t>
  </si>
  <si>
    <t>Pasivos por Impuesto Diferido</t>
  </si>
  <si>
    <t>CARTERA</t>
  </si>
  <si>
    <t>TOTAL IMPUESTOS POR COBRAR</t>
  </si>
  <si>
    <t>Impuestos por Cobrar</t>
  </si>
  <si>
    <t>TOTAL PASIVOS POR IMPUESTO DIFERIDO</t>
  </si>
  <si>
    <t>TOTAL OTROS ACTIVOS</t>
  </si>
  <si>
    <t>TOTAL PASIVO NO CORRIENTE</t>
  </si>
  <si>
    <t>TOTAL ACTIVO CORRIENTE</t>
  </si>
  <si>
    <t>TOTAL PASIVO</t>
  </si>
  <si>
    <t>ACTIVO NO CORRIENTE</t>
  </si>
  <si>
    <t>PROPIEDAD, PLANTA Y  EQUIPO</t>
  </si>
  <si>
    <t>TOTAL ACTIVOS BIOLOGICOS - APS</t>
  </si>
  <si>
    <t>Activos Biológicos - APS</t>
  </si>
  <si>
    <t>TOTAL TERRENOS</t>
  </si>
  <si>
    <t>Terrenos</t>
  </si>
  <si>
    <t>PATRIMONIO</t>
  </si>
  <si>
    <t>TOTAL MAQUINARIA Y EQUIPO EN MONTAJE</t>
  </si>
  <si>
    <t>Maquinaria y Equipo en Montaje</t>
  </si>
  <si>
    <t>TOTAL CONSTRUCCIONES Y EDIFICACIONES</t>
  </si>
  <si>
    <t>Construcciones y Edificaciones</t>
  </si>
  <si>
    <t>Capital Autorizado</t>
  </si>
  <si>
    <t>TOTAL MAQUINARIA, EQUIPOS Y OTROS ACTIVOS</t>
  </si>
  <si>
    <t>Maquinaria , Equipos y Otros Activos</t>
  </si>
  <si>
    <t>TOTAL CAPITAL AUTORIZADO</t>
  </si>
  <si>
    <t>Capital por Suscribir</t>
  </si>
  <si>
    <t>TOTAL MAQUINARIA Y EQUIPO EN TRÁNSITO</t>
  </si>
  <si>
    <t>Maquinaria y Equipo en Tránsito</t>
  </si>
  <si>
    <t>TOTAL CAPITAL POR SUSCRIBIR</t>
  </si>
  <si>
    <t>Capital Suscrito y Pagado</t>
  </si>
  <si>
    <t>TOTAL DEPRECIACION ACUMULADA</t>
  </si>
  <si>
    <t>TOTAL CAPITAL SUSCRITO Y PAGADO</t>
  </si>
  <si>
    <t>Superavit de Capital</t>
  </si>
  <si>
    <t>Total Propiedad, Planta y Equipo</t>
  </si>
  <si>
    <t>TOTAL SUPERAVIT DE CAPITAL</t>
  </si>
  <si>
    <t>Reservas Obligatorias</t>
  </si>
  <si>
    <t>Intangibles</t>
  </si>
  <si>
    <t>TOTAL ACTIVOS INTANGIBLES</t>
  </si>
  <si>
    <t>TOTAL RESERVAS ESTATUTARIAS Y OCASIONALES</t>
  </si>
  <si>
    <t>Reservas Estatutarias y Ocasionales</t>
  </si>
  <si>
    <t>Resultados del Ejercicio</t>
  </si>
  <si>
    <t>TOTAL UTILIDADES DE EJERCICIOS ANTERIORES</t>
  </si>
  <si>
    <t>Utilidades de Ejercicios Anteriores</t>
  </si>
  <si>
    <t>INSTRUMENTOS FINANCIEROS LARGO PLAZO</t>
  </si>
  <si>
    <t>TOTAL UTILIDADES ACUMULADAS</t>
  </si>
  <si>
    <t>Utilidades Acumuladas NIIF</t>
  </si>
  <si>
    <t>TOTAL ACCIONES EN OTRAS SOCIEDADES</t>
  </si>
  <si>
    <t>Acciones en Otras Sociedades</t>
  </si>
  <si>
    <t>TOTAL OTRAS CUENTAS POR COBRAR LP</t>
  </si>
  <si>
    <t>TOTAL PATRIMONIO</t>
  </si>
  <si>
    <t>Total Instrumentos Financieros Largo Plazo</t>
  </si>
  <si>
    <t>TOTAL ACTIVO POR IMPUESTO DIFERIDO</t>
  </si>
  <si>
    <t>Activo por Impuesto Diferido</t>
  </si>
  <si>
    <t>Derecho de Uso de Activos Arrendados</t>
  </si>
  <si>
    <t>Amortizacion Derecho de uso activos arr</t>
  </si>
  <si>
    <t>Total derecho de uso activos en arrendamiento</t>
  </si>
  <si>
    <t>TOTAL ACTIVO NO CORRIENTE</t>
  </si>
  <si>
    <t>TOTAL PASIVO Y PATRIMONIO</t>
  </si>
  <si>
    <t>TOTAL ACTIVO</t>
  </si>
  <si>
    <t>Valoración Activos Biológicos</t>
  </si>
  <si>
    <t>REAL 2022</t>
  </si>
  <si>
    <t>año 2022</t>
  </si>
  <si>
    <t>PRY 2033</t>
  </si>
  <si>
    <t>Valoración año anterior</t>
  </si>
  <si>
    <t>Parámetros Macroeconómicos</t>
  </si>
  <si>
    <t>Valores en miles COP</t>
  </si>
  <si>
    <t>Valoración 2023</t>
  </si>
  <si>
    <t>Valoración registrada 
año anterior</t>
  </si>
  <si>
    <t>Var</t>
  </si>
  <si>
    <t>% Var</t>
  </si>
  <si>
    <t>Participación Mayagüez 7.52%</t>
  </si>
  <si>
    <t>Otros Activos que aplican a valor patrimonial</t>
  </si>
  <si>
    <t>Otros Pasivos que aplican a valor patrimonial</t>
  </si>
  <si>
    <t>año 2023</t>
  </si>
  <si>
    <t>REAL 2023</t>
  </si>
  <si>
    <t>LBE 2024</t>
  </si>
  <si>
    <t>PRY 2034</t>
  </si>
  <si>
    <t>Fuente: información Damodaran descargada al 14-ene-25
Archivo Levered and Unlevered Betas by Industry (All Emerging Mkts): actualización 5-ene-25
Archivo Risk Premiums for Other Markets: actualización 1-jul-24
Archivo Implied Equity Risk Premiums -United States: actualización 5-ene-24</t>
  </si>
  <si>
    <t>Damodaran, Treasury Bond Rate usada como tasa libre de riesgo (Implied Equity Risk Premiums United States, columna "T.Bond Rate")</t>
  </si>
  <si>
    <t>Rendimiento esperado del mercado por encima de la tasa libre de riesgo (Implied Equity Risk Premiums -United States, columna "Implied ERP (FCFE)")</t>
  </si>
  <si>
    <t>Damodaran, Variable Country Risk Premium para Colombia
(Risk Premiums for Other Markets, columna "Country Risk Premium")</t>
  </si>
  <si>
    <t>Damodaran, Beta desapalancado sector agrícola para economías emergentes (Levered and Unlevered Betas by Industry-All Emerging Mkts, columna "Unlevered beta corrected for cash")</t>
  </si>
  <si>
    <t>Se estimó con base en apalancamiento financiero para sector agrícola en economías emergentes (Levered and Unlevered Betas by Industry-All Emerging Mkts, columna "D/E Ratio")</t>
  </si>
  <si>
    <t>Endeudamiento promedio Ingenios de tamaño similar en Colombia</t>
  </si>
  <si>
    <t>Costo promedio ponderado de capital</t>
  </si>
  <si>
    <t>Rendimiento Esperado Mercado</t>
  </si>
  <si>
    <t>D/E ratio</t>
  </si>
  <si>
    <t>E= patrimonio</t>
  </si>
  <si>
    <t>VAR EBITDA</t>
  </si>
  <si>
    <t>Margen EBITDA /Depreciacines y amortizaciones</t>
  </si>
  <si>
    <t>EEFF</t>
  </si>
  <si>
    <t>Tasa de impuestos (efectiva)</t>
  </si>
  <si>
    <t>NOPAT = Utilidad Operativa * (1-tasa de impuestos)</t>
  </si>
  <si>
    <t>Capital empleado = Activos totales - pasivos operativos (sin deuda financiera)</t>
  </si>
  <si>
    <t>EVA = NOPAT - (WACC * Capital empleado)</t>
  </si>
  <si>
    <t>Capital empleado</t>
  </si>
  <si>
    <t>EVA</t>
  </si>
  <si>
    <t>Z-SCORE ALTMAN</t>
  </si>
  <si>
    <t>Z= 0.717*X1  + 0.847*X2 + 3.107*X3 + 0.420*X4 + 0.998*X5
​</t>
  </si>
  <si>
    <t>X1 = Capital de trabajo / Activo total</t>
  </si>
  <si>
    <t>X2 = Utilidades retenidas / Activo total</t>
  </si>
  <si>
    <t>X3 = EBIT (utilidad operativa) / Activo total</t>
  </si>
  <si>
    <t>X4 = Patrimonio contable / Pasivo total</t>
  </si>
  <si>
    <t>X5 = Ventas / Activo total</t>
  </si>
  <si>
    <t>Z-SCORE ALTMAN (Miles COP$)</t>
  </si>
  <si>
    <t>EVA (Miles COP$)</t>
  </si>
  <si>
    <t>Capital de trabajo</t>
  </si>
  <si>
    <t>Activos totales</t>
  </si>
  <si>
    <t>X1</t>
  </si>
  <si>
    <t>Utilidades retenidas</t>
  </si>
  <si>
    <t>X2</t>
  </si>
  <si>
    <t>Utilidades operativa</t>
  </si>
  <si>
    <t>X3</t>
  </si>
  <si>
    <t>Patrimonio Contable</t>
  </si>
  <si>
    <t>Pasivo Total</t>
  </si>
  <si>
    <t>X4</t>
  </si>
  <si>
    <t>Ingresos Operacionales</t>
  </si>
  <si>
    <t>X5</t>
  </si>
  <si>
    <t>Z-SCORE</t>
  </si>
  <si>
    <t xml:space="preserve">Participación </t>
  </si>
  <si>
    <t>INDICADORES FINANCIEROS</t>
  </si>
  <si>
    <t>TRADICIONALES</t>
  </si>
  <si>
    <t>INDICADORES TRADICIONALES (Miles COP$)</t>
  </si>
  <si>
    <t>INDICADORES DE LIQUIDEZ</t>
  </si>
  <si>
    <t>Razón corriente</t>
  </si>
  <si>
    <t>Activo corriente</t>
  </si>
  <si>
    <t>Pasivo corriente</t>
  </si>
  <si>
    <t>Prueba ácida</t>
  </si>
  <si>
    <t>Razón efectivo</t>
  </si>
  <si>
    <t>Efectivo</t>
  </si>
  <si>
    <t>INDICADORES DE RENTABILIDAD</t>
  </si>
  <si>
    <t>ROE</t>
  </si>
  <si>
    <t>Utilidad neta</t>
  </si>
  <si>
    <t>ROA</t>
  </si>
  <si>
    <t>Margen neto</t>
  </si>
  <si>
    <t>Ventas</t>
  </si>
  <si>
    <t>Margen operativo</t>
  </si>
  <si>
    <t>Utilidad operativa</t>
  </si>
  <si>
    <t>INDICADORES DE ROTACIÓN</t>
  </si>
  <si>
    <t>Días de inventario</t>
  </si>
  <si>
    <t>Días de cobro</t>
  </si>
  <si>
    <t>Días para pagar</t>
  </si>
  <si>
    <t>Cuentas por cobrar</t>
  </si>
  <si>
    <t>Cuentas por pagar</t>
  </si>
  <si>
    <t>INDICADORES DE ENDEUDAMIENTO</t>
  </si>
  <si>
    <t>Deuda/Ebitda</t>
  </si>
  <si>
    <t>Pasivo total</t>
  </si>
  <si>
    <t>Activos total</t>
  </si>
  <si>
    <t>Razón de endeudamiento</t>
  </si>
  <si>
    <t>Obligaciones financieras</t>
  </si>
  <si>
    <t>Ebitda</t>
  </si>
  <si>
    <t>Activo corriente - Inventarios</t>
  </si>
  <si>
    <t>EVA (MM COP$)</t>
  </si>
  <si>
    <t>Zona de Quiebra</t>
  </si>
  <si>
    <t>Zona Gris</t>
  </si>
  <si>
    <t>Zona Saludable</t>
  </si>
  <si>
    <t>Año</t>
  </si>
  <si>
    <t>VPN</t>
  </si>
  <si>
    <t>Tablas Tornado y Araña</t>
  </si>
  <si>
    <t>Resumen Estadístico</t>
  </si>
  <si>
    <t>Una de las herramientas de simulación más poderosas es la Tabla Tornado, ya que captura los impactos estadísticos de cada variable sobre el modelo resultante. Es decir, la herramienta impacta de manera automática cada variable precedente en el modelo que se ha especificado de antemano, captura las fluctuaciones sobre el modelo final del pronóstico o el resultado final, y organiza las perturbaciones categorizadas en orden de importancia. Precedentes son todas las entradas y las variables intermedias que afectan el modelo resultante. Por ejemplo, si el modelo consiste de A = B + C, donde C = D + E, entonces B, D,  E son los precedentes para A (C no es un precedente ya que sólo es un valor de cálculo intermedio). El rango y el número de valores perturbados es especificado por el usuario y puede establecerse para probar valores extremos en lugar de pequeñas perturbaciones alrededor de los valores esperados. En ciertos casos, los valores extremos pueden tener un impacto desequilibrado mayor o menor (por ejemplo, no linealidades pueden ocurrir cuando se incrementa o disminuye una economía de escala y su alcance llega a valores mayores o menores de la variable) y sólo un rango mayor captura este impacto no lineal.</t>
  </si>
  <si>
    <t>Una Tabla Tornado organiza todas las entradas que le dan forma al modelo, empezando con la variable de entrada que tiene el impacto más grande sobre los resultados. La tabla se obtiene afectando cada dato ingresado precedente en un rango consistente (por ejemplo, ±10% del caso base) una a la vez, y comparando sus resultados con el caso base. Una Tabla Araña, como su nombre lo indica, se asemeja a una araña con un cuerpo central y varias piernas saliendo de ella. La pendiente positiva indica una relación positiva, mientras que una pendiente negativa indica una relación negativa entre las variables relacionadas. Por lo tanto, las tablas arañas pueden utilizarse para visualizar relaciones lineales y no lineales. Las Tabla Tornado y Araña ayudan a identificar los factores críticos de éxito del resultado de una celda para poder identificar las entradas y simularlas. Las variables críticas identificadas que son inciertas son las únicas que no deben ser simuladas. No pierda su tiempo simulando variables que puedan ser inciertas o tienen poco impacto en los resultados.</t>
  </si>
  <si>
    <t>Resultados</t>
  </si>
  <si>
    <t>Valor Base:  146937073,615179</t>
  </si>
  <si>
    <t>Cambio de Ingreso</t>
  </si>
  <si>
    <t>Celda Precedente</t>
  </si>
  <si>
    <t>Resultado Inferior</t>
  </si>
  <si>
    <t>Resultado Superior</t>
  </si>
  <si>
    <t>Rango de Efectividad</t>
  </si>
  <si>
    <t>Ingreso Inferior</t>
  </si>
  <si>
    <t>Ingreso Superior</t>
  </si>
  <si>
    <t>Valor Caso Base</t>
  </si>
  <si>
    <t>Análisis de Sensibilidad</t>
  </si>
  <si>
    <t>Las tablas de Sensibilidad son perturbaciones dinámicas creadas después de una simulación. Las tablas de Sensibilidad son perturbaciones dinámicas en el sentido de que múltiples supuestos son impactadas simultáneamente y sus interacciones son capturadas en las fluctuaciones de los resultados. En contraste, las tablas Tornado son perturbaciones estáticas, lo que significa que cada precedente o supuesto variable es perturbado en un monto prefijado y las fluctuaciones en el resultado se tabulan. Por lo tanto, las tablas Tornado identifican que variables muestran en su resultados un mayor impacto y por lo tanto son adecuadas para determinar que variables simular (por eso se utilizan antes de la simulación), ya que las tablas de Sensibilidad identifican el impacto de los resultados cuando interactúan múltiples variables y se simulan de manera conjunta en el modelo (es decir, se utilizan después de una simulación).</t>
  </si>
  <si>
    <t>Las tablas de Correlación No Lineal de Rango, indican los rangos que tienen las correlaciones entre cada supuesto y el pronóstico objetivo, y se describen desde el valor absoluto más alto hasta el valor absoluto más bajo. Las correlaciones positivas se muestran en verde mientras que las negativas se muestran en rojo. El rango de correlación se utiliza en lugar de un coeficiente de correlación regular ya que captura los efectos no lineales entre las variables. En contraste, el Porcentaje de Variación Explicado, calcula que tanto de la variación en la variable del pronóstico puede explicarse por las variaciones en cada una de los supuestos por si misma en un ambiente dinámico simulado. Estas tablas muestran la sensibilidad del pronóstico objetivo para los supuestos simulados.</t>
  </si>
  <si>
    <t>SLoYkPQu0APGq0MGAJtL/Znx8FCpo3cRlNPQCK/SFyLT/B4QTyMLOyBSaZwWhemND+QaxRaqbaokYwzkNEKoudMcp2llkonQIJ8RUhZJLOcPf2KwlDB5vgyLtFsNjh9EnCdjI3bdFnNru3MQvVP68pLjTs1Ebhh5aWEnoJXwgMOw5JbeZDEVdhYD46hUVw72MNXCm4OHn5GGAmViLACp8raQzGsFmWJv51L2FRbUf67Mts80TAJAPjtN9AA=</t>
  </si>
  <si>
    <t>EEFF!(Q17), Crecimiento_Nacional</t>
  </si>
  <si>
    <t>Macros!(S12), Precio_Internacional</t>
  </si>
  <si>
    <t>EEFF!(Q68), Dias_Proveedores</t>
  </si>
  <si>
    <t>EEFF!(Q66), Dias_Cartera</t>
  </si>
  <si>
    <t>Días Cartera</t>
  </si>
  <si>
    <t>Días Inventario</t>
  </si>
  <si>
    <t>Días Proveedor</t>
  </si>
  <si>
    <t>Valor Base:  45258841,3368107</t>
  </si>
  <si>
    <t>Macros!(Q12) Azúcar NY #11 (USD cents/lb)</t>
  </si>
  <si>
    <t>EEFF!(Q17) Crecimiento estimado venta nacional</t>
  </si>
  <si>
    <t>EEFF!(Q68) Proveedores</t>
  </si>
  <si>
    <t>EEFF!(Q66) Cartera</t>
  </si>
  <si>
    <t>MbnhBMcxOww0+YMJFTtQpphI4/IrSC+oDIGA6yyuvUlkgd9KSvdRr4MLztaAQy14npJVWAiFiUTBZo42fxduOL4vZp7CMt7Dq12lRfYrF0xXfqUfGY5BOR1jYJjAGBV3BYOX9AFnAjKUF5wJOypozT2Xxl3uEPsVO0w7oQvnsn1xkuRJOc5LmwWcgK1Hpo19FnhheHNGhz+6xSEiAq6Lof0HboBaV4kodJFW0Kf9tkM4ixwJQOGq2lQ7sFM=</t>
  </si>
  <si>
    <t>qY/DP09deXOP15WHi2/ltqDMxhF9UDuv33guYAILPQgg8Jc73SjnbEYLjgJL3PBjMHN8qoxXDQ3CUOaz5G2iHm3CO+1RmB21aditm0lgcnpFVynlIXls2xMQ3bvXN4HA0wx7SWIXWD4FfJIqk6wFAgnLGatteNRybb1yx5hTYJ+JsVdkn7YKckqiBGUF2X5TYH0zBAmJSBnA1ifdPJOq81Az7QkOTIKvf2SUl9gGWSB8txgPBs8Avk+/Pik=</t>
  </si>
  <si>
    <t>X4ssuzOIWGpJ2MsiA4XaPeS5TpcSNsHSt4Etk9XddcULWS5fAFyqMHfKUL4XQqQ5+dzBAR6TZ4LSjIaA6JatKjVQMBy1isPCl1YHf4FNguG+PvdE2sBVo4UcwstbVacXLfoHN6bZfFSw3CaCMeQF1tDY6O+WQvNu0Fp7mBrlxhfUL1faIb8t+vHP8tnUWHX8T9uaJNhCkgnag7+l2J742Xb80Yz3C45eITowkHQtQ0pe5ZiiH9LCVhQr8R4=</t>
  </si>
  <si>
    <t>6O/nnFKU7jrPtClQQ8V8PJC5RQgPqzYZL9szJuhxX/A1riUA5qad2+T4QjtaVOvaKDn7TKhEIQj6addiR30gY4nRr/tUQlLsTuSCUa62Adb5jhXRjkd1Sa/zf+Z7TL/PyctfO1pVDuOsqB+De6gIThq01A1rHAUw5em35TjZlxAX8bLVOrVid8b9Ykku+IhC7Gi6BnFeIhpdTBJh32kdPrQf7bEdYZyqzF7i8DkJO6b5pYJ/PxZY0zLqjik=</t>
  </si>
  <si>
    <t>+ppsHQkTxTrMOqCXTNWZ+NCB8IGCQAOQCoJRGvBSdlYBJiOsUWIxbHmivLmblCmXTsTvShHH85XCVg1PVbpz6xOi0hAXz5vB1Toq1RSWaEVuKWyCsePACX8habHs+EdVjqOOjO34cGLCNLQPua42Alhr3bxi3C7z+OXi0MovVdYDmN8foxz/vDo2n3zVx6hQVwkmMs1aK6qaZQ5A910WZntGIEWW0raGQViP96qgBZiebTq5CnfqwzHvStc=</t>
  </si>
  <si>
    <t>h3jV2CbW7g1sJ8+bG84PrGvoEdp1UH7v7BBTxrrB8VhrV3et4tfeCkICelCEImf0W84oRwEKdeRRuuPRe6XpCWfTzWKF92sa9mXEMoJRVYh3OXoBz7/W8P7MGUN7uaC6XWex/+n6a1Ht9fXq42Sh8AdX3PYhzWQfxEXPFQN5KmUvRmD+tCZ7NK4kBy+hW+iqgEmqDkPfBrKmWdsFJQOlxTGlb6+TLKa5h5qS0C4PmZi6qNDRoLHykBZiBlc=</t>
  </si>
  <si>
    <t>q7quZGVNitsKpDlJimfRlHE++XuAbOzMW/I6GJ5JTjktv8iAVr2Hsvo+JFfBRLuu+tmpeK/V2fwyKkMWuqf0qfr9EnPZzjkG7uUEP+XRfLCwWPvZfdM5v1nf378YQU95kamCL3wAZwI3uFbRVzyq4SX8fvjG2R4FXfhUS0wcFHFS7w15ypMXgmU5eW/5qYHUIomSTxUpao9fqhAzPkbRwjBuQ9aUUpduXyjizar3Zv9kSj9e9MdtrmwQzYM=</t>
  </si>
  <si>
    <t>52aoWouWvall36uFTZCKjRunYdE7jpU+KO1OVb/ZyMH32vGPDmKe2dih8ZFpJVwvfPNsXR+pUHTqV6tyP2aCKf/WMyPvNl1f9c57UfjelrxoNQlJ4dzdIG5yVljlkQFH3iSrCxHg7KI2H/n8On85/hnAb43BXSVnT69NEvi05oEUR1q2RS5jH0IWno729quJIhlvgdFb7FT7o6y31j9bL/8H7aRPc9YLDCix23Fuk61LO1RnDXriowqfefU=</t>
  </si>
  <si>
    <t>+Ea8+dyN1zw0KZjHcVj+HE2y8nPZ7C7wXIkzVQQaeTxwK2kYb7J2QZ/u+5BYk+haWxOdH9XC7BnL7Dk+LMVYhYYp4W8jzLS/aOnqhnWsyBTo1f+qhhDzBnaA1KcAssQeugjYoLYc+giCvzVGoHqf8CRxb+mruEigCqeaRP33Zx/8jgtnsd2XuLYZK5xGPnU5ftEVuzKoRQc+1tdqJpIcBrGBB47PgSHUrC1j7S7j3XtF9jz2iT6ezUFWXWk=</t>
  </si>
  <si>
    <t>dUJSAFZZqxzKTledkdPEo991gryWmZ+xnJA7hv+xbGb7OhYGRF/wqopVHF3Q75yGrgsbyLhKP4s5NzX9Wix82AbUZLOz+qwBGzoortyjY2vEvgYAnlsysI1ntXwAunRraBwNMydYFAE4J+tzd9bBpCjlMLKELDxMleuMyMtZPKmBur9DQTpQuhqmWGOZikT61MVHCbtZFn0kX7SMgR4w0cUlst/yBFjP63toYI+c3eis7zug+AA9olVJHbk=</t>
  </si>
  <si>
    <t>xMmJbEyh4EVWUaA5INU3VD8oHjLYO5ZumNVhFx03gJptZpb7n8XWjH3MqjVdjmH6bFEAoCdSk+RUfCuquXB5xoH9W9Mjv9aj8kS2bYLWAdTL+eKv8WiUk9P77aewILzaTTnC9mQ1kFXmuTVSpYwjA2qfsLLPj6BWmYLykizBT7r+qF/PAtp8mTuplpN0V0i2I2dfIf1vV53DuDvmrB1MlGl4UudBFLnsj8EHTOIX0KtLFFYjeW8nffsDYNA=</t>
  </si>
  <si>
    <t>IfCmJOlZnGqAAXzo3m+9JRdczxiSzMrtMNooDdvprLF7/8GH6qzZyKhRZdN85rj4iQZblz8LuJ5FrPPrpDjuhmHWf95HPCjcmXdtDQHOkh5q7GiTsSYLKVt2ykN2+N82sX6/BOJ6AHp536rWigiQqCO7DlIFptNCD6qCk3ICKZXlyRqlgKa8Eii5O5IekG1E53KxNmnheMue7e2HjlzJyWxRk35r3cj98HuRwktS8FbD8442xHksk5boeBc=</t>
  </si>
  <si>
    <t>ARwNFtEUwg2Den32YGvrxIy/dgGVGE8jYoz7Qry0BY54aJoOyPqRjzPxIzhlauEjInFCc0ajls622VcOUf/NSrOqcG2eGl31+ybRGcDl8jJlDQ0mLxDYwa/9+GOIRCiPnzRaTSxXZfXLDlV3IVmPu9O4stTLOQYzDxKZT7kZAJUUMSdUopFwsMkCz5imo41ljF11gxmhAiGdDcXBgbdSJvw/BsmzDhOOlqoIw4x6iXxVHBRVzrgprDfWmek=</t>
  </si>
  <si>
    <t>QV5GMQ8tbDR1pR81bZ3NW7MsfPWbo4X/4FHjcDbQf5h52WCqC4zi2/hjd69y3jEeg0wlOVRO3fe2tVsGkxvn4y4XLWhfW6cBn0IcQ/cMVupzTtcQGIuwEUkOZCRKPdzD2uib6Sxkp6u5r7Onz7TLuk8vX4iL3PMBmGmbOf7zUBnxKFk3b96t7ZoewbyWZG5DCVohxAJdaiTGCLdTlBDoL80CNjwEqoZTjqaT+wrVetb4EnBckp9DSVmBS3E=</t>
  </si>
  <si>
    <t>EcyPS8O9qv71z6p/7VUQalpmvtdNr3XAVU7FTxh/jdTDQ9NKRlggZvuzwqr1RwDiwcWIF9vS+vtAqjpPVdcfIU71yYC2z+oO5Us+5IOs5A9Yz1pe5cwHhKapk1nexlQ1q8WlEMVMsn1GgKhBYrRoGDBarXJGUi7GK3fQRDMtX0hxSWTdux+YI/hQYyPnf4Na8uAotLBiZbdqcfrab676r0qyUxKcfbgBa7/PYLbuwtX7U5v0QC6y8YDxcQc=</t>
  </si>
  <si>
    <t>hLDx2FBGX9t/bQytTkPcxUyrGd35Q8h9qcOwknPjJ6NClep27VMVfbT+3kUXixhBAPn+RUR5giE2wcJfW1xBsmqlASSLySv4msGvyjhvvlv8UzleiRoqjT4vNJtS8xhOaZJSbVc4/LedAvw8hTmOQZ0QcP/TOCAYnWfS3ArC91XKMfgY1SBwMAZaNHdp1sTmd3RgDt8yvUR1+x0V/HqArVIK6qNkiQJTPlSK5kAjN/m+4d8fUGo26yyeRcM=</t>
  </si>
  <si>
    <t>PGDFX32NJt25K5hMv76wj5H/olQVLIVX2j6BbFaiHnjIXYH+eLqEpAWAYF4V37dhAqaW8nDILCj35b18LMnUnI2tbdGrtOhS4YHt6TMl2hCfCtDvRersyni8U3E2FB9A1TRCwWseH/8xMgCkcyKvxTM+USn3dSyrLUgop/Y5b9QFlG8413IiWMyfvgI4Ln//804Swcu1JygaT1nms28aCXz/MkFp1HusA2OUR+sEq6hUwRB+keUjUAKZCbk=</t>
  </si>
  <si>
    <t>9LQt+VcW64LKEtaYGflX3kFnbd8R8PXAEg6uL7jfobxauQFbR/8am6BWBB3+p8qJCDjqpYLA04SRRxnocZrpppZ624/zVrrNnOJxwVgBxZiy2rlKLP1SexMAFPG7ypmLrG0qDaUPQI24UhqxB6kfG8v5o5wxmcAju5PIxALPaDU4nauakzvHkKCG5IA0Pm37dM9UYJd1KG4Q3yA6t/s2FTepoFjZkrx4mlDLljKo/Fm1+5pTzboZbcEm8bE=</t>
  </si>
  <si>
    <t>iJdOQDjhhnZapexNiSmCoIQvUZEJG5F8yE8R6If/bnI1L9+O2IuhWRE27QQ8MUcNET0yOrRTJ3t+Q2R9GhV43E2GLGvCdkXzPLeK2kWQGEQkHRWw9kOdgc20KfTZ/zbEgpuWyo9pbC8jxSCuisRCvPGUoAeTR99PCmt5EU7p97Jet2sWNDWbfKg08HKuHI+RKLmCmeVxj33l0eSKqIqUewQ8S4iFEgXD03ibmWXvs/Zv1d2qMIK29qCUOlI=</t>
  </si>
  <si>
    <t>I0zf7X3YGnetgEgKSC+IYYZZ4joGVR2FGjFcr0J5ta9f/U+XJr3KUfau9l7lv0RF1sBdllok7Dxe6+7z56inQVRz0L3xRIr6VGNkE79lLDsiGHSuQ7jhQZw5dFaOkWa4SnTDtfxIUmRF2QwyVCiKJDP9BlMC0NmbaWFsGlZ4GNir345bBS5ckbYywpntsArnF6d3VfCe8nsO0Bdp8bVB37WKMm6Og0X+IVOBRHkvzo+sivM8lmubjUYmB6c=</t>
  </si>
  <si>
    <t>WEqlA2d1i90Ps+D99E29/S3yANUgaeAMg/I1jUNYJeirD1Dijiqm8X8mNOJ1yaqnsEFEBT+M/67hwA7QDDroq8tLaaTkbMxEXUSHc/iiETrBl0FkHDz4f9103feXwNu997NU92PBJR/uAGwIKLe7ptkRr6QwsOYHf7dBAs5M/xOJUpFCn2dB0DPJnFz5418c6V6jTMcYZ/WluqelO35ILPUjGSbtx3dTlMTf7dEe5UU0Vj8XrGult6jCzwY=</t>
  </si>
  <si>
    <t>xLfpT8xL3VIhefyBbtR/+MqFyHgHw7uYt4pJ1W7MvsDAafRuCmGMh+h5L536Ch23bxN8eKQlZTLWi5wRKXxOYme4i3rPKtExZt4Ttl8lyW5OJYFjxQ3+QKyRqgb5uZJ6ZFzAiGiWHbHjpfQFJV+eVMrrrSGbx9kzA6CfBsF7B9wcGATHgbiIVytlPfu3s1g6ZeDIIq6zkgDkaGwJAaH8iZhnCHM9XDrtkIxHJzHQEbtX/OjLFOWxTYVeEDo=</t>
  </si>
  <si>
    <t>A0PrV9Lb9u98eQtwZW1+vK6BKEDk2xUpqYt+s99nJWvN+sysgVdl4ZveBn8YZStlOMbviK++r4lYqZDIryWr/Ob8eyh2tl8DN+L8TWFfIZ6OEN5M1AGasfKOdIsCxGJ61YgxxQhb794qZGbJxbxt4XJp+SjoKXZ3iPProAc91cTeI9x1V58oxVrT1/tkxNdhs7kYwb4hTBY7fgh8YhFM+haASY5WdXu9dblVKgvgkx27q79ihri6hD7kSt8=</t>
  </si>
  <si>
    <t>f9lUjsLzANFba1MrANHWhWqOF33Z0bdM5M5Tl9AHYU9WOergb6L2Xey3Llgo6+GomWZvRdDRyWh6JqIQvkkvhYwVV9imOJJ7sVNwHzZRznxCST9h+fBNFhkQ4hLCE5JCi+pMuEYyUrdRJyNTUd5LNZ140SnLaGg8qTbQ7qFNAKWyYDOjsXTpk3IFYZk3HqYxEbz589PvATP6qr8+KuaQwpQnvhc+salw+/e2/r9walzm09TJZmmCal8WdtI=</t>
  </si>
  <si>
    <t>jP/XDDMBhR/Y4tvD4L0BHS7KMRMbErfHRl1LW3+PcUNeQJUjqvSNJJsCyVZOMr51WS2x6jhqtR6Y6eUJGa2cXZvTbt2rCv0l9xo31ZcOzlX4Prr/Tb77HlsDUzFbd2epSXePcWwi3+b1E6pvdPUyQJ7lYOpw0cKd4k/FaCHlEFBQQgFQYCRtx3p63yjUtEEMBgQ9g4MkFy6Ly6C73Fl4yDzdDgmDmTVnNnAZkT53NS28fJFLA/P1Of2tr0Y=</t>
  </si>
  <si>
    <t>ymA0YXPWBqfP03hrVA/MDfQUP1lBsrDO2JAmgYs7XLJcnUisJ/8dJvTr6zzBuSwK9QbsZ06TNcn1sODnJiwndDoAqNdNUBcQ2HutDy1B65pRJME7FFxYTuwPxEd4LHkle37C4rTtrtGTLu/2Fyy+aV8FTvIwkPdUTRtfTpY6G8zgUjnw4wZyhoa9QB7ZUOzHuAlT5clRrQ5RqxDL3TKsrtA7qYj17B/RLYa5C5BBAjeT8sQErJCQ4n7OwEQ=</t>
  </si>
  <si>
    <t>1mrICdSwUuwoi23P3CWHGioQKWNTD/A0zp5EhwQ2IY3rxzwkmrNTrL8Ny+y4WCOu528/Uqql1fGw4irJ23WxFOAsJDU+GkHKmQYSUS9GNJb6hk5feV1Eh4xl7ublQGAYyJKfrf4wn73hzfLy/ZY8ORDAV4hGJjg3Ti4vevl6Kafg7WKVlnHCZqlJtztZV2wQl3Ok3hS0PS5NyuInM1SXsCAHVACrvCx/aNEkPwV2iZh+ZgP644evEc0X+6w=</t>
  </si>
  <si>
    <t>riwIg0YT+yqLehO2JawgF2orGDRQDOiTjBLvFkT7/WIQJ59Cx0zv/MoyZtqjAk4jYQ7sKEa5MxJg67MPqC2fxFNAnUhELQ1eNKKX+DnyxQ1KkwU/L9rKeQkl6RcsbBHosHjnrLIKFpFgm49q5DD9bd6pc2qgzYVcdZqJTc5jrPfY4oXObu2JQYxLWitcqD4vPan3Iw00wkUgoWrhkzjfPnZHFjccaQCnslvKTBJ//YF/w5NWy8LyTAHrdVc=</t>
  </si>
  <si>
    <t>Su/Rq9z6eGRZhkqcaAkhtZbNiL+LeVVEH3sAzsFtb3IpPrziQZH1uSjUzwHaYVT0umNRY2mf4+e9oGmCy1vrdhLcgMBXEiBaPzcgNOxveBmu/DZrmAQ+4q1VXmMzLpUuZXzOLe60iAh85kfyGAQIFncLpegZEJerucZf5xm7X2MRh3rEHt3SdrUDA5O4moRuNwVkILBpsqq2P45Bf5/Wc/Qk16yx8820apQ6zkNl84GrHWerBDJmFn//VFs=</t>
  </si>
  <si>
    <t>lVZpo6EpIM6gqIYIiib+jlMfxf3dFq6Tn0WlDFgP15qKChAKFHuVs2UbR/vgkUIIi+3BqAz2pgOIIqZGQ9OKHexNVYBYumA6KC1Il74qebCBxH7ufnvqNZBAE0zNa/h0JdPRoUkm//y1jF9JNFVnZnIkRJkaHBU+CpWGsQ2xsRRvhuXCmSR2ZpS/O+wWVLzdc3JIEZjDKgBydVwqBb6+F/Jtdkzcnr2TBfXc/k6/99vacOO7V6eREz4wQzw=</t>
  </si>
  <si>
    <t>Rxv2kVFIG5If9fra0n4Ejsy4lzz6UBCwXsBBbaQOUYsQS6g2CL11Ka4zag5ducclVI2uVtrCvB5q6tt1SpQttX2Kf5JXyOJKHrrWhwGY0WsMiJSO4fnBJL1EbVZ47Ue2pNmmfHbAaWBMwWKYEd6sxOdJtprUWpezlUxh3vnd7AkKGzRStlqFshjtDOR2nkklxmbpeaTGaQghyoMosRMALhQcN0aJfxQ2R5sWhnz8C5I5HlcI4MLQzvP6unk=</t>
  </si>
  <si>
    <t>tGmIijZB+mxphu2yWXrOS1+lXgmbsIWNNwUj+nn8hkJoS6E4jfMjm9yvDQLh4PXcc8J2j9ZK4pf0afDSzuNrX6RRvrJbP/8EkbK8gbW40YU+5rdB3wDH3RpTC8bhtDJHKBHZ+9EOsZeVnsxbmZ5DCmy9obkqTIfiv8GMQdEdCatLdxbvWXRXEmBHoNqvbNDet+LWLnQaC3vuf5ftVJVIjuV1TtRAumCqhSZvINgXBfL+QSnCVTiGXOVRuDI=</t>
  </si>
  <si>
    <t>epaA9+bAwiNpGzGl2CuDPmxm8JD1hCTnk/lp+0L0gP8hISVN5qwL/czxKXPxIVtX3phbcI6a/CfEGBgEORidx43uVOcXifaYPAORdmRkwwZIp0xm62BRHw2pWYz3FlaTWqvavFkrNLVwPERi74+Thm9xNuNRriLMm6YTtKCX/BOMc1fMnNn7wzouaM2ijEnNRIhD8NBsKaxX7/io+2txh//hAbZxcXD9HURn5q9KBoNAcTdrs3g+fWOswH8=</t>
  </si>
  <si>
    <t>rT/hzMovbmqItbg7GAl+3jR1ITLWqL7Xlw4uc15kTrhcKSN4HsZhiPFspRYuogKRC2MVR+8RXb/RYg0JEHryupaQaizYeR4ifb21zxg40O7wkbb89gu1wzIuAVyIABa8O/d5SFCFjpP1E7G/0nNGZmneqyg3fo5M7CN3Lr0RAJG25MZbnVSD/JyCO5BpHos+Nf4KCXtBA/29OGU4YgFETbswzpxSdNt2gGGL3YMnOo7y1eDU34e+W90hGxw=</t>
  </si>
  <si>
    <t>FGVD64dshO4oR65Hk/0/pGKlo62MCgXBOFz4tye++u2zfeCnM9UGagj3cuEbpGaNbbAyCG8L7mKWKzTT8lQJqssxmSUHfQQTqcHggZVc9UJQ5xsdfyGcnKbhJlm1mJlSvbbiQc4SY5Lkn1HidbXqXdZJVuSjelucACOMTLKYCtn2r7MtzfwFBlxtxGuKMDpTneTHkds+u9p8S+OMxkMetdE4y3Jv93fIks1ZXVSMvQIaO6ifuym3EgRrbqc=</t>
  </si>
  <si>
    <t>QiYgaJLkOHZikw6cToTyDtdAycjVcwrw4WVcMJAn+im8FMLoWy5HI358ySHQ2e3zps4IM+iTZ4rmyN/MTl7A/O/3ixYZpL9gvoDYYp0BCuJ9+7GzZWwD7aHnXpyLLAEottZR/Vobjsrk6ar0SjxvQe+f4PueqMfEKF+hDVT8nSCCjLnoD16JIW2aux0LFf8Zt/j0JODEu0h36yzKeqslg9PQs0AdDPM6z32u3Fma1ZFOagbXrufIjZU5W7E=</t>
  </si>
  <si>
    <t>bEQgC6LBddgXDZV3a5HRDvBVNcqmDKHLOQU5f5t3ZXqMNcYuUkJ1M2d5nL/VCjEWczfcNvu1vW9WVTEXmVjpFQLbYcJDOoFn09QXxsFUR7HLUAsmrimG9LBHePVIMuenlzDdT8zAk/UMVu+Ekx3VhULJ7gKuOU3vjjUWC2fQyR3VeTYV3qpYAnDKxjiUGHhKfay0OHeVyZpwirHT5I/VT0ZVbIzLlDjIEMiDl+Q+/BBARiOWwUGE8uH5rmY=</t>
  </si>
  <si>
    <t>sI3rhzjS96/cQMmefnjXuW/4J9T6z8QIsQpjx825wtQ6vQDJnOf9Lx3mXEFkEeCjX0TF9kbwmEP8Gk8CEsbzB2kS3XLS2fMEGQ1Ga6Q7Z8BEZD2BUDbRyCr1gQIi35NWMUtSSsM9E/wgkTP2lo7oeNNIyRN+iS0uDsE/ndItOMiNxw9//GFR8j1HyftHuT1iAYgfqurzP9FeUWHHQKllJCOXaKI9MhLRNbVWa4vWnfsUkk8tJqfTDtYP69Y=</t>
  </si>
  <si>
    <t>MR4MvdxDm8WhsHFabZZelHlEp2Ot5pVNTYaYDiStT+Rs/aDT4Bp8M0pdZuGbkVXDI/uQ4BUXwx0m1MCvvM8XCkL96AwwsNPBuVnfcgyVDzYbk44KQnp5bXgNG00sa/PNsO5j74A6SWeaBYAinmjwoIt+qLQ7YWcw3pCnTTQEkuorbAGBmBaYFN+vxDcZNbZRDQzDulx38BfVsVZAtNncHVE9Qx/t7O1HnXZdlzECozdscPBaALA22fVn6Mc=</t>
  </si>
  <si>
    <t>rlE6M5mjU+aASjHsKY38JSwOYPqKulZJo6Ot79VXLWbOTztImypAF8QjNXGjcTu4pKOtAnpRzHKNK91PCWHxSwtwUNOHQt0i5GJB2N+5d0RN0Z9yhbO7TNSclLXYCu70VRz5scth4U4WcII8PAKz2HDe5yhq9KtKWpyAHQMPjzE6T4Er7zBlMk9akt1XIC6Lv826RCg9LNszwwxuNTrqvFqnsNyfT5zJM9ncYluUqDWQpKfHHGygPX96aQU=</t>
  </si>
  <si>
    <t>Ega/99pNT7t5Wi7C65Df33fo3DffKOVwn7zpCiI6bGIwnjP4P0cDYZ7yuizl9wADOhDRMpkYnzI6fnFnsxNNfFF1RJg1unpQIjC5vSM0oT7pxDBkpPNHQtWWzZDkiLTX2KqQKVnqJDc3QArHUlNrzFnmKIVYh3bZqUbilf1t6WvwbLNWW06BEw0hPHzdqgj2Fufv79you9Jv2uWCujMF3nhes705OipZ6TUnyNv3mieV/ovNQtjfnKo0Sxk=</t>
  </si>
  <si>
    <t>o3Cd+d/x4dLWkXhlgRKb4W4CLvcUqSRy7PjLhHznBKy5ytZINaxRTMGnl+PdEuEG+AVWLiAJEl6FUK2JOd7DDhcVEkBE5cOY4DDR8v1NfhF+MndpsIlH4TEsTtAXRM61KA/EjF77Ox60lpI7BKOK7p7gKAtR/EdT45NI27NewBIT+m+bsrnoyQ8R1m474lZzaU5k5j5nyxKl8LeGN5qFP5kVO6M4bOT1yLYHGm34z9TavQSTjBA1bYi6QHE=</t>
  </si>
  <si>
    <t>RWIX2/IhA9ZhPVeCKXsNKZUh5uJ9OZsNVPfVzUCjttYP7geUF8Ry+IH1u6eS053uwcSdW084SLIq3Wzzp43jj4OBfdVeTiw0T03YYQ4IakTYVEsYUGEItE63ijkH7yfDtvrIiVFeEeD2sb0ZTALRwW/Rx1nIibFDMjrBBlfhW4HzRKbFiDUuFQgeD42AHlEPdywikM/bdPKV4Q+/8EzGJHRnL38ae0zyxeCRPFKk3pmJ2AZvEQhJ3/mOI+Q=</t>
  </si>
  <si>
    <t>ntCSWiW7/hwtb+ai+qA0JAq9X+MgVDQFo8waWF7LjqDR6TyvKtdxZqF2saFMsTjVhjV7eSPEw56FkNSXiyMATEB/zIEX+iPhlBffCmInPKNLf/aJNbS2hZvEZWWG79zsVJgXK8a7eR3rA6JRrxXhrvMHbsiJu5fz+8dx7plNuYKGOKXkSEm21p7K43Meqse65TCRXx728GVGhowXVbMGZfDQghM5PcSaRTLUWajcaVQpISl83MY5AH9lkgE=</t>
  </si>
  <si>
    <t>WnD6kIYhM1+TVQKAJI9tvIaKI/mvtwzmDk4+0YtKSwTuh9waYRADyZ0gezSnalayKjyp5hwXniTTyIJ2inhCTlWPOsh+u2vOk94WjMaWZ8N+mbn9UZ/NGZ9vOGjC9ZzlJxuHMyuq1Cpj1ttlUsoPmZoHykyCSk2eEB+GaV4CctlIFLqYi823ryvioKrC1mR1eV8axrjT4ACu/np5Cdp2SwG6b+vcyMkSk1CPcnnTsG/oDEkmugF+5xUQ8B0=</t>
  </si>
  <si>
    <t>oR3ausSibM7AKuhV/whlL3oMSfNczkmV0ldxwQoZyNEkPpN3G+bhpJCgrIZFjWz1cYpbDJ0BsZEqKV4k9D5X0EZFVHpgW4bflut3Aia7sJv5esWkPgPTXO10FSiyYUKUGCLPVruPfXMvkFaSoVk3IjyjJrz8RlslF98TztCJ2r4Sa6xjkxjJ9GueKpK5XCn0MW/aq4TIlcDgqBZG+t0aMrIPymsOYdZYZH7RNFrJ3tJcmhYdJgjQS4z+/Hw=</t>
  </si>
  <si>
    <t>9vAM2/IGkgiQnfwZrOhLAJ0AnUFtcO01yazsAnbTu3wKVIPweiPWLjk9l4YgxOGyMGpJCkuClYnebESobsOci5T43bZ8Nwa7wyW1msL1+oy42ZzRwxIeg229Lr2ECQIVpL/5SOz94kt42gMAJ7rjbzPvuFTGX757rb1Vvf1EgQ3ukpCfL3S/QSXRkT/xGBhT7x/p6nssVA0hDYsWtLY9iwf4ZzCaVluvf/z8Ddtng2Pbp0Z7MvSjR8YMl1A=</t>
  </si>
  <si>
    <t>usQIpMAwAl2kVbYPWm1jHJ6uZkcKJC8CKDous+ENHeIaQwfWHcw1xL6KEw6hY2/oOa3TvYjgSepTCWrReQlYMRnNRuB5Utmmbh62pbnazsik1YOHifoWYf523i+VESKngQQS3ksTuCHhsuDyR5FGUHN9UdXOnBDTPrEGAT1ApH0tngcDVVEbEvhxm27vomPnh9CnH3Wu2oho3UxsJuxYYeRQsm+4vhH6bqow8XK0kCiLwc0/NNn8jLsGp4Q=</t>
  </si>
  <si>
    <t>G/jDSfk56WNSlhIu6S+f4WOwEAwMYUu4ElzEAIMoACBQHC3V5F175JtJ7MhVys4HQkXuisGDSvhFAmIbc6wj1/1axBSz0VCdEceVlx8KAdKsGm+keQViXOIK2E5rEexqDwtvQh5hr0cYLQ0TEsw8jEZD5P7Y3nC0zAHO+gBi9SodtwavYemehrxh7MDsyTaDmsHPC0fLcFe1MawHcdgVkT27YxLvwFn5xtE+tL1HTLKa71MuwCO8st0kQNg=</t>
  </si>
  <si>
    <t>W+GAkg5PEKewrpHSL1dWDUKCbKnqmBSbx9b3zCMn6j1dBUetH9sfLO6Ckbp/VCHWKJf7REkeHAcEAGUI8eiLQjXQ34mJV+6Zj6wUHS5Ssuu6fI5Y5f1Mgh7y9pT387ZPZqFhtJp7eNQWPBTfqq79r2jWwEXoWEStod8SvlZl7Albs4tB9ogZIPCPD4V8wDwvtw/cuzYt2H9+me2CXIMGTSYYTK3xyFd2gqREoz6uz/kXjGGVl5WZQHWJ0Hw=</t>
  </si>
  <si>
    <t>nEXJ3HFdsawJxe4kKsr4FWtKxOIB8eRW2a8HgQtiAvITfIFqi7bIQL1YJWHJwY1gb3GPaZ0j3pmKDBloQqpv5MSte9XTHZH4y4cYZi1ijAsiXmgNDbNzhi4UemuujKmUp/4lk5s3dwZQM+MAn4w4AfVo6JAa/nPXmgODb02qPzzgNZvYguQQxNX8yIKv2rvzYc5kobf/sqWkAmP4JdeAFXuJCBWakroEktmamg1+1ovMXkGwA3/Yn4JIN9k=</t>
  </si>
  <si>
    <t>3TS14DU3yimNUtFGplHJEeJWm17S98yqVjg6jj60H3lpzfFWAlCiRCMlTaUL3iO3+aUI0XNVUX/BeXZKzTo+unp6aLLqXvSenbK5pFasawQzg9SNlmwtGcjuy/r5VaCWluCAjoDV3upsdUrlspbbarP1nTUI8c0V/me78mprL+Uxl23lnVSBDNJIQiDilAuZFJpu6abSnkThkuJ/k5KJrXVETwKizAeavT7Sia76/TItDjZTUmj9szdVTsI=</t>
  </si>
  <si>
    <t>UOqF2MpKAY41OBL8cLWVwqIff7EcgHW8J7bYpSFWCFH5hQAwcjCw33SH8ysmnlTwApGBTqrq4sBcCPY4B6ldNm5WMfWn5xO1s56D4wDsja4e+nt7PtYvG1d8fADQzKa6Q+e1DlzH8ifahgiFgnmqV00Pe7Cf3aG5Bm32YlOSyRQKB9kIG7ezlsH68ndwZjV/uzz16xK55ERvquMoMzYfmMy0OlHPkBQyqkX3dE5UJ/34j1ZDV67mRQyaai0=</t>
  </si>
  <si>
    <t>OL954pEN0S/Tx8VlUs7rSt1EbQVV/vcU4DeXswPNLqcRmkTQx78O0R2FxdXXGWC8IBp7Au2VlS1H4Dot0O+Xtd2oJggWl2gvFLLRFDE66YPAxLJtWXZ876XdJUh226GV+JEvCPc9Nqc8IxDwqlxmJ+9y5w41JxAUqygjcSPdYNhGx4pInhxvXK12LrCh15bN6SxYIk1mKhnSl76ElbkC8IFdxXH8UmLijBkRqWMq65u/LPCW6duJs2B5L5o=</t>
  </si>
  <si>
    <t>jBoDBDm1mvG7J1slxLw7u/6roCg9VNtjsUKdnXA/KMgzdqtsgqnd0uv1UTuJzqIA4dP92w4zERg29tlxnngN5rV0Fcus2bkw3tvpZvwQ6KDkcmbxSKS2MIPFbZDyXCu7l6bi7wHM6q1Ofq3UlpSGXRTecQotCsqsUaXOIIpjCJYqwJrfWCbVlye3/9huNzm7OOAJmGPchV/FkKF8HUMlfaHdxrB4c3u9f2fvlzjhS80Vn4I7M5MjTuaYiaA=</t>
  </si>
  <si>
    <t>JM1VQ2u2vYOpHq3C3skyEmVb8SRqgT7sB7y0wXOf/18YkLJf+Bg+4fI/ZWjJBl49yEtYA7lg/H4zWpYLVZtLzloeeqLWrXmRkkJQr1U8SdzJmH7yCFXQhb6/gRojWAdxFGczXofN9uj10ygmUiuieqmBLXeAPohjtWyN7KaqcYizD3MqFB9MW2YPeAAgvH3Qlecf2/UA+Pym7Kgfkbh6TgMpk1nOmlW+EfI7kknyUxHCoJPcZ/YYC9Fv7RA=</t>
  </si>
  <si>
    <t>nwIIqVn9NZBrOE8YZh6gtZ4WNcSDhQMIhh/kBqlHvvla3EkSaTrF0NyFhYG9cxBf5RJhpAajMv2QcMT68wpIweLPGaIPiwbpxQozvo01IpUY/YLzHnvgwfQybRk0PXM/PPylTXWFcKXq2oA3j8uzcIOOOF5d+uddfOQapv1CHW90A7HB0NWNs1DG2IoVR7w1nRV4IHdIU9vBe5/Gw0AvWL+bgklEyZDgikXjRkfKz0i3R9xp2QQIw/nZoe0=</t>
  </si>
  <si>
    <t>FjUzlZqUhxvYBopNIlA4fO/otyOl6kI9Ynhpq4d2OVHmu8CigeEKko0mo3X67zF+/85CX9ui7srVfxW+isq9In54LnltL4uSXLCg/y5iDi6OqdlYkeubE00DnBQTm8D5/hpuOHBIjOUjDNWsTuOCx+mt/NiyH2hKsgZiaozlIocMXoMCNnJMQSoqqDCxGzAM0UaEcraoTg+yRrqGwx+tdKMM+1Q3ggv0FFRvZeR66/uzPtmE5dSY8hTb9VU=</t>
  </si>
  <si>
    <t>NMy146qEpJgW3Kny3+U8ysXDfcRwT9l0KodY4aQJhEdmJNlYZZRLW+R+2dLHFXh+D2qvWVzjbPEIzZXzN4x/PeCUmTnG8SK33TvocNlC7cHI1Cipq8ueVvNxgSAw0a6oHtlYXPIxIZqa/YCGgxmAgBrCB8BxFqEXYvpeVae/nMbA8Ruv4PBHYmVwWMPsbJCoj2R0WRvbD6Dgv9mWWph2ulfQ+7VGHGqlem06PJPx7QBMCXp3KZYVuSM+8I8=</t>
  </si>
  <si>
    <t>iyb5Eqhkcod6Y0FucqjNvIlrP1xYjQxPO+8opJrxyZGq7/c55zlgFS+4BhPnaxBYDks4ZsFUctirH55QBS/ffL45vOxQ/Kr56QUL7QeQ+0BlnI5IsEISNnMaTq2Kz2vIJOvGix9Emc1BhtIAPwQBg4MF6s8LlnT16Smfk4r7pyMri4ODK+SlSgzmR9/d6XbeIF8C9IeItnYh74Dy8b2ThsJxbBWcB95Q/HHV9zMsyhKG0j0h3i8UjaAKkNA=</t>
  </si>
  <si>
    <t>jw0Rrhq7eCpGN80XpDyv0qEhWc4iEWth3728k8MankT5eO0viKxj1vYIox6nEeuDlsu7jm74fizJkE4HrDpMM26sAMgjStMsvquPkPgxrBrXurHhTYZzbgqkmei5XKPQ1Pmihn94sHUI2WdhSj9mAVxz4/6mtZFvYWr0H9MB2MfKY4mwoCw2R8OC32etntbpb/VgBQyEMQFIhZcXgrapiv0dZvpHqI9sDKl+UTHeJmzw9HEoXey1hWtraDg=</t>
  </si>
  <si>
    <t>NTfc7gHrxWUXKLHD1IWZa7LxuflBBcmIOJf3rVjJeyeP9xKW2Vmt0Kx3M6HaHQhfxUiIjbWA9F2rkaDFMO3TdCYzDhtRRAGA2kMU39U+aE9AyyDEXB1HRRtwAirlgXr1HqRpYxzjoQ3z0ZR6BkD8wfAYzEzcvQE8p5AUra2Dt4VV/XE3eUHVFc7MIQXCegd5NMd+1ie/XLNa0hluUCFU6yEGT3b6rQK8jYy/gEFFUFyR3u9GZ/Uh3o10xTY=</t>
  </si>
  <si>
    <t>Lx89GPCBM+FuAbgn7XFASb/HBIsv4+j8YrPnmX5hzXFMpK96xlVHRUnTR+R2RPeY2FnAn3RFrq1qkxJY1BWUlJCtIF2f1Oidg74DmpL1HHQG7+O3xz2x2dP9nGrFRqEF/B13q5L7WqI0BA38uDo6t3Rdu8yiKZ+g0gQ6tFaNRn/+jZ2o1LJf28+GH5FgVEcET0Qfx8oWxAKvnGoPUKJNw+jQ9bWeLXFwpabD2sdFGaNZ9QKDzBM9wMJ6v6k=</t>
  </si>
  <si>
    <t>FYRqg4EzFxk3qLylhfkknZ17eXJDWHdUxCyJ1loBHXLLExRgdHwXPGqMNlEXES+kUltGn/dHIYYO1dfZfO8uI6eeVs9KugZbWMhusLoqfEa5cibuVizzYla991YQQBq8np7yLuMTZHhiwWMsyS9/HVQMK1FO6iv0C7eJtcYUZcOaET2/n/AwHpH7c3P4zMItwQW8Wk/OSOX1psXGvjouOWo5N4vOw1x2nKdguyFqWB5ULX69cvtk3oq9pTM=</t>
  </si>
  <si>
    <t>LoxrrcsniJQhvnviZeCtNQ8FrpHzlVBB0JI8izdv9gugUctJeTUBs/exxoGkdV6/pqIhaxNnRfIpIbA0EO1oEGGx5RoQl5UM8jXzILn4cKg7BDvYqJuRwniPGPbFbwnRnjoJyLloqlyqtz9CXH/fvNH2JEztOBDKcnw9b6uC5trTRDc5Om05SjFee3sUHDP/KE183KzO/vJ+a4Njv9fxgH3qYQjRXQQ8LUjYCoe3/MOLenrESN/NXV05PxI=</t>
  </si>
  <si>
    <t>v/082Nybhdkbt37nE7JEWEuwhuRxj0HayRGmUXb+pubc+XB2A6qX5ej0pHUAlSzjpCYgDsbc4ymtikL3g8yEpyaZKJ/gzYVbyhRXItt7Ny8p0p2WxNa5lP4blm40sEHrmABQmcmWpbKk7o2uagnm9w==</t>
  </si>
  <si>
    <t>Q12 – Precio internacional (USD cents/lb)</t>
  </si>
  <si>
    <t>Q17 – Crecimiento ventas nacionales (%)</t>
  </si>
  <si>
    <t>8,50%</t>
  </si>
  <si>
    <t>Q68 – Días de proveedores</t>
  </si>
  <si>
    <t>Q66 – Días de cartera</t>
  </si>
  <si>
    <t>Variables</t>
  </si>
  <si>
    <t>7,5%</t>
  </si>
  <si>
    <t>9,5%</t>
  </si>
  <si>
    <t>ROIC</t>
  </si>
  <si>
    <t>ROIC-WACC</t>
  </si>
  <si>
    <t>NIC (Capital empleado)</t>
  </si>
  <si>
    <t>Valor</t>
  </si>
  <si>
    <t>Utilidad operativa (EBIT)</t>
  </si>
  <si>
    <t>$83.832.683.000</t>
  </si>
  <si>
    <t>Tasa efectiva de impuestos</t>
  </si>
  <si>
    <t>$54.491.244.000</t>
  </si>
  <si>
    <t>Capital empleado (NIC)</t>
  </si>
  <si>
    <t>$89.333.224.000</t>
  </si>
  <si>
    <t>60,99%</t>
  </si>
  <si>
    <t>Indicadores de liquidez</t>
  </si>
  <si>
    <t>Indicadores de rentabilidad</t>
  </si>
  <si>
    <t>Indicadores de endeudamiento</t>
  </si>
  <si>
    <t>Indicadores de rotación</t>
  </si>
  <si>
    <t>Mínimo</t>
  </si>
  <si>
    <t>Medio</t>
  </si>
  <si>
    <t>Máximo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</si>
</sst>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 #,##0.00;[Red]\-&quot;$&quot;\ #,##0.00"/>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0.0%"/>
    <numFmt numFmtId="168" formatCode="#,##0;\(#,#00\)"/>
    <numFmt numFmtId="169" formatCode="_-* #,##0_-;\-* #,##0_-;_-* &quot;-&quot;??_-;_-@_-"/>
    <numFmt numFmtId="170" formatCode="#,##0.0"/>
    <numFmt numFmtId="171" formatCode="_(* #,##0.0000_);_(* \(#,##0.0000\);_(* &quot;-&quot;??_);_(@_)"/>
    <numFmt numFmtId="172" formatCode="0.0"/>
  </numFmts>
  <fonts count="65"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sz val="10"/>
      <color rgb="FF0070C0"/>
      <name val="Calibri"/>
      <family val="2"/>
      <scheme val="minor"/>
    </font>
    <font>
      <b/>
      <sz val="10"/>
      <color rgb="FF0070C0"/>
      <name val="Calibri"/>
      <family val="2"/>
      <scheme val="minor"/>
    </font>
    <font>
      <sz val="10"/>
      <name val="Calibri"/>
      <family val="2"/>
      <scheme val="minor"/>
    </font>
    <font>
      <b/>
      <sz val="10"/>
      <name val="Calibri"/>
      <family val="2"/>
      <scheme val="minor"/>
    </font>
    <font>
      <b/>
      <sz val="10"/>
      <color theme="0"/>
      <name val="Calibri"/>
      <family val="2"/>
      <scheme val="minor"/>
    </font>
    <font>
      <sz val="10"/>
      <color theme="0"/>
      <name val="Calibri"/>
      <family val="2"/>
      <scheme val="minor"/>
    </font>
    <font>
      <sz val="10"/>
      <color theme="0" tint="-0.249977111117893"/>
      <name val="Calibri"/>
      <family val="2"/>
      <scheme val="minor"/>
    </font>
    <font>
      <u/>
      <sz val="7.5"/>
      <color indexed="12"/>
      <name val="Courier"/>
      <family val="3"/>
    </font>
    <font>
      <b/>
      <sz val="10"/>
      <color theme="0"/>
      <name val="Arial"/>
      <family val="2"/>
    </font>
    <font>
      <b/>
      <sz val="11"/>
      <color theme="0"/>
      <name val="Arial"/>
      <family val="2"/>
    </font>
    <font>
      <sz val="11"/>
      <color theme="1"/>
      <name val="Arial"/>
      <family val="2"/>
    </font>
    <font>
      <sz val="11"/>
      <color theme="0"/>
      <name val="Arial"/>
      <family val="2"/>
    </font>
    <font>
      <b/>
      <sz val="11"/>
      <color theme="1"/>
      <name val="Arial"/>
      <family val="2"/>
    </font>
    <font>
      <b/>
      <sz val="11"/>
      <name val="Arial"/>
      <family val="2"/>
    </font>
    <font>
      <sz val="9"/>
      <name val="Arial"/>
      <family val="2"/>
    </font>
    <font>
      <sz val="11"/>
      <name val="Arial"/>
      <family val="2"/>
    </font>
    <font>
      <sz val="11"/>
      <color rgb="FFFF0000"/>
      <name val="Arial"/>
      <family val="2"/>
    </font>
    <font>
      <sz val="10"/>
      <color rgb="FF00863D"/>
      <name val="Calibri"/>
      <family val="2"/>
      <scheme val="minor"/>
    </font>
    <font>
      <b/>
      <sz val="10"/>
      <color rgb="FF00863D"/>
      <name val="Calibri"/>
      <family val="2"/>
      <scheme val="minor"/>
    </font>
    <font>
      <sz val="10"/>
      <color rgb="FF0000CC"/>
      <name val="Calibri"/>
      <family val="2"/>
      <scheme val="minor"/>
    </font>
    <font>
      <b/>
      <sz val="11"/>
      <color theme="1"/>
      <name val="Calibri"/>
      <family val="2"/>
      <scheme val="minor"/>
    </font>
    <font>
      <b/>
      <sz val="12"/>
      <color theme="0"/>
      <name val="Arial"/>
      <family val="2"/>
    </font>
    <font>
      <b/>
      <sz val="12"/>
      <name val="Arial"/>
      <family val="2"/>
    </font>
    <font>
      <u/>
      <sz val="9"/>
      <name val="Arial"/>
      <family val="2"/>
    </font>
    <font>
      <b/>
      <sz val="9"/>
      <name val="Arial"/>
      <family val="2"/>
    </font>
    <font>
      <i/>
      <sz val="11"/>
      <color rgb="FFFF0000"/>
      <name val="Arial"/>
      <family val="2"/>
    </font>
    <font>
      <b/>
      <i/>
      <sz val="11"/>
      <color theme="0"/>
      <name val="Arial"/>
      <family val="2"/>
    </font>
    <font>
      <i/>
      <sz val="9"/>
      <color rgb="FFFF0000"/>
      <name val="Arial"/>
      <family val="2"/>
    </font>
    <font>
      <sz val="9"/>
      <color rgb="FFFF0000"/>
      <name val="Arial"/>
      <family val="2"/>
    </font>
    <font>
      <sz val="9"/>
      <color theme="0"/>
      <name val="Arial"/>
      <family val="2"/>
    </font>
    <font>
      <sz val="10"/>
      <color theme="1"/>
      <name val="Trebuchet MS"/>
      <family val="2"/>
    </font>
    <font>
      <sz val="10"/>
      <name val="Trebuchet MS"/>
      <family val="2"/>
    </font>
    <font>
      <sz val="10"/>
      <color rgb="FF00B050"/>
      <name val="Calibri"/>
      <family val="2"/>
      <scheme val="minor"/>
    </font>
    <font>
      <sz val="11"/>
      <name val="Calibri"/>
      <family val="2"/>
      <scheme val="minor"/>
    </font>
    <font>
      <b/>
      <sz val="11"/>
      <name val="Calibri"/>
      <family val="2"/>
      <scheme val="minor"/>
    </font>
    <font>
      <sz val="14"/>
      <color rgb="FF00D05E"/>
      <name val="Arial"/>
      <family val="2"/>
    </font>
    <font>
      <sz val="10"/>
      <color rgb="FF00B0F0"/>
      <name val="Calibri"/>
      <family val="2"/>
      <scheme val="minor"/>
    </font>
    <font>
      <b/>
      <sz val="10"/>
      <color rgb="FF000000"/>
      <name val="Calibri"/>
      <family val="2"/>
    </font>
    <font>
      <sz val="10"/>
      <color rgb="FF000000"/>
      <name val="Calibri"/>
      <family val="2"/>
    </font>
    <font>
      <sz val="10"/>
      <name val="Arial"/>
      <family val="2"/>
    </font>
    <font>
      <sz val="12"/>
      <color theme="1"/>
      <name val="Calibri"/>
      <family val="2"/>
      <scheme val="minor"/>
    </font>
    <font>
      <sz val="10"/>
      <color rgb="FF0000FF"/>
      <name val="Trebuchet MS"/>
      <family val="2"/>
    </font>
    <font>
      <sz val="9"/>
      <color theme="1"/>
      <name val="Arial"/>
      <family val="2"/>
    </font>
    <font>
      <b/>
      <sz val="12"/>
      <color theme="1"/>
      <name val="Arial"/>
      <family val="2"/>
    </font>
    <font>
      <sz val="12"/>
      <color theme="1"/>
      <name val="Arial"/>
      <family val="2"/>
    </font>
    <font>
      <b/>
      <sz val="12"/>
      <color theme="1"/>
      <name val="Calibri"/>
      <family val="2"/>
      <scheme val="minor"/>
    </font>
    <font>
      <b/>
      <sz val="8"/>
      <name val="Arial"/>
      <family val="2"/>
    </font>
    <font>
      <sz val="8"/>
      <name val="Arial"/>
      <family val="2"/>
    </font>
    <font>
      <sz val="8"/>
      <color theme="1"/>
      <name val="Arial"/>
      <family val="2"/>
    </font>
    <font>
      <b/>
      <sz val="8"/>
      <color theme="0"/>
      <name val="Arial"/>
      <family val="2"/>
    </font>
    <font>
      <b/>
      <sz val="8"/>
      <color theme="1"/>
      <name val="Arial"/>
      <family val="2"/>
    </font>
    <font>
      <b/>
      <sz val="6"/>
      <color theme="1"/>
      <name val="Arial"/>
      <family val="2"/>
    </font>
    <font>
      <b/>
      <sz val="6"/>
      <color rgb="FF0070C0"/>
      <name val="Arial"/>
      <family val="2"/>
    </font>
    <font>
      <b/>
      <sz val="6"/>
      <color rgb="FF00863D"/>
      <name val="Arial"/>
      <family val="2"/>
    </font>
    <font>
      <b/>
      <sz val="6"/>
      <name val="Arial"/>
      <family val="2"/>
    </font>
    <font>
      <sz val="6"/>
      <color theme="1"/>
      <name val="Arial"/>
      <family val="2"/>
    </font>
    <font>
      <sz val="6"/>
      <name val="Arial"/>
      <family val="2"/>
    </font>
    <font>
      <b/>
      <i/>
      <sz val="6"/>
      <color theme="1"/>
      <name val="Arial"/>
      <family val="2"/>
    </font>
    <font>
      <i/>
      <sz val="6"/>
      <color theme="1"/>
      <name val="Arial"/>
      <family val="2"/>
    </font>
  </fonts>
  <fills count="31">
    <fill>
      <patternFill patternType="none"/>
    </fill>
    <fill>
      <patternFill patternType="gray125"/>
    </fill>
    <fill>
      <patternFill patternType="solid">
        <fgColor theme="0" tint="-4.9989318521683403E-2"/>
        <bgColor indexed="64"/>
      </patternFill>
    </fill>
    <fill>
      <patternFill patternType="solid">
        <fgColor rgb="FFFFC000"/>
        <bgColor indexed="64"/>
      </patternFill>
    </fill>
    <fill>
      <patternFill patternType="solid">
        <fgColor rgb="FFFFE89F"/>
        <bgColor indexed="64"/>
      </patternFill>
    </fill>
    <fill>
      <patternFill patternType="solid">
        <fgColor rgb="FF66FF33"/>
        <bgColor indexed="64"/>
      </patternFill>
    </fill>
    <fill>
      <patternFill patternType="solid">
        <fgColor theme="9" tint="0.39997558519241921"/>
        <bgColor indexed="64"/>
      </patternFill>
    </fill>
    <fill>
      <patternFill patternType="solid">
        <fgColor rgb="FFFFFF00"/>
        <bgColor indexed="64"/>
      </patternFill>
    </fill>
    <fill>
      <patternFill patternType="solid">
        <fgColor theme="0"/>
        <bgColor indexed="64"/>
      </patternFill>
    </fill>
    <fill>
      <patternFill patternType="solid">
        <fgColor rgb="FF0F2C3E"/>
        <bgColor indexed="64"/>
      </patternFill>
    </fill>
    <fill>
      <patternFill patternType="solid">
        <fgColor rgb="FF13617E"/>
        <bgColor indexed="64"/>
      </patternFill>
    </fill>
    <fill>
      <patternFill patternType="solid">
        <fgColor indexed="22"/>
        <bgColor indexed="64"/>
      </patternFill>
    </fill>
    <fill>
      <patternFill patternType="solid">
        <fgColor theme="1" tint="0.34998626667073579"/>
        <bgColor indexed="64"/>
      </patternFill>
    </fill>
    <fill>
      <patternFill patternType="solid">
        <fgColor rgb="FF0E3F52"/>
        <bgColor indexed="64"/>
      </patternFill>
    </fill>
    <fill>
      <patternFill patternType="solid">
        <fgColor rgb="FFFFF6D9"/>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tint="-0.14999847407452621"/>
        <bgColor rgb="FF000000"/>
      </patternFill>
    </fill>
    <fill>
      <patternFill patternType="solid">
        <fgColor theme="0" tint="-0.499984740745262"/>
        <bgColor rgb="FF000000"/>
      </patternFill>
    </fill>
    <fill>
      <patternFill patternType="solid">
        <fgColor theme="0" tint="-0.499984740745262"/>
        <bgColor indexed="64"/>
      </patternFill>
    </fill>
    <fill>
      <patternFill patternType="solid">
        <fgColor rgb="FF00B050"/>
        <bgColor indexed="64"/>
      </patternFill>
    </fill>
    <fill>
      <patternFill patternType="solid">
        <fgColor theme="0"/>
        <bgColor rgb="FF000000"/>
      </patternFill>
    </fill>
    <fill>
      <patternFill patternType="solid">
        <fgColor rgb="FFFFE89F"/>
        <bgColor rgb="FF000000"/>
      </patternFill>
    </fill>
    <fill>
      <patternFill patternType="solid">
        <fgColor rgb="FFFFFF00"/>
        <bgColor rgb="FF000000"/>
      </patternFill>
    </fill>
    <fill>
      <patternFill patternType="solid">
        <fgColor theme="2" tint="-0.249977111117893"/>
        <bgColor indexed="64"/>
      </patternFill>
    </fill>
    <fill>
      <patternFill patternType="solid">
        <fgColor theme="2" tint="-0.249977111117893"/>
        <bgColor rgb="FF000000"/>
      </patternFill>
    </fill>
    <fill>
      <patternFill patternType="solid">
        <fgColor theme="9" tint="0.79998168889431442"/>
        <bgColor indexed="64"/>
      </patternFill>
    </fill>
    <fill>
      <patternFill patternType="solid">
        <fgColor theme="9"/>
        <bgColor indexed="64"/>
      </patternFill>
    </fill>
    <fill>
      <patternFill patternType="solid">
        <fgColor indexed="9"/>
        <bgColor indexed="64"/>
      </patternFill>
    </fill>
    <fill>
      <patternFill patternType="solid">
        <fgColor indexed="42"/>
        <bgColor indexed="64"/>
      </patternFill>
    </fill>
    <fill>
      <patternFill patternType="solid">
        <fgColor indexed="43"/>
        <bgColor indexed="64"/>
      </patternFill>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9">
    <xf numFmtId="0" fontId="0" fillId="0" borderId="0"/>
    <xf numFmtId="164"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alignment vertical="top"/>
      <protection locked="0"/>
    </xf>
    <xf numFmtId="41" fontId="1" fillId="0" borderId="0" applyFont="0" applyFill="0" applyBorder="0" applyAlignment="0" applyProtection="0"/>
    <xf numFmtId="43" fontId="1" fillId="0" borderId="0" applyFont="0" applyFill="0" applyBorder="0" applyAlignment="0" applyProtection="0"/>
    <xf numFmtId="0" fontId="45" fillId="0" borderId="0"/>
    <xf numFmtId="0" fontId="46" fillId="0" borderId="0"/>
    <xf numFmtId="164" fontId="1" fillId="0" borderId="0" applyFont="0" applyFill="0" applyBorder="0" applyAlignment="0" applyProtection="0"/>
  </cellStyleXfs>
  <cellXfs count="507">
    <xf numFmtId="0" fontId="0" fillId="0" borderId="0" xfId="0"/>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indent="2"/>
    </xf>
    <xf numFmtId="0" fontId="5" fillId="2" borderId="0" xfId="0" applyFont="1" applyFill="1" applyAlignment="1">
      <alignment vertical="center"/>
    </xf>
    <xf numFmtId="0" fontId="5" fillId="3" borderId="0" xfId="0" applyFont="1" applyFill="1" applyAlignment="1">
      <alignment vertical="center"/>
    </xf>
    <xf numFmtId="0" fontId="5" fillId="3" borderId="0" xfId="0" applyFont="1" applyFill="1" applyAlignment="1">
      <alignment horizontal="center" vertical="center"/>
    </xf>
    <xf numFmtId="0" fontId="5" fillId="4" borderId="0" xfId="0" applyFont="1" applyFill="1" applyAlignment="1">
      <alignment vertical="center"/>
    </xf>
    <xf numFmtId="166" fontId="5" fillId="4" borderId="0" xfId="0" applyNumberFormat="1" applyFont="1" applyFill="1" applyAlignment="1">
      <alignment vertical="center"/>
    </xf>
    <xf numFmtId="166" fontId="6" fillId="0" borderId="0" xfId="1" applyNumberFormat="1" applyFont="1" applyAlignment="1">
      <alignment vertical="center"/>
    </xf>
    <xf numFmtId="166" fontId="7" fillId="4" borderId="0" xfId="0" applyNumberFormat="1" applyFont="1" applyFill="1" applyAlignment="1">
      <alignment vertical="center"/>
    </xf>
    <xf numFmtId="0" fontId="6" fillId="0" borderId="0" xfId="0" applyFont="1" applyAlignment="1">
      <alignment vertical="center"/>
    </xf>
    <xf numFmtId="166" fontId="4" fillId="0" borderId="0" xfId="0" applyNumberFormat="1" applyFont="1" applyAlignment="1">
      <alignment vertical="center"/>
    </xf>
    <xf numFmtId="9" fontId="4" fillId="0" borderId="0" xfId="0" applyNumberFormat="1" applyFont="1" applyAlignment="1">
      <alignment vertical="center"/>
    </xf>
    <xf numFmtId="166" fontId="8" fillId="0" borderId="0" xfId="1" applyNumberFormat="1" applyFont="1" applyAlignment="1">
      <alignment vertical="center"/>
    </xf>
    <xf numFmtId="167" fontId="4" fillId="0" borderId="0" xfId="0" applyNumberFormat="1" applyFont="1" applyAlignment="1">
      <alignment vertical="center"/>
    </xf>
    <xf numFmtId="166" fontId="9" fillId="4" borderId="0" xfId="0" applyNumberFormat="1" applyFont="1" applyFill="1" applyAlignment="1">
      <alignment vertical="center"/>
    </xf>
    <xf numFmtId="166" fontId="6" fillId="0" borderId="0" xfId="0" applyNumberFormat="1" applyFont="1" applyAlignment="1">
      <alignment vertical="center"/>
    </xf>
    <xf numFmtId="166" fontId="8" fillId="0" borderId="0" xfId="0" applyNumberFormat="1" applyFont="1" applyAlignment="1">
      <alignment vertical="center"/>
    </xf>
    <xf numFmtId="166" fontId="4" fillId="2" borderId="0" xfId="0" applyNumberFormat="1" applyFont="1" applyFill="1" applyAlignment="1">
      <alignment vertical="center"/>
    </xf>
    <xf numFmtId="10" fontId="4" fillId="0" borderId="0" xfId="0" applyNumberFormat="1" applyFont="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5" fillId="0" borderId="0" xfId="0" applyFont="1" applyAlignment="1">
      <alignment vertical="center"/>
    </xf>
    <xf numFmtId="164" fontId="4" fillId="0" borderId="0" xfId="1" applyFont="1" applyAlignment="1">
      <alignment vertical="center"/>
    </xf>
    <xf numFmtId="0" fontId="5" fillId="6" borderId="0" xfId="0" applyFont="1" applyFill="1" applyAlignment="1">
      <alignment vertical="center"/>
    </xf>
    <xf numFmtId="0" fontId="4" fillId="6" borderId="0" xfId="0" applyFont="1" applyFill="1" applyAlignment="1">
      <alignment vertical="center"/>
    </xf>
    <xf numFmtId="0" fontId="12" fillId="0" borderId="0" xfId="0" applyFont="1" applyAlignment="1">
      <alignment vertical="center"/>
    </xf>
    <xf numFmtId="166" fontId="5" fillId="2" borderId="0" xfId="0" applyNumberFormat="1" applyFont="1" applyFill="1" applyAlignment="1">
      <alignment vertical="center"/>
    </xf>
    <xf numFmtId="167" fontId="4" fillId="0" borderId="0" xfId="0" applyNumberFormat="1" applyFont="1" applyAlignment="1">
      <alignment horizontal="center" vertical="center"/>
    </xf>
    <xf numFmtId="10" fontId="6" fillId="0" borderId="0" xfId="2" applyNumberFormat="1" applyFont="1" applyAlignment="1">
      <alignment horizontal="center" vertical="center"/>
    </xf>
    <xf numFmtId="10" fontId="4" fillId="0" borderId="0" xfId="2" applyNumberFormat="1" applyFont="1" applyAlignment="1">
      <alignment horizontal="center" vertical="center"/>
    </xf>
    <xf numFmtId="17" fontId="14" fillId="10" borderId="5" xfId="0" applyNumberFormat="1" applyFont="1" applyFill="1" applyBorder="1" applyAlignment="1">
      <alignment horizontal="center" vertical="center"/>
    </xf>
    <xf numFmtId="0" fontId="15" fillId="8" borderId="0" xfId="0" applyFont="1" applyFill="1"/>
    <xf numFmtId="0" fontId="16" fillId="8" borderId="0" xfId="0" applyFont="1" applyFill="1"/>
    <xf numFmtId="0" fontId="17" fillId="8" borderId="0" xfId="0" applyFont="1" applyFill="1" applyAlignment="1">
      <alignment horizontal="center"/>
    </xf>
    <xf numFmtId="0" fontId="18" fillId="8" borderId="0" xfId="0" applyFont="1" applyFill="1"/>
    <xf numFmtId="0" fontId="15" fillId="9" borderId="0" xfId="0" quotePrefix="1" applyFont="1" applyFill="1" applyAlignment="1">
      <alignment horizontal="center"/>
    </xf>
    <xf numFmtId="0" fontId="15" fillId="10" borderId="3" xfId="0" applyFont="1" applyFill="1" applyBorder="1" applyAlignment="1">
      <alignment horizontal="center" vertical="center"/>
    </xf>
    <xf numFmtId="0" fontId="15" fillId="10" borderId="5" xfId="0" applyFont="1" applyFill="1" applyBorder="1" applyAlignment="1">
      <alignment horizontal="center" vertical="center"/>
    </xf>
    <xf numFmtId="0" fontId="16" fillId="8" borderId="0" xfId="0" applyFont="1" applyFill="1" applyAlignment="1">
      <alignment horizontal="center"/>
    </xf>
    <xf numFmtId="0" fontId="19" fillId="0" borderId="0" xfId="0" applyFont="1" applyAlignment="1">
      <alignment horizontal="left" vertical="center"/>
    </xf>
    <xf numFmtId="169" fontId="16" fillId="8" borderId="0" xfId="0" applyNumberFormat="1" applyFont="1" applyFill="1"/>
    <xf numFmtId="9" fontId="16" fillId="8" borderId="0" xfId="2" applyFont="1" applyFill="1"/>
    <xf numFmtId="0" fontId="17" fillId="8" borderId="0" xfId="0" applyFont="1" applyFill="1"/>
    <xf numFmtId="0" fontId="20" fillId="8" borderId="0" xfId="0" applyFont="1" applyFill="1" applyAlignment="1">
      <alignment horizontal="center"/>
    </xf>
    <xf numFmtId="9" fontId="16" fillId="8" borderId="0" xfId="0" applyNumberFormat="1" applyFont="1" applyFill="1"/>
    <xf numFmtId="0" fontId="3" fillId="0" borderId="0" xfId="0" applyFont="1"/>
    <xf numFmtId="0" fontId="16" fillId="8" borderId="1" xfId="0" applyFont="1" applyFill="1" applyBorder="1"/>
    <xf numFmtId="0" fontId="22" fillId="8" borderId="0" xfId="0" applyFont="1" applyFill="1"/>
    <xf numFmtId="0" fontId="22" fillId="8" borderId="0" xfId="0" applyFont="1" applyFill="1" applyAlignment="1">
      <alignment horizontal="left" vertical="center"/>
    </xf>
    <xf numFmtId="168" fontId="16" fillId="8" borderId="0" xfId="0" applyNumberFormat="1" applyFont="1" applyFill="1"/>
    <xf numFmtId="0" fontId="16" fillId="8" borderId="0" xfId="0" applyFont="1" applyFill="1" applyAlignment="1">
      <alignment horizontal="left"/>
    </xf>
    <xf numFmtId="0" fontId="16" fillId="0" borderId="0" xfId="0" applyFont="1"/>
    <xf numFmtId="169" fontId="16" fillId="0" borderId="0" xfId="0" applyNumberFormat="1" applyFont="1"/>
    <xf numFmtId="9" fontId="16" fillId="0" borderId="0" xfId="2" applyFont="1" applyFill="1"/>
    <xf numFmtId="169" fontId="16" fillId="7" borderId="0" xfId="0" applyNumberFormat="1" applyFont="1" applyFill="1"/>
    <xf numFmtId="0" fontId="21" fillId="8" borderId="0" xfId="0" applyFont="1" applyFill="1"/>
    <xf numFmtId="0" fontId="17" fillId="12" borderId="5" xfId="0" applyFont="1" applyFill="1" applyBorder="1" applyAlignment="1">
      <alignment horizontal="left"/>
    </xf>
    <xf numFmtId="0" fontId="2" fillId="8" borderId="0" xfId="0" applyFont="1" applyFill="1"/>
    <xf numFmtId="0" fontId="21" fillId="0" borderId="0" xfId="0" applyFont="1"/>
    <xf numFmtId="41" fontId="16" fillId="8" borderId="0" xfId="0" applyNumberFormat="1" applyFont="1" applyFill="1"/>
    <xf numFmtId="0" fontId="5" fillId="4" borderId="3" xfId="0" applyFont="1" applyFill="1" applyBorder="1" applyAlignment="1">
      <alignment vertical="center"/>
    </xf>
    <xf numFmtId="10" fontId="5" fillId="4" borderId="4" xfId="0" applyNumberFormat="1" applyFont="1" applyFill="1" applyBorder="1" applyAlignment="1">
      <alignment vertical="center"/>
    </xf>
    <xf numFmtId="0" fontId="5" fillId="4" borderId="4" xfId="0" applyFont="1" applyFill="1" applyBorder="1" applyAlignment="1">
      <alignment vertical="center"/>
    </xf>
    <xf numFmtId="166" fontId="5" fillId="4" borderId="7" xfId="0" applyNumberFormat="1" applyFont="1" applyFill="1" applyBorder="1" applyAlignment="1">
      <alignment vertical="center"/>
    </xf>
    <xf numFmtId="0" fontId="5" fillId="14" borderId="3" xfId="0" applyFont="1" applyFill="1" applyBorder="1" applyAlignment="1">
      <alignment vertical="center"/>
    </xf>
    <xf numFmtId="10" fontId="5" fillId="14" borderId="4" xfId="0" applyNumberFormat="1" applyFont="1" applyFill="1" applyBorder="1" applyAlignment="1">
      <alignment vertical="center"/>
    </xf>
    <xf numFmtId="0" fontId="5" fillId="14" borderId="4" xfId="0" applyFont="1" applyFill="1" applyBorder="1" applyAlignment="1">
      <alignment vertical="center"/>
    </xf>
    <xf numFmtId="166" fontId="5" fillId="14" borderId="7" xfId="0" applyNumberFormat="1" applyFont="1" applyFill="1" applyBorder="1" applyAlignment="1">
      <alignment vertical="center"/>
    </xf>
    <xf numFmtId="0" fontId="5" fillId="3" borderId="8" xfId="0" applyFont="1" applyFill="1" applyBorder="1" applyAlignment="1">
      <alignment vertical="center"/>
    </xf>
    <xf numFmtId="0" fontId="5" fillId="3" borderId="2" xfId="0" applyFont="1" applyFill="1" applyBorder="1" applyAlignment="1">
      <alignment vertical="center"/>
    </xf>
    <xf numFmtId="0" fontId="5" fillId="3" borderId="2" xfId="0" applyFont="1" applyFill="1" applyBorder="1" applyAlignment="1">
      <alignment horizontal="center" vertical="center"/>
    </xf>
    <xf numFmtId="0" fontId="5" fillId="3" borderId="9" xfId="0" applyFont="1" applyFill="1" applyBorder="1" applyAlignment="1">
      <alignment horizontal="center"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2" xfId="0" applyFont="1" applyBorder="1" applyAlignment="1">
      <alignment horizontal="left" vertical="center" indent="2"/>
    </xf>
    <xf numFmtId="166" fontId="4" fillId="0" borderId="13" xfId="0" applyNumberFormat="1" applyFont="1" applyBorder="1" applyAlignment="1">
      <alignment vertical="center"/>
    </xf>
    <xf numFmtId="0" fontId="4" fillId="2" borderId="12" xfId="0" applyFont="1" applyFill="1" applyBorder="1" applyAlignment="1">
      <alignment horizontal="left" vertical="center" indent="4"/>
    </xf>
    <xf numFmtId="0" fontId="4" fillId="2" borderId="0" xfId="0" applyFont="1" applyFill="1" applyAlignment="1">
      <alignment horizontal="left" vertical="center" indent="4"/>
    </xf>
    <xf numFmtId="0" fontId="4" fillId="2" borderId="0" xfId="0" applyFont="1" applyFill="1" applyAlignment="1">
      <alignment vertical="center"/>
    </xf>
    <xf numFmtId="166" fontId="4" fillId="2" borderId="13" xfId="0" applyNumberFormat="1" applyFont="1" applyFill="1" applyBorder="1" applyAlignment="1">
      <alignment vertical="center"/>
    </xf>
    <xf numFmtId="0" fontId="5" fillId="4" borderId="10" xfId="0" applyFont="1" applyFill="1" applyBorder="1" applyAlignment="1">
      <alignment vertical="center"/>
    </xf>
    <xf numFmtId="0" fontId="5" fillId="4" borderId="1" xfId="0" applyFont="1" applyFill="1" applyBorder="1" applyAlignment="1">
      <alignment vertical="center"/>
    </xf>
    <xf numFmtId="166" fontId="5" fillId="4" borderId="1" xfId="0" applyNumberFormat="1" applyFont="1" applyFill="1" applyBorder="1" applyAlignment="1">
      <alignment vertical="center"/>
    </xf>
    <xf numFmtId="166" fontId="5" fillId="4" borderId="11" xfId="0" applyNumberFormat="1" applyFont="1" applyFill="1" applyBorder="1" applyAlignment="1">
      <alignment vertical="center"/>
    </xf>
    <xf numFmtId="0" fontId="5" fillId="0" borderId="12" xfId="0" applyFont="1" applyBorder="1" applyAlignment="1">
      <alignment vertical="center"/>
    </xf>
    <xf numFmtId="0" fontId="5" fillId="2" borderId="12" xfId="0" applyFont="1" applyFill="1" applyBorder="1" applyAlignment="1">
      <alignment vertical="center"/>
    </xf>
    <xf numFmtId="0" fontId="4" fillId="2" borderId="13" xfId="0" applyFont="1" applyFill="1" applyBorder="1" applyAlignment="1">
      <alignment vertical="center"/>
    </xf>
    <xf numFmtId="0" fontId="5" fillId="4" borderId="12" xfId="0" applyFont="1" applyFill="1" applyBorder="1" applyAlignment="1">
      <alignment vertical="center"/>
    </xf>
    <xf numFmtId="0" fontId="4" fillId="4" borderId="0" xfId="0" applyFont="1" applyFill="1" applyAlignment="1">
      <alignment vertical="center"/>
    </xf>
    <xf numFmtId="166" fontId="5" fillId="4" borderId="13" xfId="0" applyNumberFormat="1" applyFont="1" applyFill="1" applyBorder="1" applyAlignment="1">
      <alignment vertical="center"/>
    </xf>
    <xf numFmtId="0" fontId="5" fillId="3" borderId="12" xfId="0" applyFont="1" applyFill="1" applyBorder="1" applyAlignment="1">
      <alignment vertical="center"/>
    </xf>
    <xf numFmtId="166" fontId="5" fillId="3" borderId="0" xfId="0" applyNumberFormat="1" applyFont="1" applyFill="1" applyAlignment="1">
      <alignment vertical="center"/>
    </xf>
    <xf numFmtId="164" fontId="5" fillId="4" borderId="0" xfId="0" applyNumberFormat="1" applyFont="1" applyFill="1" applyAlignment="1">
      <alignment vertical="center"/>
    </xf>
    <xf numFmtId="164" fontId="5" fillId="4" borderId="1" xfId="0" applyNumberFormat="1" applyFont="1" applyFill="1" applyBorder="1" applyAlignment="1">
      <alignment vertical="center"/>
    </xf>
    <xf numFmtId="0" fontId="4" fillId="0" borderId="11" xfId="0" applyFont="1" applyBorder="1" applyAlignment="1">
      <alignment vertical="center"/>
    </xf>
    <xf numFmtId="166" fontId="23" fillId="0" borderId="0" xfId="1" applyNumberFormat="1" applyFont="1" applyBorder="1" applyAlignment="1">
      <alignment vertical="center"/>
    </xf>
    <xf numFmtId="166" fontId="8" fillId="0" borderId="0" xfId="1" applyNumberFormat="1" applyFont="1" applyBorder="1" applyAlignment="1">
      <alignment vertical="center"/>
    </xf>
    <xf numFmtId="166" fontId="8" fillId="0" borderId="13" xfId="1" applyNumberFormat="1" applyFont="1" applyBorder="1" applyAlignment="1">
      <alignment vertical="center"/>
    </xf>
    <xf numFmtId="10" fontId="24" fillId="4" borderId="1" xfId="2" applyNumberFormat="1" applyFont="1" applyFill="1" applyBorder="1" applyAlignment="1">
      <alignment vertical="center"/>
    </xf>
    <xf numFmtId="10" fontId="9" fillId="4" borderId="1" xfId="2" applyNumberFormat="1" applyFont="1" applyFill="1" applyBorder="1" applyAlignment="1">
      <alignment vertical="center"/>
    </xf>
    <xf numFmtId="170" fontId="4" fillId="0" borderId="0" xfId="0" applyNumberFormat="1" applyFont="1" applyAlignment="1">
      <alignment vertical="center"/>
    </xf>
    <xf numFmtId="170" fontId="6" fillId="0" borderId="0" xfId="0" applyNumberFormat="1" applyFont="1" applyAlignment="1">
      <alignment vertical="center"/>
    </xf>
    <xf numFmtId="170" fontId="4" fillId="0" borderId="13" xfId="0" applyNumberFormat="1" applyFont="1" applyBorder="1" applyAlignment="1">
      <alignment vertical="center"/>
    </xf>
    <xf numFmtId="0" fontId="4" fillId="0" borderId="10" xfId="0" applyFont="1" applyBorder="1" applyAlignment="1">
      <alignment vertical="center"/>
    </xf>
    <xf numFmtId="170" fontId="4" fillId="0" borderId="1" xfId="0" applyNumberFormat="1" applyFont="1" applyBorder="1" applyAlignment="1">
      <alignment vertical="center"/>
    </xf>
    <xf numFmtId="170" fontId="6" fillId="0" borderId="1" xfId="0" applyNumberFormat="1" applyFont="1" applyBorder="1" applyAlignment="1">
      <alignment vertical="center"/>
    </xf>
    <xf numFmtId="170" fontId="4" fillId="0" borderId="11" xfId="0" applyNumberFormat="1" applyFont="1" applyBorder="1" applyAlignment="1">
      <alignment vertical="center"/>
    </xf>
    <xf numFmtId="10" fontId="6" fillId="0" borderId="0" xfId="2" applyNumberFormat="1" applyFont="1" applyBorder="1" applyAlignment="1">
      <alignment vertical="center"/>
    </xf>
    <xf numFmtId="166" fontId="6" fillId="0" borderId="0" xfId="1" applyNumberFormat="1" applyFont="1" applyBorder="1" applyAlignment="1">
      <alignment vertical="center"/>
    </xf>
    <xf numFmtId="10" fontId="7" fillId="4" borderId="0" xfId="2" applyNumberFormat="1" applyFont="1" applyFill="1" applyBorder="1" applyAlignment="1">
      <alignment vertical="center"/>
    </xf>
    <xf numFmtId="165" fontId="6" fillId="0" borderId="0" xfId="0" applyNumberFormat="1" applyFont="1" applyAlignment="1">
      <alignment vertical="center"/>
    </xf>
    <xf numFmtId="165" fontId="4" fillId="0" borderId="0" xfId="0" applyNumberFormat="1" applyFont="1" applyAlignment="1">
      <alignment vertical="center"/>
    </xf>
    <xf numFmtId="164" fontId="6" fillId="0" borderId="0" xfId="0" applyNumberFormat="1" applyFont="1" applyAlignment="1">
      <alignment vertical="center"/>
    </xf>
    <xf numFmtId="10" fontId="7" fillId="4" borderId="1" xfId="2" applyNumberFormat="1" applyFont="1" applyFill="1" applyBorder="1" applyAlignment="1">
      <alignment vertical="center"/>
    </xf>
    <xf numFmtId="0" fontId="4" fillId="0" borderId="2" xfId="0" applyFont="1" applyBorder="1" applyAlignment="1">
      <alignment horizontal="left" vertical="center"/>
    </xf>
    <xf numFmtId="166" fontId="6" fillId="0" borderId="2" xfId="1" applyNumberFormat="1" applyFont="1" applyBorder="1" applyAlignment="1">
      <alignment vertical="center"/>
    </xf>
    <xf numFmtId="166" fontId="23" fillId="0" borderId="2" xfId="0" applyNumberFormat="1" applyFont="1" applyBorder="1" applyAlignment="1">
      <alignment vertical="center"/>
    </xf>
    <xf numFmtId="166" fontId="4" fillId="0" borderId="2" xfId="0" applyNumberFormat="1" applyFont="1" applyBorder="1" applyAlignment="1">
      <alignment vertical="center"/>
    </xf>
    <xf numFmtId="10" fontId="4" fillId="0" borderId="0" xfId="2" applyNumberFormat="1" applyFont="1" applyAlignment="1">
      <alignment vertical="center"/>
    </xf>
    <xf numFmtId="0" fontId="5" fillId="15" borderId="0" xfId="0" applyFont="1" applyFill="1" applyAlignment="1">
      <alignment vertical="center"/>
    </xf>
    <xf numFmtId="0" fontId="4" fillId="15" borderId="0" xfId="0" applyFont="1" applyFill="1" applyAlignment="1">
      <alignment vertical="center"/>
    </xf>
    <xf numFmtId="0" fontId="5" fillId="15" borderId="0" xfId="0" applyFont="1" applyFill="1" applyAlignment="1">
      <alignment horizontal="center" vertical="center"/>
    </xf>
    <xf numFmtId="3" fontId="4" fillId="0" borderId="0" xfId="0" applyNumberFormat="1" applyFont="1" applyAlignment="1">
      <alignment vertical="center"/>
    </xf>
    <xf numFmtId="167" fontId="6" fillId="0" borderId="0" xfId="0" applyNumberFormat="1" applyFont="1" applyAlignment="1">
      <alignment vertical="center"/>
    </xf>
    <xf numFmtId="4" fontId="10" fillId="16" borderId="0" xfId="0" applyNumberFormat="1" applyFont="1" applyFill="1" applyAlignment="1">
      <alignment horizontal="center" vertical="center"/>
    </xf>
    <xf numFmtId="167" fontId="4" fillId="0" borderId="0" xfId="2" applyNumberFormat="1" applyFont="1" applyAlignment="1">
      <alignment horizontal="center" vertical="center"/>
    </xf>
    <xf numFmtId="166" fontId="25" fillId="0" borderId="0" xfId="1" applyNumberFormat="1" applyFont="1" applyAlignment="1">
      <alignment vertical="center"/>
    </xf>
    <xf numFmtId="166" fontId="25" fillId="0" borderId="0" xfId="0" applyNumberFormat="1" applyFont="1" applyAlignment="1">
      <alignment vertical="center"/>
    </xf>
    <xf numFmtId="9" fontId="27" fillId="12" borderId="5" xfId="2" applyFont="1" applyFill="1" applyBorder="1" applyAlignment="1">
      <alignment horizontal="right"/>
    </xf>
    <xf numFmtId="41" fontId="27" fillId="12" borderId="5" xfId="4" applyFont="1" applyFill="1" applyBorder="1" applyAlignment="1">
      <alignment horizontal="center"/>
    </xf>
    <xf numFmtId="168" fontId="27" fillId="12" borderId="5" xfId="4" applyNumberFormat="1" applyFont="1" applyFill="1" applyBorder="1" applyAlignment="1"/>
    <xf numFmtId="0" fontId="19" fillId="8" borderId="0" xfId="0" applyFont="1" applyFill="1"/>
    <xf numFmtId="9" fontId="21" fillId="8" borderId="0" xfId="2" applyFont="1" applyFill="1"/>
    <xf numFmtId="0" fontId="21" fillId="8" borderId="6" xfId="0" applyFont="1" applyFill="1" applyBorder="1"/>
    <xf numFmtId="9" fontId="28" fillId="11" borderId="5" xfId="2" applyFont="1" applyFill="1" applyBorder="1"/>
    <xf numFmtId="41" fontId="28" fillId="11" borderId="5" xfId="4" applyFont="1" applyFill="1" applyBorder="1"/>
    <xf numFmtId="168" fontId="28" fillId="11" borderId="5" xfId="4" applyNumberFormat="1" applyFont="1" applyFill="1" applyBorder="1"/>
    <xf numFmtId="169" fontId="21" fillId="8" borderId="0" xfId="0" applyNumberFormat="1" applyFont="1" applyFill="1"/>
    <xf numFmtId="168" fontId="21" fillId="8" borderId="0" xfId="0" applyNumberFormat="1" applyFont="1" applyFill="1"/>
    <xf numFmtId="0" fontId="29" fillId="8" borderId="0" xfId="3" applyFont="1" applyFill="1" applyAlignment="1" applyProtection="1">
      <alignment horizontal="center"/>
    </xf>
    <xf numFmtId="9" fontId="15" fillId="10" borderId="5" xfId="2" applyFont="1" applyFill="1" applyBorder="1" applyAlignment="1">
      <alignment horizontal="right" vertical="center"/>
    </xf>
    <xf numFmtId="41" fontId="15" fillId="10" borderId="5" xfId="4" applyFont="1" applyFill="1" applyBorder="1" applyAlignment="1">
      <alignment horizontal="center" vertical="center"/>
    </xf>
    <xf numFmtId="168" fontId="15" fillId="10" borderId="5" xfId="4" applyNumberFormat="1" applyFont="1" applyFill="1" applyBorder="1" applyAlignment="1">
      <alignment horizontal="right" vertical="center"/>
    </xf>
    <xf numFmtId="169" fontId="21" fillId="8" borderId="1" xfId="0" applyNumberFormat="1" applyFont="1" applyFill="1" applyBorder="1"/>
    <xf numFmtId="0" fontId="26" fillId="0" borderId="0" xfId="0" applyFont="1"/>
    <xf numFmtId="9" fontId="18" fillId="8" borderId="0" xfId="2" applyFont="1" applyFill="1"/>
    <xf numFmtId="169" fontId="19" fillId="8" borderId="0" xfId="0" applyNumberFormat="1" applyFont="1" applyFill="1"/>
    <xf numFmtId="168" fontId="19" fillId="8" borderId="0" xfId="0" applyNumberFormat="1" applyFont="1" applyFill="1"/>
    <xf numFmtId="0" fontId="30" fillId="8" borderId="0" xfId="0" applyFont="1" applyFill="1" applyAlignment="1">
      <alignment horizontal="center"/>
    </xf>
    <xf numFmtId="17" fontId="15" fillId="10" borderId="5" xfId="0" applyNumberFormat="1" applyFont="1" applyFill="1" applyBorder="1" applyAlignment="1">
      <alignment horizontal="center" vertical="center"/>
    </xf>
    <xf numFmtId="0" fontId="16" fillId="8" borderId="0" xfId="0" applyFont="1" applyFill="1" applyAlignment="1">
      <alignment vertical="center"/>
    </xf>
    <xf numFmtId="0" fontId="31" fillId="8" borderId="0" xfId="0" applyFont="1" applyFill="1"/>
    <xf numFmtId="0" fontId="33" fillId="8" borderId="0" xfId="0" applyFont="1" applyFill="1" applyAlignment="1">
      <alignment horizontal="center"/>
    </xf>
    <xf numFmtId="0" fontId="22" fillId="0" borderId="0" xfId="0" applyFont="1"/>
    <xf numFmtId="0" fontId="34" fillId="8" borderId="0" xfId="0" applyFont="1" applyFill="1" applyAlignment="1">
      <alignment horizontal="center"/>
    </xf>
    <xf numFmtId="0" fontId="35" fillId="8" borderId="0" xfId="0" applyFont="1" applyFill="1" applyAlignment="1">
      <alignment horizontal="center"/>
    </xf>
    <xf numFmtId="41" fontId="16" fillId="8" borderId="0" xfId="4" applyFont="1" applyFill="1"/>
    <xf numFmtId="10" fontId="17" fillId="12" borderId="3" xfId="2" applyNumberFormat="1" applyFont="1" applyFill="1" applyBorder="1" applyAlignment="1">
      <alignment horizontal="right"/>
    </xf>
    <xf numFmtId="41" fontId="17" fillId="12" borderId="5" xfId="4" applyFont="1" applyFill="1" applyBorder="1" applyAlignment="1">
      <alignment horizontal="center"/>
    </xf>
    <xf numFmtId="10" fontId="15" fillId="12" borderId="5" xfId="2" applyNumberFormat="1" applyFont="1" applyFill="1" applyBorder="1" applyAlignment="1">
      <alignment horizontal="right"/>
    </xf>
    <xf numFmtId="41" fontId="15" fillId="12" borderId="5" xfId="4" applyFont="1" applyFill="1" applyBorder="1" applyAlignment="1">
      <alignment horizontal="center"/>
    </xf>
    <xf numFmtId="0" fontId="15" fillId="12" borderId="5" xfId="0" applyFont="1" applyFill="1" applyBorder="1" applyAlignment="1">
      <alignment horizontal="left"/>
    </xf>
    <xf numFmtId="9" fontId="19" fillId="11" borderId="3" xfId="2" applyFont="1" applyFill="1" applyBorder="1"/>
    <xf numFmtId="41" fontId="19" fillId="11" borderId="5" xfId="4" applyFont="1" applyFill="1" applyBorder="1"/>
    <xf numFmtId="0" fontId="19" fillId="11" borderId="5" xfId="0" applyFont="1" applyFill="1" applyBorder="1"/>
    <xf numFmtId="9" fontId="18" fillId="8" borderId="0" xfId="0" applyNumberFormat="1" applyFont="1" applyFill="1"/>
    <xf numFmtId="0" fontId="18" fillId="8" borderId="0" xfId="0" applyFont="1" applyFill="1" applyAlignment="1">
      <alignment horizontal="left"/>
    </xf>
    <xf numFmtId="0" fontId="15" fillId="12" borderId="5" xfId="0" applyFont="1" applyFill="1" applyBorder="1" applyAlignment="1">
      <alignment horizontal="center"/>
    </xf>
    <xf numFmtId="9" fontId="19" fillId="11" borderId="5" xfId="2" applyFont="1" applyFill="1" applyBorder="1"/>
    <xf numFmtId="0" fontId="3" fillId="8" borderId="0" xfId="0" applyFont="1" applyFill="1"/>
    <xf numFmtId="0" fontId="15" fillId="10" borderId="7" xfId="0" applyFont="1" applyFill="1" applyBorder="1" applyAlignment="1">
      <alignment horizontal="center" vertical="center"/>
    </xf>
    <xf numFmtId="0" fontId="17" fillId="8" borderId="0" xfId="0" quotePrefix="1" applyFont="1" applyFill="1" applyAlignment="1">
      <alignment horizontal="center"/>
    </xf>
    <xf numFmtId="167" fontId="25" fillId="0" borderId="0" xfId="0" applyNumberFormat="1" applyFont="1" applyAlignment="1">
      <alignment vertical="center"/>
    </xf>
    <xf numFmtId="3" fontId="6" fillId="0" borderId="0" xfId="0" applyNumberFormat="1" applyFont="1" applyAlignment="1">
      <alignment vertical="center"/>
    </xf>
    <xf numFmtId="9" fontId="25" fillId="0" borderId="0" xfId="0" applyNumberFormat="1" applyFont="1" applyAlignment="1">
      <alignment vertical="center"/>
    </xf>
    <xf numFmtId="166" fontId="38" fillId="0" borderId="0" xfId="0" applyNumberFormat="1" applyFont="1" applyAlignment="1">
      <alignment vertical="center"/>
    </xf>
    <xf numFmtId="166" fontId="38" fillId="0" borderId="0" xfId="1" applyNumberFormat="1" applyFont="1" applyAlignment="1">
      <alignment vertical="center"/>
    </xf>
    <xf numFmtId="0" fontId="10" fillId="16" borderId="0" xfId="0" applyFont="1" applyFill="1" applyAlignment="1">
      <alignment vertical="center"/>
    </xf>
    <xf numFmtId="0" fontId="11" fillId="16" borderId="0" xfId="0" applyFont="1" applyFill="1" applyAlignment="1">
      <alignment vertical="center"/>
    </xf>
    <xf numFmtId="3" fontId="6" fillId="0" borderId="0" xfId="0" applyNumberFormat="1" applyFont="1" applyAlignment="1">
      <alignment horizontal="center" vertical="center"/>
    </xf>
    <xf numFmtId="3" fontId="38" fillId="0" borderId="0" xfId="0" applyNumberFormat="1" applyFont="1" applyAlignment="1">
      <alignment horizontal="center" vertical="center"/>
    </xf>
    <xf numFmtId="167" fontId="8" fillId="0" borderId="0" xfId="2" applyNumberFormat="1" applyFont="1" applyAlignment="1">
      <alignment horizontal="center" vertical="center"/>
    </xf>
    <xf numFmtId="167" fontId="38" fillId="0" borderId="0" xfId="0" applyNumberFormat="1" applyFont="1" applyAlignment="1">
      <alignment horizontal="center" vertical="center"/>
    </xf>
    <xf numFmtId="167" fontId="7" fillId="0" borderId="0" xfId="0" applyNumberFormat="1" applyFont="1" applyAlignment="1">
      <alignment horizontal="center" vertical="center"/>
    </xf>
    <xf numFmtId="167" fontId="5" fillId="0" borderId="0" xfId="0" applyNumberFormat="1" applyFont="1" applyAlignment="1">
      <alignment horizontal="center" vertical="center"/>
    </xf>
    <xf numFmtId="3" fontId="25" fillId="0" borderId="0" xfId="0" applyNumberFormat="1" applyFont="1" applyAlignment="1">
      <alignment vertical="center"/>
    </xf>
    <xf numFmtId="167" fontId="6" fillId="2" borderId="0" xfId="0" applyNumberFormat="1" applyFont="1" applyFill="1" applyAlignment="1">
      <alignment horizontal="center" vertical="center"/>
    </xf>
    <xf numFmtId="167" fontId="4" fillId="2" borderId="0" xfId="0" applyNumberFormat="1" applyFont="1" applyFill="1" applyAlignment="1">
      <alignment horizontal="center" vertical="center"/>
    </xf>
    <xf numFmtId="0" fontId="5" fillId="3" borderId="2" xfId="0" applyFont="1" applyFill="1" applyBorder="1" applyAlignment="1">
      <alignment horizontal="center" vertical="center" wrapText="1"/>
    </xf>
    <xf numFmtId="166" fontId="6" fillId="0" borderId="2" xfId="0" applyNumberFormat="1" applyFont="1" applyBorder="1" applyAlignment="1">
      <alignment vertical="center"/>
    </xf>
    <xf numFmtId="166" fontId="6" fillId="4" borderId="0" xfId="1" applyNumberFormat="1" applyFont="1" applyFill="1" applyBorder="1" applyAlignment="1">
      <alignment vertical="center"/>
    </xf>
    <xf numFmtId="166" fontId="8" fillId="4" borderId="0" xfId="1" applyNumberFormat="1" applyFont="1" applyFill="1" applyBorder="1" applyAlignment="1">
      <alignment vertical="center"/>
    </xf>
    <xf numFmtId="166" fontId="8" fillId="4" borderId="13" xfId="1" applyNumberFormat="1" applyFont="1" applyFill="1" applyBorder="1" applyAlignment="1">
      <alignment vertical="center"/>
    </xf>
    <xf numFmtId="0" fontId="4" fillId="4" borderId="1" xfId="0" applyFont="1" applyFill="1" applyBorder="1" applyAlignment="1">
      <alignment vertical="center"/>
    </xf>
    <xf numFmtId="166" fontId="4" fillId="4" borderId="1" xfId="0" applyNumberFormat="1" applyFont="1" applyFill="1" applyBorder="1" applyAlignment="1">
      <alignment vertical="center"/>
    </xf>
    <xf numFmtId="166" fontId="4" fillId="4" borderId="11" xfId="0" applyNumberFormat="1" applyFont="1" applyFill="1" applyBorder="1" applyAlignment="1">
      <alignment vertical="center"/>
    </xf>
    <xf numFmtId="166" fontId="4" fillId="0" borderId="0" xfId="1" applyNumberFormat="1" applyFont="1" applyAlignment="1">
      <alignment vertical="center"/>
    </xf>
    <xf numFmtId="17" fontId="15" fillId="10" borderId="0" xfId="0" applyNumberFormat="1" applyFont="1" applyFill="1" applyAlignment="1">
      <alignment horizontal="center" vertical="center"/>
    </xf>
    <xf numFmtId="166" fontId="16" fillId="8" borderId="0" xfId="1" applyNumberFormat="1" applyFont="1" applyFill="1"/>
    <xf numFmtId="166" fontId="19" fillId="11" borderId="0" xfId="1" applyNumberFormat="1" applyFont="1" applyFill="1" applyBorder="1"/>
    <xf numFmtId="166" fontId="18" fillId="8" borderId="0" xfId="1" applyNumberFormat="1" applyFont="1" applyFill="1"/>
    <xf numFmtId="166" fontId="15" fillId="10" borderId="0" xfId="1" applyNumberFormat="1" applyFont="1" applyFill="1" applyBorder="1" applyAlignment="1">
      <alignment horizontal="center" vertical="center"/>
    </xf>
    <xf numFmtId="166" fontId="16" fillId="8" borderId="0" xfId="1" applyNumberFormat="1" applyFont="1" applyFill="1" applyBorder="1"/>
    <xf numFmtId="166" fontId="17" fillId="12" borderId="0" xfId="1" applyNumberFormat="1" applyFont="1" applyFill="1" applyBorder="1" applyAlignment="1">
      <alignment horizontal="right"/>
    </xf>
    <xf numFmtId="166" fontId="0" fillId="0" borderId="0" xfId="1" applyNumberFormat="1" applyFont="1"/>
    <xf numFmtId="0" fontId="39" fillId="0" borderId="0" xfId="0" applyFont="1"/>
    <xf numFmtId="0" fontId="40" fillId="0" borderId="0" xfId="0" applyFont="1"/>
    <xf numFmtId="0" fontId="40" fillId="8" borderId="0" xfId="0" applyFont="1" applyFill="1"/>
    <xf numFmtId="43" fontId="0" fillId="0" borderId="0" xfId="0" applyNumberFormat="1"/>
    <xf numFmtId="43" fontId="16" fillId="8" borderId="0" xfId="1" applyNumberFormat="1" applyFont="1" applyFill="1"/>
    <xf numFmtId="43" fontId="17" fillId="8" borderId="0" xfId="0" applyNumberFormat="1" applyFont="1" applyFill="1"/>
    <xf numFmtId="166" fontId="15" fillId="12" borderId="0" xfId="1" applyNumberFormat="1" applyFont="1" applyFill="1" applyBorder="1" applyAlignment="1">
      <alignment horizontal="right"/>
    </xf>
    <xf numFmtId="166" fontId="15" fillId="13" borderId="0" xfId="1" applyNumberFormat="1" applyFont="1" applyFill="1" applyBorder="1" applyAlignment="1">
      <alignment horizontal="center" vertical="center"/>
    </xf>
    <xf numFmtId="166" fontId="19" fillId="11" borderId="5" xfId="1" applyNumberFormat="1" applyFont="1" applyFill="1" applyBorder="1"/>
    <xf numFmtId="166" fontId="17" fillId="12" borderId="5" xfId="1" applyNumberFormat="1" applyFont="1" applyFill="1" applyBorder="1" applyAlignment="1">
      <alignment horizontal="center"/>
    </xf>
    <xf numFmtId="166" fontId="21" fillId="8" borderId="0" xfId="1" applyNumberFormat="1" applyFont="1" applyFill="1"/>
    <xf numFmtId="0" fontId="4" fillId="20" borderId="0" xfId="0" applyFont="1" applyFill="1" applyAlignment="1">
      <alignment vertical="center"/>
    </xf>
    <xf numFmtId="17" fontId="0" fillId="0" borderId="0" xfId="0" applyNumberFormat="1"/>
    <xf numFmtId="166" fontId="0" fillId="0" borderId="0" xfId="0" applyNumberFormat="1"/>
    <xf numFmtId="10" fontId="41" fillId="7" borderId="0" xfId="2" applyNumberFormat="1" applyFont="1" applyFill="1"/>
    <xf numFmtId="10" fontId="24" fillId="4" borderId="0" xfId="2" applyNumberFormat="1" applyFont="1" applyFill="1" applyBorder="1" applyAlignment="1">
      <alignment vertical="center"/>
    </xf>
    <xf numFmtId="169" fontId="0" fillId="0" borderId="0" xfId="0" applyNumberFormat="1"/>
    <xf numFmtId="0" fontId="5" fillId="3" borderId="9" xfId="0" applyFont="1" applyFill="1" applyBorder="1" applyAlignment="1">
      <alignment horizontal="center" vertical="center" wrapText="1"/>
    </xf>
    <xf numFmtId="9" fontId="4" fillId="0" borderId="0" xfId="2" applyFont="1" applyAlignment="1">
      <alignment vertical="center"/>
    </xf>
    <xf numFmtId="167" fontId="42" fillId="0" borderId="0" xfId="2" applyNumberFormat="1" applyFont="1" applyAlignment="1">
      <alignment horizontal="center" vertical="center"/>
    </xf>
    <xf numFmtId="165" fontId="4" fillId="5" borderId="0" xfId="0" applyNumberFormat="1" applyFont="1" applyFill="1" applyAlignment="1">
      <alignment vertical="center"/>
    </xf>
    <xf numFmtId="0" fontId="17" fillId="9" borderId="0" xfId="0" quotePrefix="1" applyFont="1" applyFill="1" applyAlignment="1">
      <alignment horizontal="center"/>
    </xf>
    <xf numFmtId="0" fontId="15" fillId="10" borderId="0" xfId="0" applyFont="1" applyFill="1" applyAlignment="1">
      <alignment horizontal="center" vertical="center"/>
    </xf>
    <xf numFmtId="0" fontId="15" fillId="13" borderId="0" xfId="0" applyFont="1" applyFill="1" applyAlignment="1">
      <alignment horizontal="center" vertical="center"/>
    </xf>
    <xf numFmtId="166" fontId="6" fillId="0" borderId="0" xfId="2" applyNumberFormat="1" applyFont="1" applyAlignment="1">
      <alignment horizontal="center" vertical="center"/>
    </xf>
    <xf numFmtId="0" fontId="15" fillId="9" borderId="0" xfId="0" quotePrefix="1" applyFont="1" applyFill="1"/>
    <xf numFmtId="0" fontId="17" fillId="9" borderId="1" xfId="0" quotePrefix="1" applyFont="1" applyFill="1" applyBorder="1"/>
    <xf numFmtId="0" fontId="15" fillId="9" borderId="1" xfId="0" quotePrefix="1" applyFont="1" applyFill="1" applyBorder="1"/>
    <xf numFmtId="0" fontId="15" fillId="10" borderId="3" xfId="0" applyFont="1" applyFill="1" applyBorder="1" applyAlignment="1">
      <alignment vertical="center"/>
    </xf>
    <xf numFmtId="0" fontId="15" fillId="10" borderId="4" xfId="0" applyFont="1" applyFill="1" applyBorder="1" applyAlignment="1">
      <alignment vertical="center"/>
    </xf>
    <xf numFmtId="0" fontId="15" fillId="13" borderId="10" xfId="0" applyFont="1" applyFill="1" applyBorder="1" applyAlignment="1">
      <alignment vertical="center"/>
    </xf>
    <xf numFmtId="0" fontId="15" fillId="13" borderId="1" xfId="0" applyFont="1" applyFill="1" applyBorder="1" applyAlignment="1">
      <alignment vertical="center"/>
    </xf>
    <xf numFmtId="0" fontId="15" fillId="10" borderId="12" xfId="0" applyFont="1" applyFill="1" applyBorder="1" applyAlignment="1">
      <alignment vertical="center"/>
    </xf>
    <xf numFmtId="0" fontId="15" fillId="10" borderId="0" xfId="0" applyFont="1" applyFill="1" applyAlignment="1">
      <alignment vertical="center"/>
    </xf>
    <xf numFmtId="0" fontId="15" fillId="13" borderId="12" xfId="0" applyFont="1" applyFill="1" applyBorder="1" applyAlignment="1">
      <alignment vertical="center"/>
    </xf>
    <xf numFmtId="0" fontId="15" fillId="13" borderId="0" xfId="0" applyFont="1" applyFill="1" applyAlignment="1">
      <alignment vertical="center"/>
    </xf>
    <xf numFmtId="0" fontId="17" fillId="9" borderId="0" xfId="0" quotePrefix="1" applyFont="1" applyFill="1"/>
    <xf numFmtId="0" fontId="32" fillId="10" borderId="3" xfId="0" applyFont="1" applyFill="1" applyBorder="1" applyAlignment="1">
      <alignment vertical="center"/>
    </xf>
    <xf numFmtId="0" fontId="32" fillId="10" borderId="4" xfId="0" applyFont="1" applyFill="1" applyBorder="1" applyAlignment="1">
      <alignment vertical="center"/>
    </xf>
    <xf numFmtId="41" fontId="0" fillId="0" borderId="0" xfId="0" applyNumberFormat="1"/>
    <xf numFmtId="41" fontId="28" fillId="11" borderId="0" xfId="4" applyFont="1" applyFill="1" applyBorder="1"/>
    <xf numFmtId="168" fontId="28" fillId="11" borderId="0" xfId="4" applyNumberFormat="1" applyFont="1" applyFill="1" applyBorder="1"/>
    <xf numFmtId="41" fontId="15" fillId="10" borderId="0" xfId="4" applyFont="1" applyFill="1" applyBorder="1" applyAlignment="1">
      <alignment horizontal="center" vertical="center"/>
    </xf>
    <xf numFmtId="168" fontId="15" fillId="10" borderId="0" xfId="4" applyNumberFormat="1" applyFont="1" applyFill="1" applyBorder="1" applyAlignment="1">
      <alignment horizontal="right" vertical="center"/>
    </xf>
    <xf numFmtId="168" fontId="27" fillId="12" borderId="0" xfId="4" applyNumberFormat="1" applyFont="1" applyFill="1" applyBorder="1" applyAlignment="1"/>
    <xf numFmtId="169" fontId="19" fillId="11" borderId="0" xfId="1" applyNumberFormat="1" applyFont="1" applyFill="1" applyBorder="1"/>
    <xf numFmtId="169" fontId="16" fillId="8" borderId="0" xfId="1" applyNumberFormat="1" applyFont="1" applyFill="1"/>
    <xf numFmtId="166" fontId="16" fillId="20" borderId="0" xfId="1" applyNumberFormat="1" applyFont="1" applyFill="1"/>
    <xf numFmtId="166" fontId="16" fillId="20" borderId="0" xfId="0" applyNumberFormat="1" applyFont="1" applyFill="1"/>
    <xf numFmtId="166" fontId="16" fillId="8" borderId="0" xfId="0" applyNumberFormat="1" applyFont="1" applyFill="1"/>
    <xf numFmtId="168" fontId="15" fillId="10" borderId="0" xfId="4" applyNumberFormat="1" applyFont="1" applyFill="1" applyBorder="1" applyAlignment="1" applyProtection="1">
      <alignment horizontal="right" vertical="center"/>
    </xf>
    <xf numFmtId="0" fontId="9" fillId="3" borderId="0" xfId="0" applyFont="1" applyFill="1" applyAlignment="1">
      <alignment horizontal="center" vertical="center"/>
    </xf>
    <xf numFmtId="167" fontId="25" fillId="7" borderId="0" xfId="2" applyNumberFormat="1" applyFont="1" applyFill="1" applyAlignment="1">
      <alignment horizontal="center" vertical="center"/>
    </xf>
    <xf numFmtId="167" fontId="38" fillId="7" borderId="0" xfId="0" applyNumberFormat="1" applyFont="1" applyFill="1" applyAlignment="1">
      <alignment horizontal="center" vertical="center"/>
    </xf>
    <xf numFmtId="43" fontId="4" fillId="0" borderId="0" xfId="0" applyNumberFormat="1" applyFont="1" applyAlignment="1">
      <alignment vertical="center"/>
    </xf>
    <xf numFmtId="3" fontId="42" fillId="0" borderId="0" xfId="0" applyNumberFormat="1" applyFont="1" applyAlignment="1">
      <alignment vertical="center"/>
    </xf>
    <xf numFmtId="165" fontId="6" fillId="0" borderId="0" xfId="1" applyNumberFormat="1" applyFont="1" applyAlignment="1">
      <alignment vertical="center"/>
    </xf>
    <xf numFmtId="165" fontId="25" fillId="0" borderId="0" xfId="1" applyNumberFormat="1" applyFont="1" applyAlignment="1">
      <alignment vertical="center"/>
    </xf>
    <xf numFmtId="167" fontId="4" fillId="0" borderId="0" xfId="2" applyNumberFormat="1" applyFont="1" applyAlignment="1">
      <alignment vertical="center"/>
    </xf>
    <xf numFmtId="0" fontId="5" fillId="3" borderId="9" xfId="0" applyFont="1" applyFill="1" applyBorder="1" applyAlignment="1">
      <alignment vertical="center"/>
    </xf>
    <xf numFmtId="167" fontId="6" fillId="0" borderId="0" xfId="2" applyNumberFormat="1" applyFont="1" applyBorder="1" applyAlignment="1">
      <alignment vertical="center"/>
    </xf>
    <xf numFmtId="167" fontId="8" fillId="0" borderId="0" xfId="2" applyNumberFormat="1" applyFont="1" applyBorder="1" applyAlignment="1">
      <alignment vertical="center"/>
    </xf>
    <xf numFmtId="167" fontId="8" fillId="0" borderId="13" xfId="2" applyNumberFormat="1" applyFont="1" applyBorder="1" applyAlignment="1">
      <alignment vertical="center"/>
    </xf>
    <xf numFmtId="3" fontId="6" fillId="0" borderId="1" xfId="0" applyNumberFormat="1" applyFont="1" applyBorder="1" applyAlignment="1">
      <alignment vertical="center"/>
    </xf>
    <xf numFmtId="170" fontId="8" fillId="0" borderId="1" xfId="0" applyNumberFormat="1" applyFont="1" applyBorder="1" applyAlignment="1">
      <alignment vertical="center"/>
    </xf>
    <xf numFmtId="170" fontId="8" fillId="0" borderId="11" xfId="0" applyNumberFormat="1" applyFont="1" applyBorder="1" applyAlignment="1">
      <alignment vertical="center"/>
    </xf>
    <xf numFmtId="10" fontId="5" fillId="4" borderId="1" xfId="0" applyNumberFormat="1" applyFont="1" applyFill="1" applyBorder="1" applyAlignment="1">
      <alignment vertical="center"/>
    </xf>
    <xf numFmtId="0" fontId="0" fillId="8" borderId="0" xfId="0" applyFill="1"/>
    <xf numFmtId="0" fontId="5" fillId="8" borderId="0" xfId="0" applyFont="1" applyFill="1" applyAlignment="1">
      <alignment vertical="center"/>
    </xf>
    <xf numFmtId="166" fontId="43" fillId="21" borderId="0" xfId="0" applyNumberFormat="1" applyFont="1" applyFill="1" applyAlignment="1">
      <alignment vertical="center"/>
    </xf>
    <xf numFmtId="167" fontId="0" fillId="8" borderId="0" xfId="2" applyNumberFormat="1" applyFont="1" applyFill="1" applyBorder="1"/>
    <xf numFmtId="166" fontId="43" fillId="22" borderId="0" xfId="0" applyNumberFormat="1" applyFont="1" applyFill="1" applyAlignment="1">
      <alignment vertical="center"/>
    </xf>
    <xf numFmtId="167" fontId="43" fillId="22" borderId="0" xfId="2" applyNumberFormat="1" applyFont="1" applyFill="1" applyBorder="1" applyAlignment="1">
      <alignment vertical="center"/>
    </xf>
    <xf numFmtId="0" fontId="4" fillId="8" borderId="0" xfId="0" applyFont="1" applyFill="1" applyAlignment="1">
      <alignment vertical="center"/>
    </xf>
    <xf numFmtId="0" fontId="44" fillId="8" borderId="0" xfId="0" applyFont="1" applyFill="1" applyAlignment="1">
      <alignment vertical="center"/>
    </xf>
    <xf numFmtId="167" fontId="44" fillId="8" borderId="0" xfId="2" applyNumberFormat="1" applyFont="1" applyFill="1" applyBorder="1" applyAlignment="1">
      <alignment vertical="center"/>
    </xf>
    <xf numFmtId="166" fontId="43" fillId="23" borderId="0" xfId="0" applyNumberFormat="1" applyFont="1" applyFill="1" applyAlignment="1">
      <alignment vertical="center"/>
    </xf>
    <xf numFmtId="167" fontId="43" fillId="23" borderId="0" xfId="2" applyNumberFormat="1" applyFont="1" applyFill="1" applyBorder="1" applyAlignment="1">
      <alignment vertical="center"/>
    </xf>
    <xf numFmtId="169" fontId="0" fillId="0" borderId="0" xfId="5" applyNumberFormat="1" applyFont="1"/>
    <xf numFmtId="0" fontId="5" fillId="24" borderId="0" xfId="0" applyFont="1" applyFill="1" applyAlignment="1">
      <alignment vertical="center"/>
    </xf>
    <xf numFmtId="166" fontId="43" fillId="25" borderId="0" xfId="0" applyNumberFormat="1" applyFont="1" applyFill="1" applyAlignment="1">
      <alignment vertical="center"/>
    </xf>
    <xf numFmtId="167" fontId="43" fillId="25" borderId="0" xfId="2" applyNumberFormat="1" applyFont="1" applyFill="1" applyBorder="1" applyAlignment="1">
      <alignment vertical="center"/>
    </xf>
    <xf numFmtId="0" fontId="5" fillId="24" borderId="0" xfId="0" applyFont="1" applyFill="1" applyAlignment="1">
      <alignment horizontal="center" vertical="center"/>
    </xf>
    <xf numFmtId="0" fontId="5" fillId="24" borderId="0" xfId="0" applyFont="1" applyFill="1" applyAlignment="1">
      <alignment horizontal="center" vertical="center" wrapText="1"/>
    </xf>
    <xf numFmtId="167" fontId="5" fillId="24" borderId="0" xfId="2" applyNumberFormat="1" applyFont="1" applyFill="1" applyBorder="1" applyAlignment="1">
      <alignment horizontal="center" vertical="center"/>
    </xf>
    <xf numFmtId="0" fontId="20" fillId="8" borderId="0" xfId="0" applyFont="1" applyFill="1"/>
    <xf numFmtId="167" fontId="6" fillId="0" borderId="0" xfId="0" applyNumberFormat="1" applyFont="1" applyAlignment="1">
      <alignment horizontal="center" vertical="center"/>
    </xf>
    <xf numFmtId="41" fontId="15" fillId="10" borderId="0" xfId="0" applyNumberFormat="1" applyFont="1" applyFill="1" applyAlignment="1">
      <alignment vertical="center"/>
    </xf>
    <xf numFmtId="166" fontId="17" fillId="8" borderId="0" xfId="0" applyNumberFormat="1" applyFont="1" applyFill="1"/>
    <xf numFmtId="0" fontId="36" fillId="0" borderId="0" xfId="0" applyFont="1" applyAlignment="1">
      <alignment vertical="center"/>
    </xf>
    <xf numFmtId="10" fontId="47" fillId="0" borderId="5" xfId="7" applyNumberFormat="1" applyFont="1" applyBorder="1" applyAlignment="1">
      <alignment horizontal="center" vertical="center"/>
    </xf>
    <xf numFmtId="0" fontId="37" fillId="0" borderId="0" xfId="6" applyFont="1" applyAlignment="1">
      <alignment vertical="center"/>
    </xf>
    <xf numFmtId="10" fontId="37" fillId="0" borderId="0" xfId="6" applyNumberFormat="1" applyFont="1" applyAlignment="1">
      <alignment vertical="center"/>
    </xf>
    <xf numFmtId="167" fontId="25" fillId="0" borderId="0" xfId="0" applyNumberFormat="1" applyFont="1" applyAlignment="1">
      <alignment horizontal="center" vertical="center"/>
    </xf>
    <xf numFmtId="9" fontId="5" fillId="0" borderId="0" xfId="0" applyNumberFormat="1" applyFont="1" applyAlignment="1">
      <alignment horizontal="center" vertical="center"/>
    </xf>
    <xf numFmtId="0" fontId="23" fillId="0" borderId="0" xfId="0" applyFont="1" applyAlignment="1">
      <alignment vertical="center"/>
    </xf>
    <xf numFmtId="166" fontId="24" fillId="4" borderId="0" xfId="0" applyNumberFormat="1" applyFont="1" applyFill="1" applyAlignment="1">
      <alignment vertical="center"/>
    </xf>
    <xf numFmtId="10" fontId="5" fillId="4" borderId="0" xfId="0" applyNumberFormat="1" applyFont="1" applyFill="1" applyAlignment="1">
      <alignment vertical="center"/>
    </xf>
    <xf numFmtId="166" fontId="23" fillId="0" borderId="0" xfId="0" applyNumberFormat="1" applyFont="1" applyAlignment="1">
      <alignment vertical="center"/>
    </xf>
    <xf numFmtId="0" fontId="5" fillId="0" borderId="0" xfId="0" applyFont="1" applyAlignment="1">
      <alignment horizontal="left" vertical="center" indent="2"/>
    </xf>
    <xf numFmtId="0" fontId="5" fillId="26" borderId="10" xfId="0" applyFont="1" applyFill="1" applyBorder="1" applyAlignment="1">
      <alignment vertical="center"/>
    </xf>
    <xf numFmtId="10" fontId="9" fillId="26" borderId="1" xfId="0" applyNumberFormat="1" applyFont="1" applyFill="1" applyBorder="1" applyAlignment="1">
      <alignment vertical="center"/>
    </xf>
    <xf numFmtId="0" fontId="4" fillId="0" borderId="0" xfId="0" quotePrefix="1" applyFont="1" applyAlignment="1">
      <alignment horizontal="right" vertical="center"/>
    </xf>
    <xf numFmtId="0" fontId="4" fillId="0" borderId="0" xfId="0" applyFont="1" applyAlignment="1">
      <alignment horizontal="right" vertical="center"/>
    </xf>
    <xf numFmtId="166" fontId="8" fillId="0" borderId="0" xfId="8" applyNumberFormat="1" applyFont="1" applyBorder="1" applyAlignment="1">
      <alignment vertical="center"/>
    </xf>
    <xf numFmtId="10" fontId="6" fillId="6" borderId="0" xfId="2" applyNumberFormat="1" applyFont="1" applyFill="1" applyBorder="1" applyAlignment="1">
      <alignment vertical="center"/>
    </xf>
    <xf numFmtId="166" fontId="6" fillId="6" borderId="0" xfId="1" applyNumberFormat="1" applyFont="1" applyFill="1" applyBorder="1" applyAlignment="1">
      <alignment vertical="center"/>
    </xf>
    <xf numFmtId="0" fontId="4" fillId="26" borderId="0" xfId="0" applyFont="1" applyFill="1" applyAlignment="1">
      <alignment vertical="center"/>
    </xf>
    <xf numFmtId="10" fontId="6" fillId="26" borderId="0" xfId="2" applyNumberFormat="1" applyFont="1" applyFill="1" applyBorder="1" applyAlignment="1">
      <alignment vertical="center"/>
    </xf>
    <xf numFmtId="166" fontId="6" fillId="26" borderId="0" xfId="1" applyNumberFormat="1" applyFont="1" applyFill="1" applyBorder="1" applyAlignment="1">
      <alignment vertical="center"/>
    </xf>
    <xf numFmtId="0" fontId="5" fillId="0" borderId="0" xfId="0" applyFont="1" applyAlignment="1">
      <alignment horizontal="center" vertical="center"/>
    </xf>
    <xf numFmtId="10" fontId="7" fillId="6" borderId="0" xfId="2" applyNumberFormat="1" applyFont="1" applyFill="1" applyBorder="1" applyAlignment="1">
      <alignment vertical="center"/>
    </xf>
    <xf numFmtId="166" fontId="7" fillId="6" borderId="0" xfId="1" applyNumberFormat="1" applyFont="1" applyFill="1" applyBorder="1" applyAlignment="1">
      <alignment vertical="center"/>
    </xf>
    <xf numFmtId="0" fontId="4" fillId="26" borderId="12" xfId="0" applyFont="1" applyFill="1" applyBorder="1" applyAlignment="1">
      <alignment horizontal="left" vertical="center" indent="2"/>
    </xf>
    <xf numFmtId="166" fontId="8" fillId="0" borderId="13" xfId="8" applyNumberFormat="1" applyFont="1" applyBorder="1" applyAlignment="1">
      <alignment vertical="center"/>
    </xf>
    <xf numFmtId="166" fontId="4" fillId="0" borderId="0" xfId="1" applyNumberFormat="1" applyFont="1" applyBorder="1" applyAlignment="1">
      <alignment vertical="center"/>
    </xf>
    <xf numFmtId="166" fontId="4" fillId="0" borderId="13" xfId="1" applyNumberFormat="1" applyFont="1" applyBorder="1" applyAlignment="1">
      <alignment vertical="center"/>
    </xf>
    <xf numFmtId="171" fontId="4" fillId="26" borderId="0" xfId="1" applyNumberFormat="1" applyFont="1" applyFill="1" applyBorder="1" applyAlignment="1">
      <alignment vertical="center"/>
    </xf>
    <xf numFmtId="171" fontId="4" fillId="26" borderId="13" xfId="1" applyNumberFormat="1" applyFont="1" applyFill="1" applyBorder="1" applyAlignment="1">
      <alignment vertical="center"/>
    </xf>
    <xf numFmtId="43" fontId="4" fillId="26" borderId="0" xfId="0" applyNumberFormat="1" applyFont="1" applyFill="1" applyAlignment="1">
      <alignment vertical="center"/>
    </xf>
    <xf numFmtId="43" fontId="4" fillId="26" borderId="13" xfId="0" applyNumberFormat="1" applyFont="1" applyFill="1" applyBorder="1" applyAlignment="1">
      <alignment vertical="center"/>
    </xf>
    <xf numFmtId="0" fontId="5" fillId="6" borderId="10" xfId="0" applyFont="1" applyFill="1" applyBorder="1" applyAlignment="1">
      <alignment vertical="center"/>
    </xf>
    <xf numFmtId="0" fontId="5" fillId="6" borderId="1" xfId="0" applyFont="1" applyFill="1" applyBorder="1" applyAlignment="1">
      <alignment vertical="center"/>
    </xf>
    <xf numFmtId="43" fontId="5" fillId="6" borderId="1" xfId="0" applyNumberFormat="1" applyFont="1" applyFill="1" applyBorder="1" applyAlignment="1">
      <alignment vertical="center"/>
    </xf>
    <xf numFmtId="43" fontId="5" fillId="6" borderId="11" xfId="0" applyNumberFormat="1" applyFont="1" applyFill="1" applyBorder="1" applyAlignment="1">
      <alignment vertical="center"/>
    </xf>
    <xf numFmtId="166" fontId="9" fillId="4" borderId="13" xfId="0" applyNumberFormat="1" applyFont="1" applyFill="1" applyBorder="1" applyAlignment="1">
      <alignment vertical="center"/>
    </xf>
    <xf numFmtId="10" fontId="9" fillId="26" borderId="11" xfId="0" applyNumberFormat="1" applyFont="1" applyFill="1" applyBorder="1" applyAlignment="1">
      <alignment vertical="center"/>
    </xf>
    <xf numFmtId="166" fontId="9" fillId="26" borderId="1" xfId="0" applyNumberFormat="1" applyFont="1" applyFill="1" applyBorder="1" applyAlignment="1">
      <alignment vertical="center"/>
    </xf>
    <xf numFmtId="166" fontId="9" fillId="26" borderId="11" xfId="0" applyNumberFormat="1" applyFont="1" applyFill="1" applyBorder="1" applyAlignment="1">
      <alignment vertical="center"/>
    </xf>
    <xf numFmtId="0" fontId="5" fillId="27" borderId="12" xfId="0" applyFont="1" applyFill="1" applyBorder="1" applyAlignment="1">
      <alignment vertical="center"/>
    </xf>
    <xf numFmtId="0" fontId="5" fillId="27" borderId="0" xfId="0" applyFont="1" applyFill="1" applyAlignment="1">
      <alignment vertical="center"/>
    </xf>
    <xf numFmtId="0" fontId="24" fillId="27" borderId="0" xfId="0" applyFont="1" applyFill="1" applyAlignment="1">
      <alignment vertical="center"/>
    </xf>
    <xf numFmtId="0" fontId="5" fillId="27" borderId="13" xfId="0" applyFont="1" applyFill="1" applyBorder="1" applyAlignment="1">
      <alignment vertical="center"/>
    </xf>
    <xf numFmtId="0" fontId="5" fillId="8" borderId="12" xfId="0" applyFont="1" applyFill="1" applyBorder="1" applyAlignment="1">
      <alignment vertical="center"/>
    </xf>
    <xf numFmtId="0" fontId="24" fillId="8" borderId="0" xfId="0" applyFont="1" applyFill="1" applyAlignment="1">
      <alignment vertical="center"/>
    </xf>
    <xf numFmtId="0" fontId="5" fillId="8" borderId="13" xfId="0" applyFont="1" applyFill="1" applyBorder="1" applyAlignment="1">
      <alignment vertical="center"/>
    </xf>
    <xf numFmtId="0" fontId="5" fillId="26" borderId="12" xfId="0" applyFont="1" applyFill="1" applyBorder="1" applyAlignment="1">
      <alignment horizontal="left" vertical="center" indent="2"/>
    </xf>
    <xf numFmtId="167" fontId="4" fillId="26" borderId="0" xfId="2" applyNumberFormat="1" applyFont="1" applyFill="1" applyAlignment="1">
      <alignment vertical="center"/>
    </xf>
    <xf numFmtId="167" fontId="4" fillId="26" borderId="13" xfId="2" applyNumberFormat="1" applyFont="1" applyFill="1" applyBorder="1" applyAlignment="1">
      <alignment vertical="center"/>
    </xf>
    <xf numFmtId="164" fontId="4" fillId="26" borderId="0" xfId="1" applyFont="1" applyFill="1" applyBorder="1" applyAlignment="1">
      <alignment vertical="center"/>
    </xf>
    <xf numFmtId="164" fontId="4" fillId="26" borderId="13" xfId="1" applyFont="1" applyFill="1" applyBorder="1" applyAlignment="1">
      <alignment vertical="center"/>
    </xf>
    <xf numFmtId="0" fontId="5" fillId="26" borderId="10" xfId="0" applyFont="1" applyFill="1" applyBorder="1" applyAlignment="1">
      <alignment horizontal="left" vertical="center" indent="2"/>
    </xf>
    <xf numFmtId="165" fontId="4" fillId="26" borderId="1" xfId="1" applyNumberFormat="1" applyFont="1" applyFill="1" applyBorder="1" applyAlignment="1">
      <alignment vertical="center"/>
    </xf>
    <xf numFmtId="165" fontId="4" fillId="26" borderId="11" xfId="1" applyNumberFormat="1" applyFont="1" applyFill="1" applyBorder="1" applyAlignment="1">
      <alignment vertical="center"/>
    </xf>
    <xf numFmtId="166" fontId="0" fillId="0" borderId="5" xfId="1" applyNumberFormat="1" applyFont="1" applyBorder="1"/>
    <xf numFmtId="165" fontId="0" fillId="0" borderId="5" xfId="1" applyNumberFormat="1" applyFont="1" applyBorder="1"/>
    <xf numFmtId="0" fontId="26" fillId="0" borderId="5" xfId="0" applyFont="1" applyBorder="1" applyAlignment="1">
      <alignment horizontal="center"/>
    </xf>
    <xf numFmtId="0" fontId="20" fillId="28" borderId="0" xfId="6" applyFont="1" applyFill="1"/>
    <xf numFmtId="165" fontId="25" fillId="29" borderId="0" xfId="1" applyNumberFormat="1" applyFont="1" applyFill="1" applyAlignment="1">
      <alignment vertical="center"/>
    </xf>
    <xf numFmtId="167" fontId="25" fillId="29" borderId="0" xfId="2" applyNumberFormat="1" applyFont="1" applyFill="1" applyAlignment="1">
      <alignment horizontal="center" vertical="center"/>
    </xf>
    <xf numFmtId="165" fontId="4" fillId="29" borderId="0" xfId="0" applyNumberFormat="1" applyFont="1" applyFill="1" applyAlignment="1">
      <alignment vertical="center"/>
    </xf>
    <xf numFmtId="8" fontId="4" fillId="30" borderId="0" xfId="0" applyNumberFormat="1" applyFont="1" applyFill="1" applyAlignment="1">
      <alignment vertical="center"/>
    </xf>
    <xf numFmtId="0" fontId="49" fillId="0" borderId="5" xfId="0" applyFont="1" applyBorder="1" applyAlignment="1">
      <alignment horizontal="center"/>
    </xf>
    <xf numFmtId="0" fontId="50" fillId="0" borderId="0" xfId="0" applyFont="1"/>
    <xf numFmtId="166" fontId="50" fillId="0" borderId="5" xfId="1" applyNumberFormat="1" applyFont="1" applyBorder="1"/>
    <xf numFmtId="165" fontId="50" fillId="0" borderId="5" xfId="1" applyNumberFormat="1" applyFont="1" applyBorder="1"/>
    <xf numFmtId="0" fontId="50" fillId="8" borderId="0" xfId="0" applyFont="1" applyFill="1"/>
    <xf numFmtId="172" fontId="50" fillId="0" borderId="5" xfId="1" applyNumberFormat="1" applyFont="1" applyBorder="1" applyAlignment="1">
      <alignment horizontal="center"/>
    </xf>
    <xf numFmtId="167" fontId="50" fillId="0" borderId="5" xfId="2" applyNumberFormat="1" applyFont="1" applyBorder="1" applyAlignment="1">
      <alignment horizontal="center"/>
    </xf>
    <xf numFmtId="9" fontId="50" fillId="0" borderId="5" xfId="2" applyFont="1" applyBorder="1" applyAlignment="1">
      <alignment horizontal="center"/>
    </xf>
    <xf numFmtId="43" fontId="50" fillId="0" borderId="5" xfId="2" applyNumberFormat="1" applyFont="1" applyBorder="1" applyAlignment="1">
      <alignment horizontal="center"/>
    </xf>
    <xf numFmtId="166" fontId="9" fillId="30" borderId="1" xfId="0" applyNumberFormat="1" applyFont="1" applyFill="1" applyBorder="1" applyAlignment="1">
      <alignment vertical="center"/>
    </xf>
    <xf numFmtId="0" fontId="0" fillId="27" borderId="0" xfId="0" applyFill="1"/>
    <xf numFmtId="0" fontId="0" fillId="0" borderId="1" xfId="0" applyBorder="1"/>
    <xf numFmtId="9" fontId="4" fillId="0" borderId="0" xfId="2" applyFont="1" applyBorder="1" applyAlignment="1">
      <alignment vertical="center"/>
    </xf>
    <xf numFmtId="167" fontId="4" fillId="0" borderId="0" xfId="2" applyNumberFormat="1" applyFont="1" applyBorder="1" applyAlignment="1">
      <alignment vertical="center"/>
    </xf>
    <xf numFmtId="9" fontId="4" fillId="0" borderId="13" xfId="2" applyFont="1" applyBorder="1" applyAlignment="1">
      <alignment vertical="center"/>
    </xf>
    <xf numFmtId="0" fontId="50" fillId="0" borderId="0" xfId="0" applyFont="1" applyAlignment="1">
      <alignment horizontal="right" vertical="center"/>
    </xf>
    <xf numFmtId="9" fontId="50" fillId="0" borderId="0" xfId="0" applyNumberFormat="1" applyFont="1" applyAlignment="1">
      <alignment horizontal="right" vertical="center"/>
    </xf>
    <xf numFmtId="0" fontId="49" fillId="0" borderId="13" xfId="0" applyFont="1" applyBorder="1" applyAlignment="1">
      <alignment vertical="center"/>
    </xf>
    <xf numFmtId="0" fontId="49" fillId="0" borderId="11" xfId="0" applyFont="1" applyBorder="1" applyAlignment="1">
      <alignment vertical="center"/>
    </xf>
    <xf numFmtId="0" fontId="49" fillId="0" borderId="1" xfId="0" applyFont="1" applyBorder="1" applyAlignment="1">
      <alignment vertical="center"/>
    </xf>
    <xf numFmtId="0" fontId="51" fillId="8" borderId="1" xfId="0" applyFont="1" applyFill="1" applyBorder="1"/>
    <xf numFmtId="0" fontId="51" fillId="8" borderId="1" xfId="0" applyFont="1" applyFill="1" applyBorder="1" applyAlignment="1">
      <alignment horizontal="center"/>
    </xf>
    <xf numFmtId="0" fontId="51" fillId="8" borderId="0" xfId="0" applyFont="1" applyFill="1"/>
    <xf numFmtId="166" fontId="46" fillId="8" borderId="0" xfId="1" applyNumberFormat="1" applyFont="1" applyFill="1"/>
    <xf numFmtId="165" fontId="46" fillId="8" borderId="1" xfId="1" applyNumberFormat="1" applyFont="1" applyFill="1" applyBorder="1"/>
    <xf numFmtId="0" fontId="49" fillId="0" borderId="0" xfId="0" applyFont="1" applyAlignment="1">
      <alignment horizontal="center"/>
    </xf>
    <xf numFmtId="165" fontId="50" fillId="0" borderId="0" xfId="1" applyNumberFormat="1" applyFont="1" applyBorder="1"/>
    <xf numFmtId="0" fontId="49" fillId="8" borderId="1" xfId="0" applyFont="1" applyFill="1" applyBorder="1" applyAlignment="1">
      <alignment horizontal="center"/>
    </xf>
    <xf numFmtId="172" fontId="50" fillId="8" borderId="4" xfId="1" applyNumberFormat="1" applyFont="1" applyFill="1" applyBorder="1" applyAlignment="1">
      <alignment horizontal="center"/>
    </xf>
    <xf numFmtId="0" fontId="49" fillId="8" borderId="4" xfId="0" applyFont="1" applyFill="1" applyBorder="1" applyAlignment="1">
      <alignment horizontal="center"/>
    </xf>
    <xf numFmtId="0" fontId="50" fillId="8" borderId="11" xfId="0" applyFont="1" applyFill="1" applyBorder="1"/>
    <xf numFmtId="167" fontId="50" fillId="8" borderId="4" xfId="2" applyNumberFormat="1" applyFont="1" applyFill="1" applyBorder="1" applyAlignment="1">
      <alignment horizontal="center"/>
    </xf>
    <xf numFmtId="0" fontId="49" fillId="8" borderId="4" xfId="0" applyFont="1" applyFill="1" applyBorder="1" applyAlignment="1">
      <alignment horizontal="left"/>
    </xf>
    <xf numFmtId="0" fontId="49" fillId="8" borderId="1" xfId="0" applyFont="1" applyFill="1" applyBorder="1" applyAlignment="1">
      <alignment horizontal="right"/>
    </xf>
    <xf numFmtId="0" fontId="0" fillId="8" borderId="11" xfId="0" applyFill="1" applyBorder="1"/>
    <xf numFmtId="0" fontId="49" fillId="8" borderId="1" xfId="0" applyFont="1" applyFill="1" applyBorder="1" applyAlignment="1">
      <alignment horizontal="left"/>
    </xf>
    <xf numFmtId="0" fontId="18" fillId="8" borderId="4" xfId="0" applyFont="1" applyFill="1" applyBorder="1" applyAlignment="1">
      <alignment horizontal="center"/>
    </xf>
    <xf numFmtId="0" fontId="18" fillId="8" borderId="1" xfId="0" applyFont="1" applyFill="1" applyBorder="1" applyAlignment="1">
      <alignment horizontal="center"/>
    </xf>
    <xf numFmtId="0" fontId="16" fillId="8" borderId="1" xfId="0" applyFont="1" applyFill="1" applyBorder="1" applyAlignment="1">
      <alignment horizontal="center"/>
    </xf>
    <xf numFmtId="0" fontId="18" fillId="8" borderId="1" xfId="0" applyFont="1" applyFill="1" applyBorder="1"/>
    <xf numFmtId="0" fontId="20" fillId="28" borderId="5" xfId="6" applyFont="1" applyFill="1" applyBorder="1" applyAlignment="1">
      <alignment vertical="center"/>
    </xf>
    <xf numFmtId="0" fontId="20" fillId="28" borderId="5" xfId="6" applyFont="1" applyFill="1" applyBorder="1" applyAlignment="1">
      <alignment horizontal="center" vertical="center" wrapText="1"/>
    </xf>
    <xf numFmtId="0" fontId="20" fillId="28" borderId="3" xfId="6" applyFont="1" applyFill="1" applyBorder="1" applyAlignment="1">
      <alignment horizontal="center" vertical="center" wrapText="1"/>
    </xf>
    <xf numFmtId="0" fontId="20" fillId="28" borderId="4" xfId="6" applyFont="1" applyFill="1" applyBorder="1" applyAlignment="1">
      <alignment horizontal="center" vertical="center" wrapText="1"/>
    </xf>
    <xf numFmtId="0" fontId="20" fillId="28" borderId="7" xfId="6" applyFont="1" applyFill="1" applyBorder="1" applyAlignment="1">
      <alignment horizontal="center" vertical="center" wrapText="1"/>
    </xf>
    <xf numFmtId="0" fontId="20" fillId="28" borderId="14" xfId="6" applyFont="1" applyFill="1" applyBorder="1" applyAlignment="1">
      <alignment vertical="center"/>
    </xf>
    <xf numFmtId="166" fontId="20" fillId="28" borderId="8" xfId="1" applyNumberFormat="1" applyFont="1" applyFill="1" applyBorder="1" applyAlignment="1">
      <alignment vertical="center"/>
    </xf>
    <xf numFmtId="166" fontId="20" fillId="28" borderId="2" xfId="1" applyNumberFormat="1" applyFont="1" applyFill="1" applyBorder="1" applyAlignment="1">
      <alignment vertical="center"/>
    </xf>
    <xf numFmtId="166" fontId="20" fillId="28" borderId="9" xfId="1" applyNumberFormat="1" applyFont="1" applyFill="1" applyBorder="1" applyAlignment="1">
      <alignment vertical="center"/>
    </xf>
    <xf numFmtId="165" fontId="20" fillId="28" borderId="8" xfId="6" applyNumberFormat="1" applyFont="1" applyFill="1" applyBorder="1" applyAlignment="1">
      <alignment vertical="center"/>
    </xf>
    <xf numFmtId="165" fontId="20" fillId="28" borderId="2" xfId="6" applyNumberFormat="1" applyFont="1" applyFill="1" applyBorder="1" applyAlignment="1">
      <alignment vertical="center"/>
    </xf>
    <xf numFmtId="165" fontId="20" fillId="28" borderId="9" xfId="6" applyNumberFormat="1" applyFont="1" applyFill="1" applyBorder="1" applyAlignment="1">
      <alignment vertical="center"/>
    </xf>
    <xf numFmtId="0" fontId="20" fillId="28" borderId="15" xfId="6" applyFont="1" applyFill="1" applyBorder="1" applyAlignment="1">
      <alignment vertical="center"/>
    </xf>
    <xf numFmtId="166" fontId="20" fillId="28" borderId="12" xfId="1" applyNumberFormat="1" applyFont="1" applyFill="1" applyBorder="1" applyAlignment="1">
      <alignment vertical="center"/>
    </xf>
    <xf numFmtId="166" fontId="20" fillId="28" borderId="0" xfId="1" applyNumberFormat="1" applyFont="1" applyFill="1" applyBorder="1" applyAlignment="1">
      <alignment vertical="center"/>
    </xf>
    <xf numFmtId="166" fontId="20" fillId="28" borderId="13" xfId="1" applyNumberFormat="1" applyFont="1" applyFill="1" applyBorder="1" applyAlignment="1">
      <alignment vertical="center"/>
    </xf>
    <xf numFmtId="167" fontId="20" fillId="28" borderId="12" xfId="6" applyNumberFormat="1" applyFont="1" applyFill="1" applyBorder="1" applyAlignment="1">
      <alignment vertical="center"/>
    </xf>
    <xf numFmtId="167" fontId="20" fillId="28" borderId="0" xfId="6" applyNumberFormat="1" applyFont="1" applyFill="1" applyAlignment="1">
      <alignment vertical="center"/>
    </xf>
    <xf numFmtId="167" fontId="20" fillId="28" borderId="13" xfId="6" applyNumberFormat="1" applyFont="1" applyFill="1" applyBorder="1" applyAlignment="1">
      <alignment vertical="center"/>
    </xf>
    <xf numFmtId="165" fontId="20" fillId="28" borderId="12" xfId="6" applyNumberFormat="1" applyFont="1" applyFill="1" applyBorder="1" applyAlignment="1">
      <alignment vertical="center"/>
    </xf>
    <xf numFmtId="165" fontId="20" fillId="28" borderId="0" xfId="6" applyNumberFormat="1" applyFont="1" applyFill="1" applyAlignment="1">
      <alignment vertical="center"/>
    </xf>
    <xf numFmtId="165" fontId="20" fillId="28" borderId="13" xfId="6" applyNumberFormat="1" applyFont="1" applyFill="1" applyBorder="1" applyAlignment="1">
      <alignment vertical="center"/>
    </xf>
    <xf numFmtId="0" fontId="20" fillId="28" borderId="16" xfId="6" applyFont="1" applyFill="1" applyBorder="1" applyAlignment="1">
      <alignment vertical="center"/>
    </xf>
    <xf numFmtId="166" fontId="20" fillId="28" borderId="10" xfId="1" applyNumberFormat="1" applyFont="1" applyFill="1" applyBorder="1" applyAlignment="1">
      <alignment vertical="center"/>
    </xf>
    <xf numFmtId="166" fontId="20" fillId="28" borderId="1" xfId="1" applyNumberFormat="1" applyFont="1" applyFill="1" applyBorder="1" applyAlignment="1">
      <alignment vertical="center"/>
    </xf>
    <xf numFmtId="166" fontId="20" fillId="28" borderId="11" xfId="1" applyNumberFormat="1" applyFont="1" applyFill="1" applyBorder="1" applyAlignment="1">
      <alignment vertical="center"/>
    </xf>
    <xf numFmtId="165" fontId="20" fillId="28" borderId="10" xfId="6" applyNumberFormat="1" applyFont="1" applyFill="1" applyBorder="1" applyAlignment="1">
      <alignment vertical="center"/>
    </xf>
    <xf numFmtId="165" fontId="20" fillId="28" borderId="1" xfId="6" applyNumberFormat="1" applyFont="1" applyFill="1" applyBorder="1" applyAlignment="1">
      <alignment vertical="center"/>
    </xf>
    <xf numFmtId="165" fontId="20" fillId="28" borderId="11" xfId="6" applyNumberFormat="1" applyFont="1" applyFill="1" applyBorder="1" applyAlignment="1">
      <alignment vertical="center"/>
    </xf>
    <xf numFmtId="0" fontId="49" fillId="15" borderId="11" xfId="0" applyFont="1" applyFill="1" applyBorder="1" applyAlignment="1">
      <alignment vertical="center"/>
    </xf>
    <xf numFmtId="0" fontId="49" fillId="15" borderId="1" xfId="0" applyFont="1" applyFill="1" applyBorder="1" applyAlignment="1">
      <alignment horizontal="right" vertical="center"/>
    </xf>
    <xf numFmtId="0" fontId="52" fillId="15" borderId="5" xfId="0" applyFont="1" applyFill="1" applyBorder="1" applyAlignment="1">
      <alignment horizontal="center" vertical="center"/>
    </xf>
    <xf numFmtId="0" fontId="53" fillId="0" borderId="5" xfId="0" applyFont="1" applyBorder="1" applyAlignment="1">
      <alignment horizontal="left" vertical="center" indent="2"/>
    </xf>
    <xf numFmtId="167" fontId="53" fillId="0" borderId="5" xfId="0" applyNumberFormat="1" applyFont="1" applyBorder="1" applyAlignment="1">
      <alignment vertical="center"/>
    </xf>
    <xf numFmtId="0" fontId="54" fillId="0" borderId="5" xfId="0" applyFont="1" applyBorder="1" applyAlignment="1">
      <alignment vertical="center" wrapText="1"/>
    </xf>
    <xf numFmtId="167" fontId="53" fillId="0" borderId="5" xfId="0" quotePrefix="1" applyNumberFormat="1" applyFont="1" applyBorder="1" applyAlignment="1">
      <alignment vertical="center"/>
    </xf>
    <xf numFmtId="4" fontId="53" fillId="0" borderId="5" xfId="0" applyNumberFormat="1" applyFont="1" applyBorder="1" applyAlignment="1">
      <alignment vertical="center"/>
    </xf>
    <xf numFmtId="0" fontId="52" fillId="17" borderId="5" xfId="0" applyFont="1" applyFill="1" applyBorder="1" applyAlignment="1">
      <alignment vertical="center"/>
    </xf>
    <xf numFmtId="167" fontId="52" fillId="15" borderId="5" xfId="0" applyNumberFormat="1" applyFont="1" applyFill="1" applyBorder="1" applyAlignment="1">
      <alignment vertical="center"/>
    </xf>
    <xf numFmtId="0" fontId="54" fillId="15" borderId="5" xfId="0" applyFont="1" applyFill="1" applyBorder="1" applyAlignment="1">
      <alignment vertical="center" wrapText="1"/>
    </xf>
    <xf numFmtId="0" fontId="55" fillId="18" borderId="5" xfId="0" applyFont="1" applyFill="1" applyBorder="1" applyAlignment="1">
      <alignment vertical="center"/>
    </xf>
    <xf numFmtId="10" fontId="55" fillId="19" borderId="5" xfId="0" applyNumberFormat="1" applyFont="1" applyFill="1" applyBorder="1" applyAlignment="1">
      <alignment vertical="center"/>
    </xf>
    <xf numFmtId="0" fontId="56" fillId="8" borderId="0" xfId="0" applyFont="1" applyFill="1" applyAlignment="1">
      <alignment vertical="center"/>
    </xf>
    <xf numFmtId="0" fontId="57" fillId="8" borderId="14" xfId="0" applyFont="1" applyFill="1" applyBorder="1" applyAlignment="1">
      <alignment vertical="center"/>
    </xf>
    <xf numFmtId="0" fontId="57" fillId="8" borderId="2" xfId="0" applyFont="1" applyFill="1" applyBorder="1" applyAlignment="1">
      <alignment vertical="center"/>
    </xf>
    <xf numFmtId="0" fontId="57" fillId="8" borderId="2" xfId="0" applyFont="1" applyFill="1" applyBorder="1" applyAlignment="1">
      <alignment horizontal="center" vertical="center"/>
    </xf>
    <xf numFmtId="0" fontId="57" fillId="8" borderId="9" xfId="0" applyFont="1" applyFill="1" applyBorder="1" applyAlignment="1">
      <alignment horizontal="center" vertical="center"/>
    </xf>
    <xf numFmtId="0" fontId="57" fillId="8" borderId="15" xfId="0" applyFont="1" applyFill="1" applyBorder="1" applyAlignment="1">
      <alignment vertical="center"/>
    </xf>
    <xf numFmtId="0" fontId="57" fillId="8" borderId="0" xfId="0" applyFont="1" applyFill="1" applyAlignment="1">
      <alignment vertical="center"/>
    </xf>
    <xf numFmtId="166" fontId="58" fillId="8" borderId="0" xfId="0" applyNumberFormat="1" applyFont="1" applyFill="1" applyAlignment="1">
      <alignment vertical="center"/>
    </xf>
    <xf numFmtId="166" fontId="59" fillId="8" borderId="0" xfId="0" applyNumberFormat="1" applyFont="1" applyFill="1" applyAlignment="1">
      <alignment vertical="center"/>
    </xf>
    <xf numFmtId="166" fontId="60" fillId="8" borderId="0" xfId="0" applyNumberFormat="1" applyFont="1" applyFill="1" applyAlignment="1">
      <alignment horizontal="right"/>
    </xf>
    <xf numFmtId="166" fontId="60" fillId="8" borderId="13" xfId="0" applyNumberFormat="1" applyFont="1" applyFill="1" applyBorder="1" applyAlignment="1">
      <alignment horizontal="right"/>
    </xf>
    <xf numFmtId="0" fontId="57" fillId="8" borderId="16" xfId="0" applyFont="1" applyFill="1" applyBorder="1" applyAlignment="1">
      <alignment vertical="center"/>
    </xf>
    <xf numFmtId="0" fontId="61" fillId="8" borderId="0" xfId="0" applyFont="1" applyFill="1" applyAlignment="1">
      <alignment vertical="center"/>
    </xf>
    <xf numFmtId="10" fontId="60" fillId="8" borderId="1" xfId="0" applyNumberFormat="1" applyFont="1" applyFill="1" applyBorder="1" applyAlignment="1">
      <alignment vertical="center"/>
    </xf>
    <xf numFmtId="10" fontId="60" fillId="8" borderId="1" xfId="0" applyNumberFormat="1" applyFont="1" applyFill="1" applyBorder="1" applyAlignment="1">
      <alignment horizontal="right"/>
    </xf>
    <xf numFmtId="10" fontId="60" fillId="8" borderId="11" xfId="0" applyNumberFormat="1" applyFont="1" applyFill="1" applyBorder="1" applyAlignment="1">
      <alignment horizontal="right"/>
    </xf>
    <xf numFmtId="0" fontId="57" fillId="8" borderId="15" xfId="0" applyFont="1" applyFill="1" applyBorder="1" applyAlignment="1">
      <alignment horizontal="left" vertical="center" indent="2"/>
    </xf>
    <xf numFmtId="166" fontId="62" fillId="8" borderId="0" xfId="8" applyNumberFormat="1" applyFont="1" applyFill="1" applyBorder="1" applyAlignment="1">
      <alignment vertical="center"/>
    </xf>
    <xf numFmtId="166" fontId="62" fillId="8" borderId="0" xfId="8" applyNumberFormat="1" applyFont="1" applyFill="1" applyBorder="1" applyAlignment="1">
      <alignment horizontal="right"/>
    </xf>
    <xf numFmtId="166" fontId="62" fillId="8" borderId="13" xfId="8" applyNumberFormat="1" applyFont="1" applyFill="1" applyBorder="1" applyAlignment="1">
      <alignment horizontal="right"/>
    </xf>
    <xf numFmtId="166" fontId="61" fillId="8" borderId="0" xfId="1" applyNumberFormat="1" applyFont="1" applyFill="1" applyBorder="1" applyAlignment="1">
      <alignment vertical="center"/>
    </xf>
    <xf numFmtId="166" fontId="61" fillId="8" borderId="0" xfId="1" applyNumberFormat="1" applyFont="1" applyFill="1" applyBorder="1" applyAlignment="1">
      <alignment horizontal="right"/>
    </xf>
    <xf numFmtId="166" fontId="61" fillId="8" borderId="13" xfId="1" applyNumberFormat="1" applyFont="1" applyFill="1" applyBorder="1" applyAlignment="1">
      <alignment horizontal="right"/>
    </xf>
    <xf numFmtId="0" fontId="63" fillId="8" borderId="15" xfId="0" applyFont="1" applyFill="1" applyBorder="1" applyAlignment="1">
      <alignment horizontal="left" vertical="center" indent="4"/>
    </xf>
    <xf numFmtId="0" fontId="64" fillId="8" borderId="0" xfId="0" applyFont="1" applyFill="1" applyAlignment="1">
      <alignment vertical="center"/>
    </xf>
    <xf numFmtId="9" fontId="64" fillId="8" borderId="0" xfId="2" applyFont="1" applyFill="1" applyBorder="1" applyAlignment="1">
      <alignment vertical="center"/>
    </xf>
    <xf numFmtId="9" fontId="64" fillId="8" borderId="0" xfId="2" applyFont="1" applyFill="1" applyBorder="1" applyAlignment="1">
      <alignment horizontal="right"/>
    </xf>
    <xf numFmtId="9" fontId="64" fillId="8" borderId="13" xfId="2" applyFont="1" applyFill="1" applyBorder="1" applyAlignment="1">
      <alignment horizontal="right"/>
    </xf>
    <xf numFmtId="167" fontId="64" fillId="8" borderId="0" xfId="2" applyNumberFormat="1" applyFont="1" applyFill="1" applyBorder="1" applyAlignment="1">
      <alignment vertical="center"/>
    </xf>
    <xf numFmtId="167" fontId="61" fillId="8" borderId="0" xfId="2" applyNumberFormat="1" applyFont="1" applyFill="1" applyBorder="1" applyAlignment="1">
      <alignment vertical="center"/>
    </xf>
    <xf numFmtId="9" fontId="61" fillId="8" borderId="0" xfId="2" applyFont="1" applyFill="1" applyBorder="1" applyAlignment="1">
      <alignment vertical="center"/>
    </xf>
    <xf numFmtId="9" fontId="61" fillId="8" borderId="0" xfId="2" applyFont="1" applyFill="1" applyBorder="1" applyAlignment="1">
      <alignment horizontal="right"/>
    </xf>
    <xf numFmtId="9" fontId="61" fillId="8" borderId="13" xfId="2" applyFont="1" applyFill="1" applyBorder="1" applyAlignment="1">
      <alignment horizontal="right"/>
    </xf>
    <xf numFmtId="0" fontId="57" fillId="8" borderId="5" xfId="0" applyFont="1" applyFill="1" applyBorder="1" applyAlignment="1">
      <alignment vertical="center"/>
    </xf>
    <xf numFmtId="0" fontId="61" fillId="8" borderId="4" xfId="0" applyFont="1" applyFill="1" applyBorder="1" applyAlignment="1">
      <alignment vertical="center"/>
    </xf>
    <xf numFmtId="166" fontId="60" fillId="8" borderId="4" xfId="0" applyNumberFormat="1" applyFont="1" applyFill="1" applyBorder="1" applyAlignment="1">
      <alignment vertical="center"/>
    </xf>
    <xf numFmtId="166" fontId="60" fillId="8" borderId="4" xfId="0" applyNumberFormat="1" applyFont="1" applyFill="1" applyBorder="1" applyAlignment="1">
      <alignment horizontal="right"/>
    </xf>
    <xf numFmtId="166" fontId="60" fillId="8" borderId="7" xfId="0" applyNumberFormat="1" applyFont="1" applyFill="1" applyBorder="1" applyAlignment="1">
      <alignment horizontal="right"/>
    </xf>
    <xf numFmtId="165" fontId="20" fillId="28" borderId="12" xfId="1" applyNumberFormat="1" applyFont="1" applyFill="1" applyBorder="1" applyAlignment="1">
      <alignment vertical="center"/>
    </xf>
    <xf numFmtId="165" fontId="20" fillId="28" borderId="0" xfId="1" applyNumberFormat="1" applyFont="1" applyFill="1" applyBorder="1" applyAlignment="1">
      <alignment vertical="center"/>
    </xf>
    <xf numFmtId="165" fontId="20" fillId="28" borderId="13" xfId="1" applyNumberFormat="1" applyFont="1" applyFill="1" applyBorder="1" applyAlignment="1">
      <alignment vertical="center"/>
    </xf>
    <xf numFmtId="167" fontId="20" fillId="28" borderId="8" xfId="2" applyNumberFormat="1" applyFont="1" applyFill="1" applyBorder="1" applyAlignment="1">
      <alignment vertical="center"/>
    </xf>
    <xf numFmtId="167" fontId="20" fillId="28" borderId="2" xfId="2" applyNumberFormat="1" applyFont="1" applyFill="1" applyBorder="1" applyAlignment="1">
      <alignment vertical="center"/>
    </xf>
    <xf numFmtId="167" fontId="20" fillId="28" borderId="9" xfId="2" applyNumberFormat="1" applyFont="1" applyFill="1" applyBorder="1" applyAlignment="1">
      <alignment vertical="center"/>
    </xf>
    <xf numFmtId="1" fontId="20" fillId="28" borderId="11" xfId="1" applyNumberFormat="1" applyFont="1" applyFill="1" applyBorder="1" applyAlignment="1">
      <alignment vertical="center"/>
    </xf>
    <xf numFmtId="1" fontId="20" fillId="28" borderId="13" xfId="1" applyNumberFormat="1" applyFont="1" applyFill="1" applyBorder="1" applyAlignment="1">
      <alignment vertical="center"/>
    </xf>
    <xf numFmtId="0" fontId="56" fillId="8" borderId="1" xfId="0" applyFont="1" applyFill="1" applyBorder="1" applyAlignment="1">
      <alignment vertical="center"/>
    </xf>
    <xf numFmtId="0" fontId="56" fillId="8" borderId="1" xfId="0" applyFont="1" applyFill="1" applyBorder="1" applyAlignment="1">
      <alignment horizontal="center" vertical="center"/>
    </xf>
    <xf numFmtId="166" fontId="54" fillId="8" borderId="0" xfId="1" applyNumberFormat="1" applyFont="1" applyFill="1" applyAlignment="1">
      <alignment vertical="center"/>
    </xf>
    <xf numFmtId="165" fontId="54" fillId="8" borderId="1" xfId="1" applyNumberFormat="1" applyFont="1" applyFill="1" applyBorder="1" applyAlignment="1">
      <alignment vertical="center"/>
    </xf>
    <xf numFmtId="0" fontId="54" fillId="0" borderId="3" xfId="0" applyFont="1" applyBorder="1" applyAlignment="1">
      <alignment horizontal="left" vertical="center" wrapText="1"/>
    </xf>
    <xf numFmtId="0" fontId="54" fillId="0" borderId="4" xfId="0" applyFont="1" applyBorder="1" applyAlignment="1">
      <alignment horizontal="left" vertical="center"/>
    </xf>
    <xf numFmtId="0" fontId="54" fillId="0" borderId="7" xfId="0" applyFont="1" applyBorder="1" applyAlignment="1">
      <alignment horizontal="left" vertical="center"/>
    </xf>
    <xf numFmtId="0" fontId="52" fillId="8" borderId="3" xfId="0" applyFont="1" applyFill="1" applyBorder="1" applyAlignment="1">
      <alignment horizontal="center" vertical="center"/>
    </xf>
    <xf numFmtId="0" fontId="52" fillId="8" borderId="4" xfId="0" applyFont="1" applyFill="1" applyBorder="1" applyAlignment="1">
      <alignment horizontal="center" vertical="center"/>
    </xf>
    <xf numFmtId="0" fontId="52" fillId="8" borderId="7" xfId="0" applyFont="1" applyFill="1" applyBorder="1" applyAlignment="1">
      <alignment horizontal="center" vertical="center"/>
    </xf>
    <xf numFmtId="0" fontId="20" fillId="28" borderId="3" xfId="6" applyFont="1" applyFill="1" applyBorder="1" applyAlignment="1">
      <alignment horizontal="center" vertical="center"/>
    </xf>
    <xf numFmtId="0" fontId="48" fillId="0" borderId="4" xfId="0" applyFont="1" applyBorder="1" applyAlignment="1">
      <alignment horizontal="center" vertical="center"/>
    </xf>
    <xf numFmtId="0" fontId="48" fillId="0" borderId="7" xfId="0" applyFont="1" applyBorder="1" applyAlignment="1">
      <alignment horizontal="center" vertical="center"/>
    </xf>
    <xf numFmtId="0" fontId="28" fillId="28" borderId="0" xfId="6" applyFont="1" applyFill="1" applyAlignment="1">
      <alignment horizontal="center" vertical="center"/>
    </xf>
    <xf numFmtId="0" fontId="19" fillId="28" borderId="6" xfId="6" applyFont="1" applyFill="1" applyBorder="1" applyAlignment="1">
      <alignment horizontal="left" vertical="center"/>
    </xf>
    <xf numFmtId="0" fontId="20" fillId="28" borderId="0" xfId="6" applyFont="1" applyFill="1" applyAlignment="1">
      <alignment horizontal="justify" vertical="center"/>
    </xf>
    <xf numFmtId="0" fontId="49" fillId="0" borderId="5" xfId="0" applyFont="1" applyBorder="1" applyAlignment="1">
      <alignment horizontal="center"/>
    </xf>
    <xf numFmtId="0" fontId="49" fillId="8" borderId="9" xfId="0" applyFont="1" applyFill="1" applyBorder="1" applyAlignment="1">
      <alignment horizontal="center" vertical="center" wrapText="1"/>
    </xf>
    <xf numFmtId="0" fontId="49" fillId="8" borderId="13" xfId="0" applyFont="1" applyFill="1" applyBorder="1" applyAlignment="1">
      <alignment horizontal="center" vertical="center" wrapText="1"/>
    </xf>
    <xf numFmtId="0" fontId="49" fillId="8" borderId="11" xfId="0" applyFont="1" applyFill="1" applyBorder="1" applyAlignment="1">
      <alignment horizontal="center" vertical="center" wrapText="1"/>
    </xf>
  </cellXfs>
  <cellStyles count="9">
    <cellStyle name="Hipervínculo" xfId="3" builtinId="8"/>
    <cellStyle name="Millares" xfId="1" builtinId="3"/>
    <cellStyle name="Millares [0]" xfId="4" builtinId="6"/>
    <cellStyle name="Millares 2" xfId="8" xr:uid="{22462553-8D75-4A4F-AF1C-CFC60CDB624D}"/>
    <cellStyle name="Millares 3" xfId="5" xr:uid="{00000000-0005-0000-0000-000003000000}"/>
    <cellStyle name="Normal" xfId="0" builtinId="0"/>
    <cellStyle name="Normal 2 11 2" xfId="6" xr:uid="{5666B32F-F7C1-421D-AE91-81A18EAA61F8}"/>
    <cellStyle name="Normal 254" xfId="7" xr:uid="{BE28620C-85D1-40DF-9C5C-0EEE8C7565B9}"/>
    <cellStyle name="Porcentaje" xfId="2" builtinId="5"/>
  </cellStyles>
  <dxfs count="0"/>
  <tableStyles count="0" defaultTableStyle="TableStyleMedium2" defaultPivotStyle="PivotStyleLight16"/>
  <colors>
    <mruColors>
      <color rgb="FFFF9393"/>
      <color rgb="FF0000CC"/>
      <color rgb="FF00863D"/>
      <color rgb="FF5F5F5F"/>
      <color rgb="FFFFDFD5"/>
      <color rgb="FFFFB097"/>
      <color rgb="FFFFF6D9"/>
      <color rgb="FFFFE8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EEFF!$E$39</c:f>
              <c:strCache>
                <c:ptCount val="1"/>
                <c:pt idx="0">
                  <c:v>Ingresos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0"/>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C5DB-4BA3-8728-498FCF019630}"/>
              </c:ext>
            </c:extLst>
          </c:dPt>
          <c:dPt>
            <c:idx val="1"/>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C5DB-4BA3-8728-498FCF019630}"/>
              </c:ext>
            </c:extLst>
          </c:dPt>
          <c:dPt>
            <c:idx val="2"/>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C5DB-4BA3-8728-498FCF019630}"/>
              </c:ext>
            </c:extLst>
          </c:dPt>
          <c:dPt>
            <c:idx val="3"/>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C5DB-4BA3-8728-498FCF019630}"/>
              </c:ext>
            </c:extLst>
          </c:dPt>
          <c:dPt>
            <c:idx val="4"/>
            <c:invertIfNegative val="0"/>
            <c:bubble3D val="0"/>
            <c:spPr>
              <a:solidFill>
                <a:srgbClr val="00B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C5DB-4BA3-8728-498FCF019630}"/>
              </c:ext>
            </c:extLst>
          </c:dPt>
          <c:dPt>
            <c:idx val="5"/>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C-5C22-4126-9F6C-111D21C1EA16}"/>
              </c:ext>
            </c:extLst>
          </c:dPt>
          <c:dPt>
            <c:idx val="6"/>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C8B2-4598-866D-D74A95364809}"/>
              </c:ext>
            </c:extLst>
          </c:dPt>
          <c:dPt>
            <c:idx val="7"/>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E15B-4996-9E7F-F27B134B777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EEFF!$H$1:$Z$1</c:f>
              <c:strCache>
                <c:ptCount val="16"/>
                <c:pt idx="0">
                  <c:v>REAL 2019</c:v>
                </c:pt>
                <c:pt idx="1">
                  <c:v>REAL 2020</c:v>
                </c:pt>
                <c:pt idx="2">
                  <c:v>REAL 2021</c:v>
                </c:pt>
                <c:pt idx="3">
                  <c:v>REAL 2022</c:v>
                </c:pt>
                <c:pt idx="4">
                  <c:v>REAL 2023</c:v>
                </c:pt>
                <c:pt idx="5">
                  <c:v>LBE 2024</c:v>
                </c:pt>
                <c:pt idx="6">
                  <c:v>PRY 2025</c:v>
                </c:pt>
                <c:pt idx="7">
                  <c:v>PRY 2026</c:v>
                </c:pt>
                <c:pt idx="8">
                  <c:v>PRY 2027</c:v>
                </c:pt>
                <c:pt idx="9">
                  <c:v>PRY 2028</c:v>
                </c:pt>
                <c:pt idx="10">
                  <c:v>PRY 2029</c:v>
                </c:pt>
                <c:pt idx="11">
                  <c:v>PRY 2030</c:v>
                </c:pt>
                <c:pt idx="12">
                  <c:v>PRY 2031</c:v>
                </c:pt>
                <c:pt idx="13">
                  <c:v>PRY 2032</c:v>
                </c:pt>
                <c:pt idx="14">
                  <c:v>PRY 2033</c:v>
                </c:pt>
                <c:pt idx="15">
                  <c:v>PRY 2034</c:v>
                </c:pt>
              </c:strCache>
            </c:strRef>
          </c:cat>
          <c:val>
            <c:numRef>
              <c:f>EEFF!$H$39:$Z$39</c:f>
              <c:numCache>
                <c:formatCode>_(* #,##0_);_(* \(#,##0\);_(* "-"??_);_(@_)</c:formatCode>
                <c:ptCount val="16"/>
                <c:pt idx="0">
                  <c:v>358534549</c:v>
                </c:pt>
                <c:pt idx="1">
                  <c:v>383784560</c:v>
                </c:pt>
                <c:pt idx="2">
                  <c:v>437691547</c:v>
                </c:pt>
                <c:pt idx="3">
                  <c:v>530191512</c:v>
                </c:pt>
                <c:pt idx="4">
                  <c:v>554729657</c:v>
                </c:pt>
                <c:pt idx="5">
                  <c:v>579869129.94618535</c:v>
                </c:pt>
                <c:pt idx="6">
                  <c:v>586815853.55903232</c:v>
                </c:pt>
                <c:pt idx="7">
                  <c:v>609944719.79373682</c:v>
                </c:pt>
                <c:pt idx="8">
                  <c:v>620771796.10008574</c:v>
                </c:pt>
                <c:pt idx="9">
                  <c:v>641173782.64383876</c:v>
                </c:pt>
                <c:pt idx="10">
                  <c:v>661666636.26773965</c:v>
                </c:pt>
                <c:pt idx="11">
                  <c:v>681345818.84497547</c:v>
                </c:pt>
                <c:pt idx="12">
                  <c:v>700651354.33225882</c:v>
                </c:pt>
                <c:pt idx="13">
                  <c:v>719943942.78876317</c:v>
                </c:pt>
                <c:pt idx="14">
                  <c:v>739767756.89273202</c:v>
                </c:pt>
                <c:pt idx="15">
                  <c:v>760137424.05868578</c:v>
                </c:pt>
              </c:numCache>
            </c:numRef>
          </c:val>
          <c:extLst>
            <c:ext xmlns:c16="http://schemas.microsoft.com/office/drawing/2014/chart" uri="{C3380CC4-5D6E-409C-BE32-E72D297353CC}">
              <c16:uniqueId val="{0000000A-C5DB-4BA3-8728-498FCF019630}"/>
            </c:ext>
          </c:extLst>
        </c:ser>
        <c:dLbls>
          <c:dLblPos val="outEnd"/>
          <c:showLegendKey val="0"/>
          <c:showVal val="1"/>
          <c:showCatName val="0"/>
          <c:showSerName val="0"/>
          <c:showPercent val="0"/>
          <c:showBubbleSize val="0"/>
        </c:dLbls>
        <c:gapWidth val="100"/>
        <c:overlap val="-24"/>
        <c:axId val="222037872"/>
        <c:axId val="204088816"/>
      </c:barChart>
      <c:catAx>
        <c:axId val="22203787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s-CO"/>
          </a:p>
        </c:txPr>
        <c:crossAx val="204088816"/>
        <c:crosses val="autoZero"/>
        <c:auto val="1"/>
        <c:lblAlgn val="ctr"/>
        <c:lblOffset val="100"/>
        <c:noMultiLvlLbl val="0"/>
      </c:catAx>
      <c:valAx>
        <c:axId val="204088816"/>
        <c:scaling>
          <c:orientation val="minMax"/>
          <c:max val="100000000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crossAx val="222037872"/>
        <c:crosses val="autoZero"/>
        <c:crossBetween val="between"/>
        <c:dispUnits>
          <c:builtInUnit val="millions"/>
          <c:dispUnitsLbl>
            <c:layout>
              <c:manualLayout>
                <c:xMode val="edge"/>
                <c:yMode val="edge"/>
                <c:x val="1.2462129694156516E-2"/>
                <c:y val="0.24578703703703703"/>
              </c:manualLayout>
            </c:layout>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000"/>
                    <a:t>Miles de Millones COP$</a:t>
                  </a:r>
                </a:p>
              </c:rich>
            </c:tx>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dispUnitsLbl>
        </c:dispUnits>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EEFF!$E$41</c:f>
              <c:strCache>
                <c:ptCount val="1"/>
                <c:pt idx="0">
                  <c:v>Utilidad Bruta</c:v>
                </c:pt>
              </c:strCache>
            </c:strRef>
          </c:tx>
          <c:spPr>
            <a:solidFill>
              <a:srgbClr val="00206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0"/>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9C79-467C-BA76-F324E84BF46C}"/>
              </c:ext>
            </c:extLst>
          </c:dPt>
          <c:dPt>
            <c:idx val="1"/>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9C79-467C-BA76-F324E84BF46C}"/>
              </c:ext>
            </c:extLst>
          </c:dPt>
          <c:dPt>
            <c:idx val="2"/>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9C79-467C-BA76-F324E84BF46C}"/>
              </c:ext>
            </c:extLst>
          </c:dPt>
          <c:dPt>
            <c:idx val="3"/>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9C79-467C-BA76-F324E84BF46C}"/>
              </c:ext>
            </c:extLst>
          </c:dPt>
          <c:dPt>
            <c:idx val="4"/>
            <c:invertIfNegative val="0"/>
            <c:bubble3D val="0"/>
            <c:spPr>
              <a:solidFill>
                <a:srgbClr val="00B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9C79-467C-BA76-F324E84BF46C}"/>
              </c:ext>
            </c:extLst>
          </c:dPt>
          <c:dPt>
            <c:idx val="5"/>
            <c:invertIfNegative val="0"/>
            <c:bubble3D val="0"/>
            <c:extLst>
              <c:ext xmlns:c16="http://schemas.microsoft.com/office/drawing/2014/chart" uri="{C3380CC4-5D6E-409C-BE32-E72D297353CC}">
                <c16:uniqueId val="{00000009-CE88-40A5-B30B-CCAD5A341EE3}"/>
              </c:ext>
            </c:extLst>
          </c:dPt>
          <c:dPt>
            <c:idx val="6"/>
            <c:invertIfNegative val="0"/>
            <c:bubble3D val="0"/>
            <c:extLst>
              <c:ext xmlns:c16="http://schemas.microsoft.com/office/drawing/2014/chart" uri="{C3380CC4-5D6E-409C-BE32-E72D297353CC}">
                <c16:uniqueId val="{0000000F-60B1-409E-A68B-2A8FBF54B37E}"/>
              </c:ext>
            </c:extLst>
          </c:dPt>
          <c:dPt>
            <c:idx val="7"/>
            <c:invertIfNegative val="0"/>
            <c:bubble3D val="0"/>
            <c:extLst>
              <c:ext xmlns:c16="http://schemas.microsoft.com/office/drawing/2014/chart" uri="{C3380CC4-5D6E-409C-BE32-E72D297353CC}">
                <c16:uniqueId val="{00000011-C6EB-44DE-A830-E565385C84E6}"/>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EEFF!$H$1:$Z$1</c:f>
              <c:strCache>
                <c:ptCount val="16"/>
                <c:pt idx="0">
                  <c:v>REAL 2019</c:v>
                </c:pt>
                <c:pt idx="1">
                  <c:v>REAL 2020</c:v>
                </c:pt>
                <c:pt idx="2">
                  <c:v>REAL 2021</c:v>
                </c:pt>
                <c:pt idx="3">
                  <c:v>REAL 2022</c:v>
                </c:pt>
                <c:pt idx="4">
                  <c:v>REAL 2023</c:v>
                </c:pt>
                <c:pt idx="5">
                  <c:v>LBE 2024</c:v>
                </c:pt>
                <c:pt idx="6">
                  <c:v>PRY 2025</c:v>
                </c:pt>
                <c:pt idx="7">
                  <c:v>PRY 2026</c:v>
                </c:pt>
                <c:pt idx="8">
                  <c:v>PRY 2027</c:v>
                </c:pt>
                <c:pt idx="9">
                  <c:v>PRY 2028</c:v>
                </c:pt>
                <c:pt idx="10">
                  <c:v>PRY 2029</c:v>
                </c:pt>
                <c:pt idx="11">
                  <c:v>PRY 2030</c:v>
                </c:pt>
                <c:pt idx="12">
                  <c:v>PRY 2031</c:v>
                </c:pt>
                <c:pt idx="13">
                  <c:v>PRY 2032</c:v>
                </c:pt>
                <c:pt idx="14">
                  <c:v>PRY 2033</c:v>
                </c:pt>
                <c:pt idx="15">
                  <c:v>PRY 2034</c:v>
                </c:pt>
              </c:strCache>
            </c:strRef>
          </c:cat>
          <c:val>
            <c:numRef>
              <c:f>EEFF!$H$41:$Z$41</c:f>
              <c:numCache>
                <c:formatCode>_(* #,##0_);_(* \(#,##0\);_(* "-"??_);_(@_)</c:formatCode>
                <c:ptCount val="16"/>
                <c:pt idx="0">
                  <c:v>72413089</c:v>
                </c:pt>
                <c:pt idx="1">
                  <c:v>84978939</c:v>
                </c:pt>
                <c:pt idx="2">
                  <c:v>109089399</c:v>
                </c:pt>
                <c:pt idx="3">
                  <c:v>137615076</c:v>
                </c:pt>
                <c:pt idx="4">
                  <c:v>117448944</c:v>
                </c:pt>
                <c:pt idx="5">
                  <c:v>131739883.50130904</c:v>
                </c:pt>
                <c:pt idx="6">
                  <c:v>138438004.6463536</c:v>
                </c:pt>
                <c:pt idx="7">
                  <c:v>139087365.92186654</c:v>
                </c:pt>
                <c:pt idx="8">
                  <c:v>144931200.43104076</c:v>
                </c:pt>
                <c:pt idx="9">
                  <c:v>149054949.55789357</c:v>
                </c:pt>
                <c:pt idx="10">
                  <c:v>153059837.81738394</c:v>
                </c:pt>
                <c:pt idx="11">
                  <c:v>158359773.76342767</c:v>
                </c:pt>
                <c:pt idx="12">
                  <c:v>162602196.97441065</c:v>
                </c:pt>
                <c:pt idx="13">
                  <c:v>166983710.10328579</c:v>
                </c:pt>
                <c:pt idx="14">
                  <c:v>171733338.72700369</c:v>
                </c:pt>
                <c:pt idx="15">
                  <c:v>176391845.72755873</c:v>
                </c:pt>
              </c:numCache>
            </c:numRef>
          </c:val>
          <c:extLst>
            <c:ext xmlns:c16="http://schemas.microsoft.com/office/drawing/2014/chart" uri="{C3380CC4-5D6E-409C-BE32-E72D297353CC}">
              <c16:uniqueId val="{0000000A-9C79-467C-BA76-F324E84BF46C}"/>
            </c:ext>
          </c:extLst>
        </c:ser>
        <c:dLbls>
          <c:showLegendKey val="0"/>
          <c:showVal val="0"/>
          <c:showCatName val="0"/>
          <c:showSerName val="0"/>
          <c:showPercent val="0"/>
          <c:showBubbleSize val="0"/>
        </c:dLbls>
        <c:gapWidth val="40"/>
        <c:overlap val="-24"/>
        <c:axId val="254257920"/>
        <c:axId val="254257504"/>
      </c:barChart>
      <c:lineChart>
        <c:grouping val="standard"/>
        <c:varyColors val="0"/>
        <c:ser>
          <c:idx val="1"/>
          <c:order val="1"/>
          <c:tx>
            <c:strRef>
              <c:f>EEFF!$E$42</c:f>
              <c:strCache>
                <c:ptCount val="1"/>
                <c:pt idx="0">
                  <c:v>Margen Bruto</c:v>
                </c:pt>
              </c:strCache>
            </c:strRef>
          </c:tx>
          <c:spPr>
            <a:ln w="34925" cap="rnd">
              <a:solidFill>
                <a:schemeClr val="accent2"/>
              </a:solidFill>
              <a:round/>
            </a:ln>
            <a:effectLst>
              <a:outerShdw blurRad="40000" dist="23000" dir="5400000" rotWithShape="0">
                <a:srgbClr val="000000">
                  <a:alpha val="35000"/>
                </a:srgbClr>
              </a:outerShdw>
            </a:effectLst>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6"/>
              <c:layout>
                <c:manualLayout>
                  <c:x val="-3.5972989649653869E-2"/>
                  <c:y val="-6.540616633083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652-46CF-9D84-E2485EB4417D}"/>
                </c:ext>
              </c:extLst>
            </c:dLbl>
            <c:dLbl>
              <c:idx val="7"/>
              <c:layout>
                <c:manualLayout>
                  <c:x val="-3.5972989649653737E-2"/>
                  <c:y val="-6.5406166330839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652-46CF-9D84-E2485EB4417D}"/>
                </c:ext>
              </c:extLst>
            </c:dLbl>
            <c:dLbl>
              <c:idx val="8"/>
              <c:layout>
                <c:manualLayout>
                  <c:x val="-3.237841530396883E-2"/>
                  <c:y val="-8.87891392117878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E88-40A5-B30B-CCAD5A341EE3}"/>
                </c:ext>
              </c:extLst>
            </c:dLbl>
            <c:dLbl>
              <c:idx val="9"/>
              <c:layout>
                <c:manualLayout>
                  <c:x val="-3.4052931319395997E-2"/>
                  <c:y val="-8.878913921178782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E88-40A5-B30B-CCAD5A341EE3}"/>
                </c:ext>
              </c:extLst>
            </c:dLbl>
            <c:dLbl>
              <c:idx val="10"/>
              <c:layout>
                <c:manualLayout>
                  <c:x val="-3.4052978952687732E-2"/>
                  <c:y val="-8.39776893413277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E88-40A5-B30B-CCAD5A341EE3}"/>
                </c:ext>
              </c:extLst>
            </c:dLbl>
            <c:dLbl>
              <c:idx val="11"/>
              <c:layout>
                <c:manualLayout>
                  <c:x val="-3.2378398509484908E-2"/>
                  <c:y val="-7.5370018322052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E88-40A5-B30B-CCAD5A341EE3}"/>
                </c:ext>
              </c:extLst>
            </c:dLbl>
            <c:dLbl>
              <c:idx val="12"/>
              <c:layout>
                <c:manualLayout>
                  <c:x val="-3.405297895268785E-2"/>
                  <c:y val="-7.98233996534983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E88-40A5-B30B-CCAD5A341EE3}"/>
                </c:ext>
              </c:extLst>
            </c:dLbl>
            <c:dLbl>
              <c:idx val="13"/>
              <c:layout>
                <c:manualLayout>
                  <c:x val="-3.405297895268785E-2"/>
                  <c:y val="-7.98233996534984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E88-40A5-B30B-CCAD5A341EE3}"/>
                </c:ext>
              </c:extLst>
            </c:dLbl>
            <c:dLbl>
              <c:idx val="14"/>
              <c:layout>
                <c:manualLayout>
                  <c:x val="-3.405297895268785E-2"/>
                  <c:y val="-6.16053475003792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E88-40A5-B30B-CCAD5A341EE3}"/>
                </c:ext>
              </c:extLst>
            </c:dLbl>
            <c:dLbl>
              <c:idx val="15"/>
              <c:layout>
                <c:manualLayout>
                  <c:x val="-3.4052978952687732E-2"/>
                  <c:y val="-6.12004620499683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CE88-40A5-B30B-CCAD5A341EE3}"/>
                </c:ext>
              </c:extLst>
            </c:dLbl>
            <c:numFmt formatCode="0.0%" sourceLinked="0"/>
            <c:spPr>
              <a:noFill/>
              <a:ln>
                <a:noFill/>
              </a:ln>
              <a:effectLst/>
            </c:spPr>
            <c:txPr>
              <a:bodyPr rot="0" spcFirstLastPara="1" vertOverflow="ellipsis" vert="horz" wrap="square" lIns="36000" tIns="19050" rIns="38100" bIns="19050" anchor="ctr" anchorCtr="1">
                <a:spAutoFit/>
              </a:bodyPr>
              <a:lstStyle/>
              <a:p>
                <a:pPr>
                  <a:defRPr sz="900" b="1" i="0" u="none" strike="noStrike" kern="1200" baseline="0">
                    <a:ln w="3175">
                      <a:solidFill>
                        <a:schemeClr val="tx1">
                          <a:alpha val="7000"/>
                        </a:schemeClr>
                      </a:solidFill>
                    </a:ln>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EEFF!$H$1:$Z$1</c:f>
              <c:strCache>
                <c:ptCount val="16"/>
                <c:pt idx="0">
                  <c:v>REAL 2019</c:v>
                </c:pt>
                <c:pt idx="1">
                  <c:v>REAL 2020</c:v>
                </c:pt>
                <c:pt idx="2">
                  <c:v>REAL 2021</c:v>
                </c:pt>
                <c:pt idx="3">
                  <c:v>REAL 2022</c:v>
                </c:pt>
                <c:pt idx="4">
                  <c:v>REAL 2023</c:v>
                </c:pt>
                <c:pt idx="5">
                  <c:v>LBE 2024</c:v>
                </c:pt>
                <c:pt idx="6">
                  <c:v>PRY 2025</c:v>
                </c:pt>
                <c:pt idx="7">
                  <c:v>PRY 2026</c:v>
                </c:pt>
                <c:pt idx="8">
                  <c:v>PRY 2027</c:v>
                </c:pt>
                <c:pt idx="9">
                  <c:v>PRY 2028</c:v>
                </c:pt>
                <c:pt idx="10">
                  <c:v>PRY 2029</c:v>
                </c:pt>
                <c:pt idx="11">
                  <c:v>PRY 2030</c:v>
                </c:pt>
                <c:pt idx="12">
                  <c:v>PRY 2031</c:v>
                </c:pt>
                <c:pt idx="13">
                  <c:v>PRY 2032</c:v>
                </c:pt>
                <c:pt idx="14">
                  <c:v>PRY 2033</c:v>
                </c:pt>
                <c:pt idx="15">
                  <c:v>PRY 2034</c:v>
                </c:pt>
              </c:strCache>
            </c:strRef>
          </c:cat>
          <c:val>
            <c:numRef>
              <c:f>EEFF!$H$42:$Z$42</c:f>
              <c:numCache>
                <c:formatCode>0.00%</c:formatCode>
                <c:ptCount val="16"/>
                <c:pt idx="0">
                  <c:v>0.20196962664259172</c:v>
                </c:pt>
                <c:pt idx="1">
                  <c:v>0.22142354814899276</c:v>
                </c:pt>
                <c:pt idx="2">
                  <c:v>0.24923807587264188</c:v>
                </c:pt>
                <c:pt idx="3">
                  <c:v>0.25955729747706713</c:v>
                </c:pt>
                <c:pt idx="4">
                  <c:v>0.21172285007289596</c:v>
                </c:pt>
                <c:pt idx="5">
                  <c:v>0.22718899265000558</c:v>
                </c:pt>
                <c:pt idx="6">
                  <c:v>0.23591387963826893</c:v>
                </c:pt>
                <c:pt idx="7">
                  <c:v>0.22803274035866938</c:v>
                </c:pt>
                <c:pt idx="8">
                  <c:v>0.23346937045392735</c:v>
                </c:pt>
                <c:pt idx="9">
                  <c:v>0.23247199681695516</c:v>
                </c:pt>
                <c:pt idx="10">
                  <c:v>0.23132470254318391</c:v>
                </c:pt>
                <c:pt idx="11">
                  <c:v>0.23242202327135553</c:v>
                </c:pt>
                <c:pt idx="12">
                  <c:v>0.23207290754383153</c:v>
                </c:pt>
                <c:pt idx="13">
                  <c:v>0.23193987778612374</c:v>
                </c:pt>
                <c:pt idx="14">
                  <c:v>0.23214493620043705</c:v>
                </c:pt>
                <c:pt idx="15">
                  <c:v>0.23205257384346406</c:v>
                </c:pt>
              </c:numCache>
            </c:numRef>
          </c:val>
          <c:smooth val="0"/>
          <c:extLst>
            <c:ext xmlns:c16="http://schemas.microsoft.com/office/drawing/2014/chart" uri="{C3380CC4-5D6E-409C-BE32-E72D297353CC}">
              <c16:uniqueId val="{0000000B-9C79-467C-BA76-F324E84BF46C}"/>
            </c:ext>
          </c:extLst>
        </c:ser>
        <c:dLbls>
          <c:showLegendKey val="0"/>
          <c:showVal val="0"/>
          <c:showCatName val="0"/>
          <c:showSerName val="0"/>
          <c:showPercent val="0"/>
          <c:showBubbleSize val="0"/>
        </c:dLbls>
        <c:marker val="1"/>
        <c:smooth val="0"/>
        <c:axId val="265508688"/>
        <c:axId val="265508272"/>
      </c:lineChart>
      <c:valAx>
        <c:axId val="254257504"/>
        <c:scaling>
          <c:orientation val="minMax"/>
          <c:max val="280000000"/>
          <c:min val="0"/>
        </c:scaling>
        <c:delete val="0"/>
        <c:axPos val="l"/>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4257920"/>
        <c:crosses val="autoZero"/>
        <c:crossBetween val="between"/>
        <c:dispUnits>
          <c:builtInUnit val="millions"/>
          <c:dispUnitsLbl>
            <c:layout>
              <c:manualLayout>
                <c:xMode val="edge"/>
                <c:yMode val="edge"/>
                <c:x val="1.3966175188347481E-2"/>
                <c:y val="0.33641036508309796"/>
              </c:manualLayout>
            </c:layout>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Miles de Millones COP$</a:t>
                  </a:r>
                </a:p>
              </c:rich>
            </c:tx>
            <c:spPr>
              <a:noFill/>
              <a:ln>
                <a:noFill/>
              </a:ln>
              <a:effectLst/>
            </c:spPr>
          </c:dispUnitsLbl>
        </c:dispUnits>
      </c:valAx>
      <c:catAx>
        <c:axId val="254257920"/>
        <c:scaling>
          <c:orientation val="minMax"/>
        </c:scaling>
        <c:delete val="0"/>
        <c:axPos val="b"/>
        <c:numFmt formatCode="General" sourceLinked="1"/>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4257504"/>
        <c:crosses val="autoZero"/>
        <c:auto val="1"/>
        <c:lblAlgn val="ctr"/>
        <c:lblOffset val="100"/>
        <c:noMultiLvlLbl val="0"/>
      </c:catAx>
      <c:valAx>
        <c:axId val="265508272"/>
        <c:scaling>
          <c:orientation val="minMax"/>
          <c:max val="0.4"/>
        </c:scaling>
        <c:delete val="0"/>
        <c:axPos val="r"/>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65508688"/>
        <c:crosses val="max"/>
        <c:crossBetween val="between"/>
      </c:valAx>
      <c:catAx>
        <c:axId val="265508688"/>
        <c:scaling>
          <c:orientation val="minMax"/>
        </c:scaling>
        <c:delete val="1"/>
        <c:axPos val="b"/>
        <c:numFmt formatCode="General" sourceLinked="1"/>
        <c:majorTickMark val="out"/>
        <c:minorTickMark val="none"/>
        <c:tickLblPos val="nextTo"/>
        <c:crossAx val="265508272"/>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EEFF!$E$59</c:f>
              <c:strCache>
                <c:ptCount val="1"/>
                <c:pt idx="0">
                  <c:v>EBITDA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0"/>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474A-43A5-A829-18D6156E845C}"/>
              </c:ext>
            </c:extLst>
          </c:dPt>
          <c:dPt>
            <c:idx val="1"/>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474A-43A5-A829-18D6156E845C}"/>
              </c:ext>
            </c:extLst>
          </c:dPt>
          <c:dPt>
            <c:idx val="2"/>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474A-43A5-A829-18D6156E845C}"/>
              </c:ext>
            </c:extLst>
          </c:dPt>
          <c:dPt>
            <c:idx val="3"/>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474A-43A5-A829-18D6156E845C}"/>
              </c:ext>
            </c:extLst>
          </c:dPt>
          <c:dPt>
            <c:idx val="4"/>
            <c:invertIfNegative val="0"/>
            <c:bubble3D val="0"/>
            <c:spPr>
              <a:solidFill>
                <a:srgbClr val="00B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474A-43A5-A829-18D6156E845C}"/>
              </c:ext>
            </c:extLst>
          </c:dPt>
          <c:dPt>
            <c:idx val="5"/>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41F0-4E49-97B6-45A4DC69A1A7}"/>
              </c:ext>
            </c:extLst>
          </c:dPt>
          <c:dPt>
            <c:idx val="6"/>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5D2B-4FC0-9B3D-3594486998B1}"/>
              </c:ext>
            </c:extLst>
          </c:dPt>
          <c:dPt>
            <c:idx val="7"/>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A8C8-44D8-BAF2-73F5C089F79A}"/>
              </c:ext>
            </c:extLst>
          </c:dPt>
          <c:dLbls>
            <c:numFmt formatCode="#,##0.0" sourceLinked="0"/>
            <c:spPr>
              <a:solidFill>
                <a:srgbClr val="00206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EEFF!$I$1:$Z$1</c:f>
              <c:strCache>
                <c:ptCount val="16"/>
                <c:pt idx="0">
                  <c:v>REAL 2019</c:v>
                </c:pt>
                <c:pt idx="1">
                  <c:v>REAL 2020</c:v>
                </c:pt>
                <c:pt idx="2">
                  <c:v>REAL 2021</c:v>
                </c:pt>
                <c:pt idx="3">
                  <c:v>REAL 2022</c:v>
                </c:pt>
                <c:pt idx="4">
                  <c:v>REAL 2023</c:v>
                </c:pt>
                <c:pt idx="5">
                  <c:v>LBE 2024</c:v>
                </c:pt>
                <c:pt idx="6">
                  <c:v>PRY 2025</c:v>
                </c:pt>
                <c:pt idx="7">
                  <c:v>PRY 2026</c:v>
                </c:pt>
                <c:pt idx="8">
                  <c:v>PRY 2027</c:v>
                </c:pt>
                <c:pt idx="9">
                  <c:v>PRY 2028</c:v>
                </c:pt>
                <c:pt idx="10">
                  <c:v>PRY 2029</c:v>
                </c:pt>
                <c:pt idx="11">
                  <c:v>PRY 2030</c:v>
                </c:pt>
                <c:pt idx="12">
                  <c:v>PRY 2031</c:v>
                </c:pt>
                <c:pt idx="13">
                  <c:v>PRY 2032</c:v>
                </c:pt>
                <c:pt idx="14">
                  <c:v>PRY 2033</c:v>
                </c:pt>
                <c:pt idx="15">
                  <c:v>PRY 2034</c:v>
                </c:pt>
              </c:strCache>
            </c:strRef>
          </c:cat>
          <c:val>
            <c:numRef>
              <c:f>EEFF!$I$59:$Z$59</c:f>
              <c:numCache>
                <c:formatCode>_(* #,##0_);_(* \(#,##0\);_(* "-"??_);_(@_)</c:formatCode>
                <c:ptCount val="16"/>
                <c:pt idx="0">
                  <c:v>68929900</c:v>
                </c:pt>
                <c:pt idx="1">
                  <c:v>86680031.134038493</c:v>
                </c:pt>
                <c:pt idx="2">
                  <c:v>102634088</c:v>
                </c:pt>
                <c:pt idx="3">
                  <c:v>132525991</c:v>
                </c:pt>
                <c:pt idx="4">
                  <c:v>105562792</c:v>
                </c:pt>
                <c:pt idx="5">
                  <c:v>114405800.07384357</c:v>
                </c:pt>
                <c:pt idx="6">
                  <c:v>120202548.88065994</c:v>
                </c:pt>
                <c:pt idx="7">
                  <c:v>120058622.05937123</c:v>
                </c:pt>
                <c:pt idx="8">
                  <c:v>125153188.17142594</c:v>
                </c:pt>
                <c:pt idx="9">
                  <c:v>128544901.4439384</c:v>
                </c:pt>
                <c:pt idx="10">
                  <c:v>131803308.86368001</c:v>
                </c:pt>
                <c:pt idx="11">
                  <c:v>136346600.38100174</c:v>
                </c:pt>
                <c:pt idx="12">
                  <c:v>139862588.87036467</c:v>
                </c:pt>
                <c:pt idx="13">
                  <c:v>143561913.75611842</c:v>
                </c:pt>
                <c:pt idx="14">
                  <c:v>147608888.48942131</c:v>
                </c:pt>
                <c:pt idx="15">
                  <c:v>151543661.98284885</c:v>
                </c:pt>
              </c:numCache>
            </c:numRef>
          </c:val>
          <c:extLst>
            <c:ext xmlns:c16="http://schemas.microsoft.com/office/drawing/2014/chart" uri="{C3380CC4-5D6E-409C-BE32-E72D297353CC}">
              <c16:uniqueId val="{0000000A-474A-43A5-A829-18D6156E845C}"/>
            </c:ext>
          </c:extLst>
        </c:ser>
        <c:dLbls>
          <c:showLegendKey val="0"/>
          <c:showVal val="0"/>
          <c:showCatName val="0"/>
          <c:showSerName val="0"/>
          <c:showPercent val="0"/>
          <c:showBubbleSize val="0"/>
        </c:dLbls>
        <c:gapWidth val="100"/>
        <c:overlap val="-24"/>
        <c:axId val="254257920"/>
        <c:axId val="254257504"/>
      </c:barChart>
      <c:lineChart>
        <c:grouping val="standard"/>
        <c:varyColors val="0"/>
        <c:ser>
          <c:idx val="1"/>
          <c:order val="1"/>
          <c:tx>
            <c:strRef>
              <c:f>EEFF!$E$60</c:f>
              <c:strCache>
                <c:ptCount val="1"/>
                <c:pt idx="0">
                  <c:v>Margen EBITDA</c:v>
                </c:pt>
              </c:strCache>
            </c:strRef>
          </c:tx>
          <c:spPr>
            <a:ln w="34925" cap="rnd">
              <a:solidFill>
                <a:schemeClr val="accent2"/>
              </a:solidFill>
              <a:round/>
            </a:ln>
            <a:effectLst>
              <a:outerShdw blurRad="40000" dist="23000" dir="5400000" rotWithShape="0">
                <a:srgbClr val="000000">
                  <a:alpha val="35000"/>
                </a:srgbClr>
              </a:outerShdw>
            </a:effectLst>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3"/>
              <c:layout>
                <c:manualLayout>
                  <c:x val="-3.5873957269826326E-2"/>
                  <c:y val="4.957652135013810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1F0-4E49-97B6-45A4DC69A1A7}"/>
                </c:ext>
              </c:extLst>
            </c:dLbl>
            <c:dLbl>
              <c:idx val="10"/>
              <c:layout>
                <c:manualLayout>
                  <c:x val="-3.587395950822627E-2"/>
                  <c:y val="-5.07328403210421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F0-4E49-97B6-45A4DC69A1A7}"/>
                </c:ext>
              </c:extLst>
            </c:dLbl>
            <c:dLbl>
              <c:idx val="11"/>
              <c:layout>
                <c:manualLayout>
                  <c:x val="-3.4105090004045428E-2"/>
                  <c:y val="-5.11995190493646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1F0-4E49-97B6-45A4DC69A1A7}"/>
                </c:ext>
              </c:extLst>
            </c:dLbl>
            <c:dLbl>
              <c:idx val="12"/>
              <c:layout>
                <c:manualLayout>
                  <c:x val="-3.587395950822627E-2"/>
                  <c:y val="-4.73451569136180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F0-4E49-97B6-45A4DC69A1A7}"/>
                </c:ext>
              </c:extLst>
            </c:dLbl>
            <c:dLbl>
              <c:idx val="13"/>
              <c:layout>
                <c:manualLayout>
                  <c:x val="-3.24715145702337E-2"/>
                  <c:y val="-4.812253379394969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F0-4E49-97B6-45A4DC69A1A7}"/>
                </c:ext>
              </c:extLst>
            </c:dLbl>
            <c:dLbl>
              <c:idx val="14"/>
              <c:layout>
                <c:manualLayout>
                  <c:x val="-3.5873959508226146E-2"/>
                  <c:y val="-5.24435746580189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F0-4E49-97B6-45A4DC69A1A7}"/>
                </c:ext>
              </c:extLst>
            </c:dLbl>
            <c:dLbl>
              <c:idx val="15"/>
              <c:layout>
                <c:manualLayout>
                  <c:x val="-3.5873959508226146E-2"/>
                  <c:y val="-4.47345346363711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1F0-4E49-97B6-45A4DC69A1A7}"/>
                </c:ext>
              </c:extLst>
            </c:dLbl>
            <c:dLbl>
              <c:idx val="16"/>
              <c:layout>
                <c:manualLayout>
                  <c:x val="-3.4573127114807187E-2"/>
                  <c:y val="-4.40803003162869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45D-4F1C-B0FB-2E89BD3FC44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EEFF!$I$1:$Z$1</c:f>
              <c:strCache>
                <c:ptCount val="16"/>
                <c:pt idx="0">
                  <c:v>REAL 2019</c:v>
                </c:pt>
                <c:pt idx="1">
                  <c:v>REAL 2020</c:v>
                </c:pt>
                <c:pt idx="2">
                  <c:v>REAL 2021</c:v>
                </c:pt>
                <c:pt idx="3">
                  <c:v>REAL 2022</c:v>
                </c:pt>
                <c:pt idx="4">
                  <c:v>REAL 2023</c:v>
                </c:pt>
                <c:pt idx="5">
                  <c:v>LBE 2024</c:v>
                </c:pt>
                <c:pt idx="6">
                  <c:v>PRY 2025</c:v>
                </c:pt>
                <c:pt idx="7">
                  <c:v>PRY 2026</c:v>
                </c:pt>
                <c:pt idx="8">
                  <c:v>PRY 2027</c:v>
                </c:pt>
                <c:pt idx="9">
                  <c:v>PRY 2028</c:v>
                </c:pt>
                <c:pt idx="10">
                  <c:v>PRY 2029</c:v>
                </c:pt>
                <c:pt idx="11">
                  <c:v>PRY 2030</c:v>
                </c:pt>
                <c:pt idx="12">
                  <c:v>PRY 2031</c:v>
                </c:pt>
                <c:pt idx="13">
                  <c:v>PRY 2032</c:v>
                </c:pt>
                <c:pt idx="14">
                  <c:v>PRY 2033</c:v>
                </c:pt>
                <c:pt idx="15">
                  <c:v>PRY 2034</c:v>
                </c:pt>
              </c:strCache>
            </c:strRef>
          </c:cat>
          <c:val>
            <c:numRef>
              <c:f>EEFF!$I$60:$Z$60</c:f>
              <c:numCache>
                <c:formatCode>0.00%</c:formatCode>
                <c:ptCount val="16"/>
                <c:pt idx="0">
                  <c:v>0.19225455452551102</c:v>
                </c:pt>
                <c:pt idx="1">
                  <c:v>0.22585596235043559</c:v>
                </c:pt>
                <c:pt idx="2">
                  <c:v>0.23448953653199064</c:v>
                </c:pt>
                <c:pt idx="3">
                  <c:v>0.24995871869031355</c:v>
                </c:pt>
                <c:pt idx="4">
                  <c:v>0.19029592283002816</c:v>
                </c:pt>
                <c:pt idx="5">
                  <c:v>0.19729589689394395</c:v>
                </c:pt>
                <c:pt idx="6">
                  <c:v>0.20483861871084885</c:v>
                </c:pt>
                <c:pt idx="7">
                  <c:v>0.19683525106991842</c:v>
                </c:pt>
                <c:pt idx="8">
                  <c:v>0.2016090114880924</c:v>
                </c:pt>
                <c:pt idx="9">
                  <c:v>0.20048371428084877</c:v>
                </c:pt>
                <c:pt idx="10">
                  <c:v>0.19919896461327172</c:v>
                </c:pt>
                <c:pt idx="11">
                  <c:v>0.20011365243590681</c:v>
                </c:pt>
                <c:pt idx="12">
                  <c:v>0.19961795264587448</c:v>
                </c:pt>
                <c:pt idx="13">
                  <c:v>0.1994070721673403</c:v>
                </c:pt>
                <c:pt idx="14">
                  <c:v>0.19953409311785528</c:v>
                </c:pt>
                <c:pt idx="15">
                  <c:v>0.19936350610616568</c:v>
                </c:pt>
              </c:numCache>
            </c:numRef>
          </c:val>
          <c:smooth val="0"/>
          <c:extLst>
            <c:ext xmlns:c16="http://schemas.microsoft.com/office/drawing/2014/chart" uri="{C3380CC4-5D6E-409C-BE32-E72D297353CC}">
              <c16:uniqueId val="{0000000B-474A-43A5-A829-18D6156E845C}"/>
            </c:ext>
          </c:extLst>
        </c:ser>
        <c:dLbls>
          <c:showLegendKey val="0"/>
          <c:showVal val="0"/>
          <c:showCatName val="0"/>
          <c:showSerName val="0"/>
          <c:showPercent val="0"/>
          <c:showBubbleSize val="0"/>
        </c:dLbls>
        <c:marker val="1"/>
        <c:smooth val="0"/>
        <c:axId val="265508688"/>
        <c:axId val="265508272"/>
      </c:lineChart>
      <c:valAx>
        <c:axId val="254257504"/>
        <c:scaling>
          <c:orientation val="minMax"/>
          <c:max val="260000000"/>
          <c:min val="0"/>
        </c:scaling>
        <c:delete val="0"/>
        <c:axPos val="l"/>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4257920"/>
        <c:crosses val="autoZero"/>
        <c:crossBetween val="between"/>
        <c:dispUnits>
          <c:builtInUnit val="millions"/>
          <c:dispUnitsLbl>
            <c:layout>
              <c:manualLayout>
                <c:xMode val="edge"/>
                <c:yMode val="edge"/>
                <c:x val="1.3966175188347481E-2"/>
                <c:y val="0.33641036508309796"/>
              </c:manualLayout>
            </c:layout>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Miles de Millones COP$</a:t>
                  </a:r>
                </a:p>
              </c:rich>
            </c:tx>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dispUnitsLbl>
        </c:dispUnits>
      </c:valAx>
      <c:catAx>
        <c:axId val="254257920"/>
        <c:scaling>
          <c:orientation val="minMax"/>
        </c:scaling>
        <c:delete val="0"/>
        <c:axPos val="b"/>
        <c:numFmt formatCode="General" sourceLinked="1"/>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4257504"/>
        <c:crosses val="autoZero"/>
        <c:auto val="1"/>
        <c:lblAlgn val="ctr"/>
        <c:lblOffset val="100"/>
        <c:noMultiLvlLbl val="0"/>
      </c:catAx>
      <c:valAx>
        <c:axId val="265508272"/>
        <c:scaling>
          <c:orientation val="minMax"/>
          <c:max val="0.35000000000000003"/>
        </c:scaling>
        <c:delete val="0"/>
        <c:axPos val="r"/>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65508688"/>
        <c:crosses val="max"/>
        <c:crossBetween val="between"/>
      </c:valAx>
      <c:catAx>
        <c:axId val="265508688"/>
        <c:scaling>
          <c:orientation val="minMax"/>
        </c:scaling>
        <c:delete val="1"/>
        <c:axPos val="b"/>
        <c:numFmt formatCode="General" sourceLinked="1"/>
        <c:majorTickMark val="out"/>
        <c:minorTickMark val="none"/>
        <c:tickLblPos val="nextTo"/>
        <c:crossAx val="265508272"/>
        <c:crosses val="autoZero"/>
        <c:auto val="1"/>
        <c:lblAlgn val="ctr"/>
        <c:lblOffset val="100"/>
        <c:noMultiLvlLbl val="0"/>
      </c:catAx>
      <c:spPr>
        <a:noFill/>
        <a:ln>
          <a:noFill/>
        </a:ln>
        <a:effectLst/>
      </c:spPr>
    </c:plotArea>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EEFF!$E$106</c:f>
              <c:strCache>
                <c:ptCount val="1"/>
                <c:pt idx="0">
                  <c:v>Inventario</c:v>
                </c:pt>
              </c:strCache>
            </c:strRef>
          </c:tx>
          <c:spPr>
            <a:solidFill>
              <a:srgbClr val="00206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0"/>
            <c:invertIfNegative val="0"/>
            <c:bubble3D val="0"/>
            <c:spPr>
              <a:solidFill>
                <a:srgbClr val="00206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D4D9-49B2-9F8C-7031E84F8794}"/>
              </c:ext>
            </c:extLst>
          </c:dPt>
          <c:dPt>
            <c:idx val="1"/>
            <c:invertIfNegative val="0"/>
            <c:bubble3D val="0"/>
            <c:spPr>
              <a:solidFill>
                <a:srgbClr val="00206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4D9-49B2-9F8C-7031E84F8794}"/>
              </c:ext>
            </c:extLst>
          </c:dPt>
          <c:dPt>
            <c:idx val="2"/>
            <c:invertIfNegative val="0"/>
            <c:bubble3D val="0"/>
            <c:spPr>
              <a:solidFill>
                <a:srgbClr val="00206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D4D9-49B2-9F8C-7031E84F8794}"/>
              </c:ext>
            </c:extLst>
          </c:dPt>
          <c:dPt>
            <c:idx val="3"/>
            <c:invertIfNegative val="0"/>
            <c:bubble3D val="0"/>
            <c:spPr>
              <a:solidFill>
                <a:srgbClr val="00206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D4D9-49B2-9F8C-7031E84F8794}"/>
              </c:ext>
            </c:extLst>
          </c:dPt>
          <c:dPt>
            <c:idx val="4"/>
            <c:invertIfNegative val="0"/>
            <c:bubble3D val="0"/>
            <c:spPr>
              <a:solidFill>
                <a:srgbClr val="00206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D4D9-49B2-9F8C-7031E84F879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EEFF!$K$1:$Z$1</c:f>
              <c:strCache>
                <c:ptCount val="16"/>
                <c:pt idx="0">
                  <c:v>REAL 2019</c:v>
                </c:pt>
                <c:pt idx="1">
                  <c:v>REAL 2020</c:v>
                </c:pt>
                <c:pt idx="2">
                  <c:v>REAL 2021</c:v>
                </c:pt>
                <c:pt idx="3">
                  <c:v>REAL 2022</c:v>
                </c:pt>
                <c:pt idx="4">
                  <c:v>REAL 2023</c:v>
                </c:pt>
                <c:pt idx="5">
                  <c:v>LBE 2024</c:v>
                </c:pt>
                <c:pt idx="6">
                  <c:v>PRY 2025</c:v>
                </c:pt>
                <c:pt idx="7">
                  <c:v>PRY 2026</c:v>
                </c:pt>
                <c:pt idx="8">
                  <c:v>PRY 2027</c:v>
                </c:pt>
                <c:pt idx="9">
                  <c:v>PRY 2028</c:v>
                </c:pt>
                <c:pt idx="10">
                  <c:v>PRY 2029</c:v>
                </c:pt>
                <c:pt idx="11">
                  <c:v>PRY 2030</c:v>
                </c:pt>
                <c:pt idx="12">
                  <c:v>PRY 2031</c:v>
                </c:pt>
                <c:pt idx="13">
                  <c:v>PRY 2032</c:v>
                </c:pt>
                <c:pt idx="14">
                  <c:v>PRY 2033</c:v>
                </c:pt>
                <c:pt idx="15">
                  <c:v>PRY 2034</c:v>
                </c:pt>
              </c:strCache>
            </c:strRef>
          </c:cat>
          <c:val>
            <c:numRef>
              <c:f>EEFF!$K$106:$Z$106</c:f>
              <c:numCache>
                <c:formatCode>_(* #,##0_);_(* \(#,##0\);_(* "-"??_);_(@_)</c:formatCode>
                <c:ptCount val="16"/>
                <c:pt idx="0">
                  <c:v>20513032</c:v>
                </c:pt>
                <c:pt idx="1">
                  <c:v>21027242</c:v>
                </c:pt>
                <c:pt idx="2">
                  <c:v>23347833</c:v>
                </c:pt>
                <c:pt idx="3">
                  <c:v>22746964</c:v>
                </c:pt>
                <c:pt idx="4">
                  <c:v>22023767</c:v>
                </c:pt>
                <c:pt idx="5">
                  <c:v>21059522.297814548</c:v>
                </c:pt>
                <c:pt idx="6">
                  <c:v>21826941.296086151</c:v>
                </c:pt>
                <c:pt idx="7">
                  <c:v>22921238.965561137</c:v>
                </c:pt>
                <c:pt idx="8">
                  <c:v>23163822.149442546</c:v>
                </c:pt>
                <c:pt idx="9">
                  <c:v>23956243.392740022</c:v>
                </c:pt>
                <c:pt idx="10">
                  <c:v>24758874.149307523</c:v>
                </c:pt>
                <c:pt idx="11">
                  <c:v>25458852.91244686</c:v>
                </c:pt>
                <c:pt idx="12">
                  <c:v>26192122.114278443</c:v>
                </c:pt>
                <c:pt idx="13">
                  <c:v>26917990.188776176</c:v>
                </c:pt>
                <c:pt idx="14">
                  <c:v>27651798.431894425</c:v>
                </c:pt>
                <c:pt idx="15">
                  <c:v>28416614.471435998</c:v>
                </c:pt>
              </c:numCache>
            </c:numRef>
          </c:val>
          <c:extLst>
            <c:ext xmlns:c16="http://schemas.microsoft.com/office/drawing/2014/chart" uri="{C3380CC4-5D6E-409C-BE32-E72D297353CC}">
              <c16:uniqueId val="{0000000A-D4D9-49B2-9F8C-7031E84F8794}"/>
            </c:ext>
          </c:extLst>
        </c:ser>
        <c:ser>
          <c:idx val="2"/>
          <c:order val="2"/>
          <c:tx>
            <c:strRef>
              <c:f>EEFF!$E$134</c:f>
              <c:strCache>
                <c:ptCount val="1"/>
                <c:pt idx="0">
                  <c:v>PROVEEDORES</c:v>
                </c:pt>
              </c:strCache>
            </c:strRef>
          </c:tx>
          <c:spPr>
            <a:solidFill>
              <a:srgbClr val="8E000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EEFF!$K$1:$Z$1</c:f>
              <c:strCache>
                <c:ptCount val="16"/>
                <c:pt idx="0">
                  <c:v>REAL 2019</c:v>
                </c:pt>
                <c:pt idx="1">
                  <c:v>REAL 2020</c:v>
                </c:pt>
                <c:pt idx="2">
                  <c:v>REAL 2021</c:v>
                </c:pt>
                <c:pt idx="3">
                  <c:v>REAL 2022</c:v>
                </c:pt>
                <c:pt idx="4">
                  <c:v>REAL 2023</c:v>
                </c:pt>
                <c:pt idx="5">
                  <c:v>LBE 2024</c:v>
                </c:pt>
                <c:pt idx="6">
                  <c:v>PRY 2025</c:v>
                </c:pt>
                <c:pt idx="7">
                  <c:v>PRY 2026</c:v>
                </c:pt>
                <c:pt idx="8">
                  <c:v>PRY 2027</c:v>
                </c:pt>
                <c:pt idx="9">
                  <c:v>PRY 2028</c:v>
                </c:pt>
                <c:pt idx="10">
                  <c:v>PRY 2029</c:v>
                </c:pt>
                <c:pt idx="11">
                  <c:v>PRY 2030</c:v>
                </c:pt>
                <c:pt idx="12">
                  <c:v>PRY 2031</c:v>
                </c:pt>
                <c:pt idx="13">
                  <c:v>PRY 2032</c:v>
                </c:pt>
                <c:pt idx="14">
                  <c:v>PRY 2033</c:v>
                </c:pt>
                <c:pt idx="15">
                  <c:v>PRY 2034</c:v>
                </c:pt>
              </c:strCache>
            </c:strRef>
          </c:cat>
          <c:val>
            <c:numRef>
              <c:f>EEFF!$K$134:$Z$134</c:f>
              <c:numCache>
                <c:formatCode>_(* #,##0_);_(* \(#,##0\);_(* "-"??_);_(@_)</c:formatCode>
                <c:ptCount val="16"/>
                <c:pt idx="0">
                  <c:v>-32653211</c:v>
                </c:pt>
                <c:pt idx="1">
                  <c:v>-44040466</c:v>
                </c:pt>
                <c:pt idx="2">
                  <c:v>-46198965.000000007</c:v>
                </c:pt>
                <c:pt idx="3">
                  <c:v>-58954072</c:v>
                </c:pt>
                <c:pt idx="4">
                  <c:v>-57897814</c:v>
                </c:pt>
                <c:pt idx="5">
                  <c:v>-42416606.113369085</c:v>
                </c:pt>
                <c:pt idx="6">
                  <c:v>-42440136.987640828</c:v>
                </c:pt>
                <c:pt idx="7">
                  <c:v>-45875818.064167343</c:v>
                </c:pt>
                <c:pt idx="8">
                  <c:v>-47683116.714189559</c:v>
                </c:pt>
                <c:pt idx="9">
                  <c:v>-50681325.9033866</c:v>
                </c:pt>
                <c:pt idx="10">
                  <c:v>-53792151.354603261</c:v>
                </c:pt>
                <c:pt idx="11">
                  <c:v>-56765693.10573861</c:v>
                </c:pt>
                <c:pt idx="12">
                  <c:v>-59895246.994397745</c:v>
                </c:pt>
                <c:pt idx="13">
                  <c:v>-63091137.871010952</c:v>
                </c:pt>
                <c:pt idx="14">
                  <c:v>-66388931.527929701</c:v>
                </c:pt>
                <c:pt idx="15">
                  <c:v>-69846686.348039716</c:v>
                </c:pt>
              </c:numCache>
            </c:numRef>
          </c:val>
          <c:extLst>
            <c:ext xmlns:c16="http://schemas.microsoft.com/office/drawing/2014/chart" uri="{C3380CC4-5D6E-409C-BE32-E72D297353CC}">
              <c16:uniqueId val="{0000000B-D4D9-49B2-9F8C-7031E84F8794}"/>
            </c:ext>
          </c:extLst>
        </c:ser>
        <c:ser>
          <c:idx val="3"/>
          <c:order val="3"/>
          <c:tx>
            <c:strRef>
              <c:f>EEFF!$E$105</c:f>
              <c:strCache>
                <c:ptCount val="1"/>
                <c:pt idx="0">
                  <c:v>Cartera</c:v>
                </c:pt>
              </c:strCache>
            </c:strRef>
          </c:tx>
          <c:spPr>
            <a:solidFill>
              <a:srgbClr val="007A37"/>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EEFF!$K$1:$Z$1</c:f>
              <c:strCache>
                <c:ptCount val="16"/>
                <c:pt idx="0">
                  <c:v>REAL 2019</c:v>
                </c:pt>
                <c:pt idx="1">
                  <c:v>REAL 2020</c:v>
                </c:pt>
                <c:pt idx="2">
                  <c:v>REAL 2021</c:v>
                </c:pt>
                <c:pt idx="3">
                  <c:v>REAL 2022</c:v>
                </c:pt>
                <c:pt idx="4">
                  <c:v>REAL 2023</c:v>
                </c:pt>
                <c:pt idx="5">
                  <c:v>LBE 2024</c:v>
                </c:pt>
                <c:pt idx="6">
                  <c:v>PRY 2025</c:v>
                </c:pt>
                <c:pt idx="7">
                  <c:v>PRY 2026</c:v>
                </c:pt>
                <c:pt idx="8">
                  <c:v>PRY 2027</c:v>
                </c:pt>
                <c:pt idx="9">
                  <c:v>PRY 2028</c:v>
                </c:pt>
                <c:pt idx="10">
                  <c:v>PRY 2029</c:v>
                </c:pt>
                <c:pt idx="11">
                  <c:v>PRY 2030</c:v>
                </c:pt>
                <c:pt idx="12">
                  <c:v>PRY 2031</c:v>
                </c:pt>
                <c:pt idx="13">
                  <c:v>PRY 2032</c:v>
                </c:pt>
                <c:pt idx="14">
                  <c:v>PRY 2033</c:v>
                </c:pt>
                <c:pt idx="15">
                  <c:v>PRY 2034</c:v>
                </c:pt>
              </c:strCache>
            </c:strRef>
          </c:cat>
          <c:val>
            <c:numRef>
              <c:f>EEFF!$K$105:$Z$105</c:f>
              <c:numCache>
                <c:formatCode>_(* #,##0_);_(* \(#,##0\);_(* "-"??_);_(@_)</c:formatCode>
                <c:ptCount val="16"/>
                <c:pt idx="0">
                  <c:v>40272458</c:v>
                </c:pt>
                <c:pt idx="1">
                  <c:v>40867133</c:v>
                </c:pt>
                <c:pt idx="2">
                  <c:v>48011869.000000007</c:v>
                </c:pt>
                <c:pt idx="3">
                  <c:v>59430051.999999993</c:v>
                </c:pt>
                <c:pt idx="4">
                  <c:v>70270880</c:v>
                </c:pt>
                <c:pt idx="5">
                  <c:v>76438958.375259995</c:v>
                </c:pt>
                <c:pt idx="6">
                  <c:v>72489093.234582335</c:v>
                </c:pt>
                <c:pt idx="7">
                  <c:v>75346191.472009242</c:v>
                </c:pt>
                <c:pt idx="8">
                  <c:v>76683655.242063835</c:v>
                </c:pt>
                <c:pt idx="9">
                  <c:v>79203903.282008827</c:v>
                </c:pt>
                <c:pt idx="10">
                  <c:v>81735376.090686381</c:v>
                </c:pt>
                <c:pt idx="11">
                  <c:v>84166336.488176927</c:v>
                </c:pt>
                <c:pt idx="12">
                  <c:v>86551140.432026818</c:v>
                </c:pt>
                <c:pt idx="13">
                  <c:v>88934345.035103008</c:v>
                </c:pt>
                <c:pt idx="14">
                  <c:v>91383171.698752552</c:v>
                </c:pt>
                <c:pt idx="15">
                  <c:v>93899427.340781987</c:v>
                </c:pt>
              </c:numCache>
            </c:numRef>
          </c:val>
          <c:extLst>
            <c:ext xmlns:c16="http://schemas.microsoft.com/office/drawing/2014/chart" uri="{C3380CC4-5D6E-409C-BE32-E72D297353CC}">
              <c16:uniqueId val="{0000000C-D4D9-49B2-9F8C-7031E84F8794}"/>
            </c:ext>
          </c:extLst>
        </c:ser>
        <c:dLbls>
          <c:showLegendKey val="0"/>
          <c:showVal val="0"/>
          <c:showCatName val="0"/>
          <c:showSerName val="0"/>
          <c:showPercent val="0"/>
          <c:showBubbleSize val="0"/>
        </c:dLbls>
        <c:gapWidth val="40"/>
        <c:overlap val="100"/>
        <c:axId val="254257920"/>
        <c:axId val="254257504"/>
      </c:barChart>
      <c:lineChart>
        <c:grouping val="standard"/>
        <c:varyColors val="0"/>
        <c:ser>
          <c:idx val="1"/>
          <c:order val="1"/>
          <c:tx>
            <c:strRef>
              <c:f>EEFF!$E$135</c:f>
              <c:strCache>
                <c:ptCount val="1"/>
                <c:pt idx="0">
                  <c:v>WK (BALANCE)</c:v>
                </c:pt>
              </c:strCache>
            </c:strRef>
          </c:tx>
          <c:spPr>
            <a:ln w="34925" cap="rnd">
              <a:solidFill>
                <a:schemeClr val="accent6">
                  <a:lumMod val="75000"/>
                </a:schemeClr>
              </a:solidFill>
              <a:round/>
            </a:ln>
            <a:effectLst>
              <a:outerShdw blurRad="40000" dist="23000" dir="5400000" rotWithShape="0">
                <a:srgbClr val="000000">
                  <a:alpha val="35000"/>
                </a:srgbClr>
              </a:outerShdw>
            </a:effectLst>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EEFF!$K$1:$Z$1</c:f>
              <c:strCache>
                <c:ptCount val="16"/>
                <c:pt idx="0">
                  <c:v>REAL 2019</c:v>
                </c:pt>
                <c:pt idx="1">
                  <c:v>REAL 2020</c:v>
                </c:pt>
                <c:pt idx="2">
                  <c:v>REAL 2021</c:v>
                </c:pt>
                <c:pt idx="3">
                  <c:v>REAL 2022</c:v>
                </c:pt>
                <c:pt idx="4">
                  <c:v>REAL 2023</c:v>
                </c:pt>
                <c:pt idx="5">
                  <c:v>LBE 2024</c:v>
                </c:pt>
                <c:pt idx="6">
                  <c:v>PRY 2025</c:v>
                </c:pt>
                <c:pt idx="7">
                  <c:v>PRY 2026</c:v>
                </c:pt>
                <c:pt idx="8">
                  <c:v>PRY 2027</c:v>
                </c:pt>
                <c:pt idx="9">
                  <c:v>PRY 2028</c:v>
                </c:pt>
                <c:pt idx="10">
                  <c:v>PRY 2029</c:v>
                </c:pt>
                <c:pt idx="11">
                  <c:v>PRY 2030</c:v>
                </c:pt>
                <c:pt idx="12">
                  <c:v>PRY 2031</c:v>
                </c:pt>
                <c:pt idx="13">
                  <c:v>PRY 2032</c:v>
                </c:pt>
                <c:pt idx="14">
                  <c:v>PRY 2033</c:v>
                </c:pt>
                <c:pt idx="15">
                  <c:v>PRY 2034</c:v>
                </c:pt>
              </c:strCache>
            </c:strRef>
          </c:cat>
          <c:val>
            <c:numRef>
              <c:f>EEFF!$K$135:$Z$135</c:f>
              <c:numCache>
                <c:formatCode>_(* #,##0_);_(* \(#,##0\);_(* "-"??_);_(@_)</c:formatCode>
                <c:ptCount val="16"/>
                <c:pt idx="0">
                  <c:v>28132279</c:v>
                </c:pt>
                <c:pt idx="1">
                  <c:v>17853909</c:v>
                </c:pt>
                <c:pt idx="2">
                  <c:v>25160736.999999993</c:v>
                </c:pt>
                <c:pt idx="3">
                  <c:v>23222944</c:v>
                </c:pt>
                <c:pt idx="4">
                  <c:v>34396833</c:v>
                </c:pt>
                <c:pt idx="5">
                  <c:v>55081874.559705459</c:v>
                </c:pt>
                <c:pt idx="6">
                  <c:v>51875897.543027654</c:v>
                </c:pt>
                <c:pt idx="7">
                  <c:v>52391612.373403035</c:v>
                </c:pt>
                <c:pt idx="8">
                  <c:v>52164360.677316815</c:v>
                </c:pt>
                <c:pt idx="9">
                  <c:v>52478820.771362253</c:v>
                </c:pt>
                <c:pt idx="10">
                  <c:v>52702098.885390639</c:v>
                </c:pt>
                <c:pt idx="11">
                  <c:v>52859496.294885173</c:v>
                </c:pt>
                <c:pt idx="12">
                  <c:v>52848015.551907524</c:v>
                </c:pt>
                <c:pt idx="13">
                  <c:v>52761197.352868237</c:v>
                </c:pt>
                <c:pt idx="14">
                  <c:v>52646038.602717273</c:v>
                </c:pt>
                <c:pt idx="15">
                  <c:v>52469355.464178264</c:v>
                </c:pt>
              </c:numCache>
            </c:numRef>
          </c:val>
          <c:smooth val="0"/>
          <c:extLst>
            <c:ext xmlns:c16="http://schemas.microsoft.com/office/drawing/2014/chart" uri="{C3380CC4-5D6E-409C-BE32-E72D297353CC}">
              <c16:uniqueId val="{0000000D-D4D9-49B2-9F8C-7031E84F8794}"/>
            </c:ext>
          </c:extLst>
        </c:ser>
        <c:dLbls>
          <c:showLegendKey val="0"/>
          <c:showVal val="0"/>
          <c:showCatName val="0"/>
          <c:showSerName val="0"/>
          <c:showPercent val="0"/>
          <c:showBubbleSize val="0"/>
        </c:dLbls>
        <c:marker val="1"/>
        <c:smooth val="0"/>
        <c:axId val="254257920"/>
        <c:axId val="254257504"/>
      </c:lineChart>
      <c:valAx>
        <c:axId val="254257504"/>
        <c:scaling>
          <c:orientation val="minMax"/>
        </c:scaling>
        <c:delete val="0"/>
        <c:axPos val="l"/>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4257920"/>
        <c:crosses val="autoZero"/>
        <c:crossBetween val="between"/>
        <c:dispUnits>
          <c:builtInUnit val="millions"/>
          <c:dispUnitsLbl>
            <c:layout>
              <c:manualLayout>
                <c:xMode val="edge"/>
                <c:yMode val="edge"/>
                <c:x val="1.3966175188347481E-2"/>
                <c:y val="0.33641036508309796"/>
              </c:manualLayout>
            </c:layout>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Miles de Millones COP$</a:t>
                  </a:r>
                </a:p>
              </c:rich>
            </c:tx>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dispUnitsLbl>
        </c:dispUnits>
      </c:valAx>
      <c:catAx>
        <c:axId val="254257920"/>
        <c:scaling>
          <c:orientation val="minMax"/>
        </c:scaling>
        <c:delete val="0"/>
        <c:axPos val="b"/>
        <c:numFmt formatCode="General" sourceLinked="1"/>
        <c:majorTickMark val="out"/>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254257504"/>
        <c:crosses val="autoZero"/>
        <c:auto val="1"/>
        <c:lblAlgn val="ctr"/>
        <c:lblOffset val="100"/>
        <c:noMultiLvlLbl val="0"/>
      </c:cat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EEFF!$E$79</c:f>
              <c:strCache>
                <c:ptCount val="1"/>
                <c:pt idx="0">
                  <c:v>CAPEX</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Pt>
            <c:idx val="0"/>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7E9F-42C0-929A-F052ACC271B4}"/>
              </c:ext>
            </c:extLst>
          </c:dPt>
          <c:dPt>
            <c:idx val="1"/>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7E9F-42C0-929A-F052ACC271B4}"/>
              </c:ext>
            </c:extLst>
          </c:dPt>
          <c:dPt>
            <c:idx val="2"/>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7E9F-42C0-929A-F052ACC271B4}"/>
              </c:ext>
            </c:extLst>
          </c:dPt>
          <c:dPt>
            <c:idx val="3"/>
            <c:invertIfNegative val="0"/>
            <c:bubble3D val="0"/>
            <c:spPr>
              <a:solidFill>
                <a:schemeClr val="bg1">
                  <a:lumMod val="50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7E9F-42C0-929A-F052ACC271B4}"/>
              </c:ext>
            </c:extLst>
          </c:dPt>
          <c:dPt>
            <c:idx val="4"/>
            <c:invertIfNegative val="0"/>
            <c:bubble3D val="0"/>
            <c:spPr>
              <a:solidFill>
                <a:srgbClr val="00B050"/>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7E9F-42C0-929A-F052ACC271B4}"/>
              </c:ext>
            </c:extLst>
          </c:dPt>
          <c:dPt>
            <c:idx val="5"/>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E-2032-46BC-BD92-EA9A3261B73C}"/>
              </c:ext>
            </c:extLst>
          </c:dPt>
          <c:dPt>
            <c:idx val="6"/>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4-2032-46BC-BD92-EA9A3261B73C}"/>
              </c:ext>
            </c:extLst>
          </c:dPt>
          <c:dPt>
            <c:idx val="7"/>
            <c:invertIfNegative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AAB3-4EE9-8FBA-13CFF19FB620}"/>
              </c:ext>
            </c:extLst>
          </c:dPt>
          <c:dLbls>
            <c:numFmt formatCode="#,##0.0" sourceLinked="0"/>
            <c:spPr>
              <a:solidFill>
                <a:srgbClr val="00206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EEFF!$H$1:$Z$1</c:f>
              <c:strCache>
                <c:ptCount val="16"/>
                <c:pt idx="0">
                  <c:v>REAL 2019</c:v>
                </c:pt>
                <c:pt idx="1">
                  <c:v>REAL 2020</c:v>
                </c:pt>
                <c:pt idx="2">
                  <c:v>REAL 2021</c:v>
                </c:pt>
                <c:pt idx="3">
                  <c:v>REAL 2022</c:v>
                </c:pt>
                <c:pt idx="4">
                  <c:v>REAL 2023</c:v>
                </c:pt>
                <c:pt idx="5">
                  <c:v>LBE 2024</c:v>
                </c:pt>
                <c:pt idx="6">
                  <c:v>PRY 2025</c:v>
                </c:pt>
                <c:pt idx="7">
                  <c:v>PRY 2026</c:v>
                </c:pt>
                <c:pt idx="8">
                  <c:v>PRY 2027</c:v>
                </c:pt>
                <c:pt idx="9">
                  <c:v>PRY 2028</c:v>
                </c:pt>
                <c:pt idx="10">
                  <c:v>PRY 2029</c:v>
                </c:pt>
                <c:pt idx="11">
                  <c:v>PRY 2030</c:v>
                </c:pt>
                <c:pt idx="12">
                  <c:v>PRY 2031</c:v>
                </c:pt>
                <c:pt idx="13">
                  <c:v>PRY 2032</c:v>
                </c:pt>
                <c:pt idx="14">
                  <c:v>PRY 2033</c:v>
                </c:pt>
                <c:pt idx="15">
                  <c:v>PRY 2034</c:v>
                </c:pt>
              </c:strCache>
            </c:strRef>
          </c:cat>
          <c:val>
            <c:numRef>
              <c:f>EEFF!$H$79:$Z$79</c:f>
              <c:numCache>
                <c:formatCode>_(* #,##0_);_(* \(#,##0\);_(* "-"??_);_(@_)</c:formatCode>
                <c:ptCount val="16"/>
                <c:pt idx="0">
                  <c:v>32072287</c:v>
                </c:pt>
                <c:pt idx="1">
                  <c:v>43007730</c:v>
                </c:pt>
                <c:pt idx="2">
                  <c:v>38286644</c:v>
                </c:pt>
                <c:pt idx="3">
                  <c:v>47869734</c:v>
                </c:pt>
                <c:pt idx="4">
                  <c:v>43482062</c:v>
                </c:pt>
                <c:pt idx="5">
                  <c:v>41307958.899999999</c:v>
                </c:pt>
                <c:pt idx="6">
                  <c:v>41802820.513888247</c:v>
                </c:pt>
                <c:pt idx="7">
                  <c:v>43450444.445714794</c:v>
                </c:pt>
                <c:pt idx="8">
                  <c:v>44221729.551220126</c:v>
                </c:pt>
                <c:pt idx="9">
                  <c:v>45675099.593018897</c:v>
                </c:pt>
                <c:pt idx="10">
                  <c:v>47134942.70506449</c:v>
                </c:pt>
                <c:pt idx="11">
                  <c:v>48536822.582962967</c:v>
                </c:pt>
                <c:pt idx="12">
                  <c:v>49912085.078011118</c:v>
                </c:pt>
                <c:pt idx="13">
                  <c:v>51286425.269408882</c:v>
                </c:pt>
                <c:pt idx="14">
                  <c:v>52698608.21890299</c:v>
                </c:pt>
                <c:pt idx="15">
                  <c:v>54149675.935123697</c:v>
                </c:pt>
              </c:numCache>
            </c:numRef>
          </c:val>
          <c:extLst>
            <c:ext xmlns:c16="http://schemas.microsoft.com/office/drawing/2014/chart" uri="{C3380CC4-5D6E-409C-BE32-E72D297353CC}">
              <c16:uniqueId val="{0000000A-7E9F-42C0-929A-F052ACC271B4}"/>
            </c:ext>
          </c:extLst>
        </c:ser>
        <c:dLbls>
          <c:showLegendKey val="0"/>
          <c:showVal val="0"/>
          <c:showCatName val="0"/>
          <c:showSerName val="0"/>
          <c:showPercent val="0"/>
          <c:showBubbleSize val="0"/>
        </c:dLbls>
        <c:gapWidth val="100"/>
        <c:overlap val="-24"/>
        <c:axId val="254257920"/>
        <c:axId val="254257504"/>
      </c:barChart>
      <c:lineChart>
        <c:grouping val="standard"/>
        <c:varyColors val="0"/>
        <c:ser>
          <c:idx val="1"/>
          <c:order val="1"/>
          <c:tx>
            <c:strRef>
              <c:f>EEFF!$E$33</c:f>
              <c:strCache>
                <c:ptCount val="1"/>
                <c:pt idx="0">
                  <c:v>CAPEX/Ingresos</c:v>
                </c:pt>
              </c:strCache>
            </c:strRef>
          </c:tx>
          <c:spPr>
            <a:ln w="34925" cap="rnd">
              <a:solidFill>
                <a:schemeClr val="accent2"/>
              </a:solidFill>
              <a:round/>
            </a:ln>
            <a:effectLst>
              <a:outerShdw blurRad="40000" dist="23000" dir="5400000" rotWithShape="0">
                <a:srgbClr val="000000">
                  <a:alpha val="35000"/>
                </a:srgbClr>
              </a:outerShdw>
            </a:effectLst>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3"/>
              <c:layout>
                <c:manualLayout>
                  <c:x val="-3.1840790476177244E-2"/>
                  <c:y val="4.51589081878160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032-46BC-BD92-EA9A3261B73C}"/>
                </c:ext>
              </c:extLst>
            </c:dLbl>
            <c:dLbl>
              <c:idx val="6"/>
              <c:layout>
                <c:manualLayout>
                  <c:x val="-2.7291894947503222E-2"/>
                  <c:y val="-5.473416256946881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AB3-4EE9-8FBA-13CFF19FB620}"/>
                </c:ext>
              </c:extLst>
            </c:dLbl>
            <c:dLbl>
              <c:idx val="7"/>
              <c:layout>
                <c:manualLayout>
                  <c:x val="-3.5378595674340478E-2"/>
                  <c:y val="-5.9194032365817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032-46BC-BD92-EA9A3261B73C}"/>
                </c:ext>
              </c:extLst>
            </c:dLbl>
            <c:dLbl>
              <c:idx val="12"/>
              <c:layout>
                <c:manualLayout>
                  <c:x val="-3.5873959508226146E-2"/>
                  <c:y val="-5.7074723468169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D0-4EB1-85D9-CA087100E493}"/>
                </c:ext>
              </c:extLst>
            </c:dLbl>
            <c:dLbl>
              <c:idx val="13"/>
              <c:layout>
                <c:manualLayout>
                  <c:x val="-3.5873959508226146E-2"/>
                  <c:y val="-6.08466222747359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D0-4EB1-85D9-CA087100E493}"/>
                </c:ext>
              </c:extLst>
            </c:dLbl>
            <c:dLbl>
              <c:idx val="14"/>
              <c:layout>
                <c:manualLayout>
                  <c:x val="-3.5873959508226146E-2"/>
                  <c:y val="-5.64136211621734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D0-4EB1-85D9-CA087100E493}"/>
                </c:ext>
              </c:extLst>
            </c:dLbl>
            <c:dLbl>
              <c:idx val="15"/>
              <c:layout>
                <c:manualLayout>
                  <c:x val="-3.5873959508226146E-2"/>
                  <c:y val="-5.65237495944818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D0-4EB1-85D9-CA087100E49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EEFF!$H$1:$Z$1</c:f>
              <c:strCache>
                <c:ptCount val="16"/>
                <c:pt idx="0">
                  <c:v>REAL 2019</c:v>
                </c:pt>
                <c:pt idx="1">
                  <c:v>REAL 2020</c:v>
                </c:pt>
                <c:pt idx="2">
                  <c:v>REAL 2021</c:v>
                </c:pt>
                <c:pt idx="3">
                  <c:v>REAL 2022</c:v>
                </c:pt>
                <c:pt idx="4">
                  <c:v>REAL 2023</c:v>
                </c:pt>
                <c:pt idx="5">
                  <c:v>LBE 2024</c:v>
                </c:pt>
                <c:pt idx="6">
                  <c:v>PRY 2025</c:v>
                </c:pt>
                <c:pt idx="7">
                  <c:v>PRY 2026</c:v>
                </c:pt>
                <c:pt idx="8">
                  <c:v>PRY 2027</c:v>
                </c:pt>
                <c:pt idx="9">
                  <c:v>PRY 2028</c:v>
                </c:pt>
                <c:pt idx="10">
                  <c:v>PRY 2029</c:v>
                </c:pt>
                <c:pt idx="11">
                  <c:v>PRY 2030</c:v>
                </c:pt>
                <c:pt idx="12">
                  <c:v>PRY 2031</c:v>
                </c:pt>
                <c:pt idx="13">
                  <c:v>PRY 2032</c:v>
                </c:pt>
                <c:pt idx="14">
                  <c:v>PRY 2033</c:v>
                </c:pt>
                <c:pt idx="15">
                  <c:v>PRY 2034</c:v>
                </c:pt>
              </c:strCache>
            </c:strRef>
          </c:cat>
          <c:val>
            <c:numRef>
              <c:f>EEFF!$H$33:$Z$33</c:f>
              <c:numCache>
                <c:formatCode>0.00%</c:formatCode>
                <c:ptCount val="16"/>
                <c:pt idx="0">
                  <c:v>8.9453825550295851E-2</c:v>
                </c:pt>
                <c:pt idx="1">
                  <c:v>0.11206216842074106</c:v>
                </c:pt>
                <c:pt idx="2">
                  <c:v>8.7474031112599937E-2</c:v>
                </c:pt>
                <c:pt idx="3">
                  <c:v>9.028762799205281E-2</c:v>
                </c:pt>
                <c:pt idx="4">
                  <c:v>7.8384238973543824E-2</c:v>
                </c:pt>
                <c:pt idx="5">
                  <c:v>7.1236692499622417E-2</c:v>
                </c:pt>
                <c:pt idx="6">
                  <c:v>7.1236692499622417E-2</c:v>
                </c:pt>
                <c:pt idx="7">
                  <c:v>7.1236692499622431E-2</c:v>
                </c:pt>
                <c:pt idx="8">
                  <c:v>7.1236692499622431E-2</c:v>
                </c:pt>
                <c:pt idx="9">
                  <c:v>7.1236692499622445E-2</c:v>
                </c:pt>
                <c:pt idx="10">
                  <c:v>7.1236692499622431E-2</c:v>
                </c:pt>
                <c:pt idx="11">
                  <c:v>7.1236692499622431E-2</c:v>
                </c:pt>
                <c:pt idx="12">
                  <c:v>7.1236692499622431E-2</c:v>
                </c:pt>
                <c:pt idx="13">
                  <c:v>7.1236692499622431E-2</c:v>
                </c:pt>
                <c:pt idx="14">
                  <c:v>7.1236692499622431E-2</c:v>
                </c:pt>
                <c:pt idx="15">
                  <c:v>7.1236692499622431E-2</c:v>
                </c:pt>
              </c:numCache>
            </c:numRef>
          </c:val>
          <c:smooth val="0"/>
          <c:extLst>
            <c:ext xmlns:c16="http://schemas.microsoft.com/office/drawing/2014/chart" uri="{C3380CC4-5D6E-409C-BE32-E72D297353CC}">
              <c16:uniqueId val="{0000000B-7E9F-42C0-929A-F052ACC271B4}"/>
            </c:ext>
          </c:extLst>
        </c:ser>
        <c:dLbls>
          <c:showLegendKey val="0"/>
          <c:showVal val="0"/>
          <c:showCatName val="0"/>
          <c:showSerName val="0"/>
          <c:showPercent val="0"/>
          <c:showBubbleSize val="0"/>
        </c:dLbls>
        <c:marker val="1"/>
        <c:smooth val="0"/>
        <c:axId val="265508688"/>
        <c:axId val="265508272"/>
      </c:lineChart>
      <c:valAx>
        <c:axId val="254257504"/>
        <c:scaling>
          <c:orientation val="minMax"/>
          <c:max val="100000000"/>
        </c:scaling>
        <c:delete val="0"/>
        <c:axPos val="l"/>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4257920"/>
        <c:crosses val="autoZero"/>
        <c:crossBetween val="between"/>
        <c:dispUnits>
          <c:builtInUnit val="millions"/>
          <c:dispUnitsLbl>
            <c:layout>
              <c:manualLayout>
                <c:xMode val="edge"/>
                <c:yMode val="edge"/>
                <c:x val="1.3966175188347481E-2"/>
                <c:y val="0.33641036508309796"/>
              </c:manualLayout>
            </c:layout>
            <c:tx>
              <c:rich>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s-CO"/>
                    <a:t>Miles de Millones COP$</a:t>
                  </a:r>
                </a:p>
              </c:rich>
            </c:tx>
            <c:spPr>
              <a:noFill/>
              <a:ln>
                <a:noFill/>
              </a:ln>
              <a:effectLst/>
            </c:spPr>
            <c:txPr>
              <a:bodyPr rot="-54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dispUnitsLbl>
        </c:dispUnits>
      </c:valAx>
      <c:catAx>
        <c:axId val="254257920"/>
        <c:scaling>
          <c:orientation val="minMax"/>
        </c:scaling>
        <c:delete val="0"/>
        <c:axPos val="b"/>
        <c:numFmt formatCode="General" sourceLinked="1"/>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54257504"/>
        <c:crosses val="autoZero"/>
        <c:auto val="1"/>
        <c:lblAlgn val="ctr"/>
        <c:lblOffset val="100"/>
        <c:noMultiLvlLbl val="0"/>
      </c:catAx>
      <c:valAx>
        <c:axId val="265508272"/>
        <c:scaling>
          <c:orientation val="minMax"/>
        </c:scaling>
        <c:delete val="0"/>
        <c:axPos val="r"/>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65508688"/>
        <c:crosses val="max"/>
        <c:crossBetween val="between"/>
      </c:valAx>
      <c:catAx>
        <c:axId val="265508688"/>
        <c:scaling>
          <c:orientation val="minMax"/>
        </c:scaling>
        <c:delete val="1"/>
        <c:axPos val="b"/>
        <c:numFmt formatCode="General" sourceLinked="1"/>
        <c:majorTickMark val="out"/>
        <c:minorTickMark val="none"/>
        <c:tickLblPos val="nextTo"/>
        <c:crossAx val="265508272"/>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GRAFICAS!$B$3</c:f>
              <c:strCache>
                <c:ptCount val="1"/>
                <c:pt idx="0">
                  <c:v>EVA</c:v>
                </c:pt>
              </c:strCache>
            </c:strRef>
          </c:tx>
          <c:spPr>
            <a:solidFill>
              <a:schemeClr val="accent1"/>
            </a:solidFill>
            <a:ln>
              <a:noFill/>
            </a:ln>
            <a:effectLst/>
          </c:spPr>
          <c:invertIfNegative val="0"/>
          <c:cat>
            <c:numRef>
              <c:f>GRAFICAS!$C$2:$Q$2</c:f>
              <c:numCache>
                <c:formatCode>General</c:formatCode>
                <c:ptCount val="15"/>
                <c:pt idx="0">
                  <c:v>2019</c:v>
                </c:pt>
                <c:pt idx="1">
                  <c:v>2020</c:v>
                </c:pt>
                <c:pt idx="2">
                  <c:v>2021</c:v>
                </c:pt>
                <c:pt idx="3">
                  <c:v>2022</c:v>
                </c:pt>
                <c:pt idx="4">
                  <c:v>2023</c:v>
                </c:pt>
                <c:pt idx="5">
                  <c:v>2024</c:v>
                </c:pt>
                <c:pt idx="6">
                  <c:v>2025</c:v>
                </c:pt>
                <c:pt idx="7">
                  <c:v>2026</c:v>
                </c:pt>
                <c:pt idx="8">
                  <c:v>2027</c:v>
                </c:pt>
                <c:pt idx="9">
                  <c:v>2028</c:v>
                </c:pt>
                <c:pt idx="10">
                  <c:v>2030</c:v>
                </c:pt>
                <c:pt idx="11">
                  <c:v>2031</c:v>
                </c:pt>
                <c:pt idx="12">
                  <c:v>2032</c:v>
                </c:pt>
                <c:pt idx="13">
                  <c:v>2033</c:v>
                </c:pt>
                <c:pt idx="14">
                  <c:v>2034</c:v>
                </c:pt>
              </c:numCache>
            </c:numRef>
          </c:cat>
          <c:val>
            <c:numRef>
              <c:f>GRAFICAS!$C$3:$Q$3</c:f>
              <c:numCache>
                <c:formatCode>General</c:formatCode>
                <c:ptCount val="15"/>
                <c:pt idx="0" formatCode="_(* #,##0_);_(* \(#,##0\);_(* &quot;-&quot;??_);_(@_)">
                  <c:v>29573.896958775858</c:v>
                </c:pt>
                <c:pt idx="1">
                  <c:v>33905.974330613477</c:v>
                </c:pt>
                <c:pt idx="2">
                  <c:v>36042.27654639438</c:v>
                </c:pt>
                <c:pt idx="3">
                  <c:v>54082.290810565108</c:v>
                </c:pt>
                <c:pt idx="4">
                  <c:v>41855.083417722002</c:v>
                </c:pt>
                <c:pt idx="5">
                  <c:v>46577.869218891967</c:v>
                </c:pt>
                <c:pt idx="6">
                  <c:v>45258.841336810721</c:v>
                </c:pt>
                <c:pt idx="7">
                  <c:v>40335.244580658808</c:v>
                </c:pt>
                <c:pt idx="8">
                  <c:v>38632.641612948893</c:v>
                </c:pt>
                <c:pt idx="9">
                  <c:v>35716.495822189812</c:v>
                </c:pt>
                <c:pt idx="10">
                  <c:v>32576.850880730548</c:v>
                </c:pt>
                <c:pt idx="11">
                  <c:v>30056.139016869136</c:v>
                </c:pt>
                <c:pt idx="12">
                  <c:v>26768.710884215237</c:v>
                </c:pt>
                <c:pt idx="13">
                  <c:v>23501.390932149305</c:v>
                </c:pt>
                <c:pt idx="14">
                  <c:v>20256.498986493953</c:v>
                </c:pt>
              </c:numCache>
            </c:numRef>
          </c:val>
          <c:extLst>
            <c:ext xmlns:c16="http://schemas.microsoft.com/office/drawing/2014/chart" uri="{C3380CC4-5D6E-409C-BE32-E72D297353CC}">
              <c16:uniqueId val="{00000000-1791-408F-BE2E-3CD80C8F7273}"/>
            </c:ext>
          </c:extLst>
        </c:ser>
        <c:dLbls>
          <c:showLegendKey val="0"/>
          <c:showVal val="0"/>
          <c:showCatName val="0"/>
          <c:showSerName val="0"/>
          <c:showPercent val="0"/>
          <c:showBubbleSize val="0"/>
        </c:dLbls>
        <c:gapWidth val="219"/>
        <c:overlap val="-27"/>
        <c:axId val="334652143"/>
        <c:axId val="334642063"/>
      </c:barChart>
      <c:catAx>
        <c:axId val="334652143"/>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Años</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34642063"/>
        <c:crosses val="autoZero"/>
        <c:auto val="1"/>
        <c:lblAlgn val="ctr"/>
        <c:lblOffset val="100"/>
        <c:tickLblSkip val="1"/>
        <c:noMultiLvlLbl val="0"/>
      </c:catAx>
      <c:valAx>
        <c:axId val="33464206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s-CO"/>
                  <a:t>MM COP$</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34652143"/>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CO"/>
              <a:t>Z-SCORE</a:t>
            </a:r>
            <a:r>
              <a:rPr lang="es-CO" baseline="0"/>
              <a:t> DE ALTMAN</a:t>
            </a:r>
            <a:endParaRPr lang="es-CO"/>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CO"/>
        </a:p>
      </c:txPr>
    </c:title>
    <c:autoTitleDeleted val="0"/>
    <c:plotArea>
      <c:layout/>
      <c:areaChart>
        <c:grouping val="stacked"/>
        <c:varyColors val="0"/>
        <c:ser>
          <c:idx val="0"/>
          <c:order val="0"/>
          <c:tx>
            <c:strRef>
              <c:f>GRAFICAS!$B$24</c:f>
              <c:strCache>
                <c:ptCount val="1"/>
                <c:pt idx="0">
                  <c:v>Zona de Quiebra</c:v>
                </c:pt>
              </c:strCache>
            </c:strRef>
          </c:tx>
          <c:spPr>
            <a:solidFill>
              <a:srgbClr val="FF9393"/>
            </a:solidFill>
            <a:ln w="9525" cap="flat" cmpd="sng" algn="ctr">
              <a:solidFill>
                <a:schemeClr val="accent1">
                  <a:shade val="95000"/>
                </a:schemeClr>
              </a:solidFill>
              <a:round/>
            </a:ln>
            <a:effectLst>
              <a:outerShdw blurRad="40000" dist="20000" dir="5400000" rotWithShape="0">
                <a:srgbClr val="000000">
                  <a:alpha val="38000"/>
                </a:srgbClr>
              </a:outerShdw>
            </a:effectLst>
          </c:spPr>
          <c:cat>
            <c:numRef>
              <c:f>GRAFICAS!$C$22:$Q$22</c:f>
              <c:numCache>
                <c:formatCode>General</c:formatCode>
                <c:ptCount val="15"/>
                <c:pt idx="0">
                  <c:v>2019</c:v>
                </c:pt>
                <c:pt idx="1">
                  <c:v>2020</c:v>
                </c:pt>
                <c:pt idx="2">
                  <c:v>2021</c:v>
                </c:pt>
                <c:pt idx="3">
                  <c:v>2022</c:v>
                </c:pt>
                <c:pt idx="4">
                  <c:v>2023</c:v>
                </c:pt>
                <c:pt idx="5">
                  <c:v>2024</c:v>
                </c:pt>
                <c:pt idx="6">
                  <c:v>2025</c:v>
                </c:pt>
                <c:pt idx="7">
                  <c:v>2026</c:v>
                </c:pt>
                <c:pt idx="8">
                  <c:v>2027</c:v>
                </c:pt>
                <c:pt idx="9">
                  <c:v>2028</c:v>
                </c:pt>
                <c:pt idx="10">
                  <c:v>2030</c:v>
                </c:pt>
                <c:pt idx="11">
                  <c:v>2031</c:v>
                </c:pt>
                <c:pt idx="12">
                  <c:v>2032</c:v>
                </c:pt>
                <c:pt idx="13">
                  <c:v>2033</c:v>
                </c:pt>
                <c:pt idx="14">
                  <c:v>2034</c:v>
                </c:pt>
              </c:numCache>
            </c:numRef>
          </c:cat>
          <c:val>
            <c:numRef>
              <c:f>GRAFICAS!$C$24:$Q$24</c:f>
              <c:numCache>
                <c:formatCode>General</c:formatCode>
                <c:ptCount val="15"/>
                <c:pt idx="0">
                  <c:v>1.23</c:v>
                </c:pt>
                <c:pt idx="1">
                  <c:v>1.23</c:v>
                </c:pt>
                <c:pt idx="2">
                  <c:v>1.23</c:v>
                </c:pt>
                <c:pt idx="3">
                  <c:v>1.23</c:v>
                </c:pt>
                <c:pt idx="4">
                  <c:v>1.23</c:v>
                </c:pt>
                <c:pt idx="5">
                  <c:v>1.23</c:v>
                </c:pt>
                <c:pt idx="6">
                  <c:v>1.23</c:v>
                </c:pt>
                <c:pt idx="7">
                  <c:v>1.23</c:v>
                </c:pt>
                <c:pt idx="8">
                  <c:v>1.23</c:v>
                </c:pt>
                <c:pt idx="9">
                  <c:v>1.23</c:v>
                </c:pt>
                <c:pt idx="10">
                  <c:v>1.23</c:v>
                </c:pt>
                <c:pt idx="11">
                  <c:v>1.23</c:v>
                </c:pt>
                <c:pt idx="12">
                  <c:v>1.23</c:v>
                </c:pt>
                <c:pt idx="13">
                  <c:v>1.23</c:v>
                </c:pt>
                <c:pt idx="14">
                  <c:v>1.23</c:v>
                </c:pt>
              </c:numCache>
            </c:numRef>
          </c:val>
          <c:extLst>
            <c:ext xmlns:c16="http://schemas.microsoft.com/office/drawing/2014/chart" uri="{C3380CC4-5D6E-409C-BE32-E72D297353CC}">
              <c16:uniqueId val="{00000000-BB51-4535-9B15-00550531B14E}"/>
            </c:ext>
          </c:extLst>
        </c:ser>
        <c:ser>
          <c:idx val="1"/>
          <c:order val="1"/>
          <c:tx>
            <c:strRef>
              <c:f>GRAFICAS!$B$25</c:f>
              <c:strCache>
                <c:ptCount val="1"/>
                <c:pt idx="0">
                  <c:v>Zona Gris</c:v>
                </c:pt>
              </c:strCache>
            </c:strRef>
          </c:tx>
          <c:spPr>
            <a:solidFill>
              <a:schemeClr val="bg1">
                <a:lumMod val="85000"/>
              </a:schemeClr>
            </a:solidFill>
            <a:ln w="9525" cap="flat" cmpd="sng" algn="ctr">
              <a:solidFill>
                <a:schemeClr val="accent2">
                  <a:shade val="95000"/>
                </a:schemeClr>
              </a:solidFill>
              <a:round/>
            </a:ln>
            <a:effectLst>
              <a:outerShdw blurRad="40000" dist="20000" dir="5400000" rotWithShape="0">
                <a:srgbClr val="000000">
                  <a:alpha val="38000"/>
                </a:srgbClr>
              </a:outerShdw>
            </a:effectLst>
          </c:spPr>
          <c:cat>
            <c:numRef>
              <c:f>GRAFICAS!$C$22:$Q$22</c:f>
              <c:numCache>
                <c:formatCode>General</c:formatCode>
                <c:ptCount val="15"/>
                <c:pt idx="0">
                  <c:v>2019</c:v>
                </c:pt>
                <c:pt idx="1">
                  <c:v>2020</c:v>
                </c:pt>
                <c:pt idx="2">
                  <c:v>2021</c:v>
                </c:pt>
                <c:pt idx="3">
                  <c:v>2022</c:v>
                </c:pt>
                <c:pt idx="4">
                  <c:v>2023</c:v>
                </c:pt>
                <c:pt idx="5">
                  <c:v>2024</c:v>
                </c:pt>
                <c:pt idx="6">
                  <c:v>2025</c:v>
                </c:pt>
                <c:pt idx="7">
                  <c:v>2026</c:v>
                </c:pt>
                <c:pt idx="8">
                  <c:v>2027</c:v>
                </c:pt>
                <c:pt idx="9">
                  <c:v>2028</c:v>
                </c:pt>
                <c:pt idx="10">
                  <c:v>2030</c:v>
                </c:pt>
                <c:pt idx="11">
                  <c:v>2031</c:v>
                </c:pt>
                <c:pt idx="12">
                  <c:v>2032</c:v>
                </c:pt>
                <c:pt idx="13">
                  <c:v>2033</c:v>
                </c:pt>
                <c:pt idx="14">
                  <c:v>2034</c:v>
                </c:pt>
              </c:numCache>
            </c:numRef>
          </c:cat>
          <c:val>
            <c:numRef>
              <c:f>GRAFICAS!$C$25:$Q$25</c:f>
              <c:numCache>
                <c:formatCode>General</c:formatCode>
                <c:ptCount val="15"/>
                <c:pt idx="0">
                  <c:v>1.67</c:v>
                </c:pt>
                <c:pt idx="1">
                  <c:v>1.67</c:v>
                </c:pt>
                <c:pt idx="2">
                  <c:v>1.67</c:v>
                </c:pt>
                <c:pt idx="3">
                  <c:v>1.67</c:v>
                </c:pt>
                <c:pt idx="4">
                  <c:v>1.67</c:v>
                </c:pt>
                <c:pt idx="5">
                  <c:v>1.67</c:v>
                </c:pt>
                <c:pt idx="6">
                  <c:v>1.67</c:v>
                </c:pt>
                <c:pt idx="7">
                  <c:v>1.67</c:v>
                </c:pt>
                <c:pt idx="8">
                  <c:v>1.67</c:v>
                </c:pt>
                <c:pt idx="9">
                  <c:v>1.67</c:v>
                </c:pt>
                <c:pt idx="10">
                  <c:v>1.67</c:v>
                </c:pt>
                <c:pt idx="11">
                  <c:v>1.67</c:v>
                </c:pt>
                <c:pt idx="12">
                  <c:v>1.67</c:v>
                </c:pt>
                <c:pt idx="13">
                  <c:v>1.67</c:v>
                </c:pt>
                <c:pt idx="14">
                  <c:v>1.67</c:v>
                </c:pt>
              </c:numCache>
            </c:numRef>
          </c:val>
          <c:extLst>
            <c:ext xmlns:c16="http://schemas.microsoft.com/office/drawing/2014/chart" uri="{C3380CC4-5D6E-409C-BE32-E72D297353CC}">
              <c16:uniqueId val="{00000001-BB51-4535-9B15-00550531B14E}"/>
            </c:ext>
          </c:extLst>
        </c:ser>
        <c:ser>
          <c:idx val="2"/>
          <c:order val="2"/>
          <c:tx>
            <c:strRef>
              <c:f>GRAFICAS!$B$26</c:f>
              <c:strCache>
                <c:ptCount val="1"/>
                <c:pt idx="0">
                  <c:v>Zona Saludable</c:v>
                </c:pt>
              </c:strCache>
            </c:strRef>
          </c:tx>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cat>
            <c:numRef>
              <c:f>GRAFICAS!$C$22:$Q$22</c:f>
              <c:numCache>
                <c:formatCode>General</c:formatCode>
                <c:ptCount val="15"/>
                <c:pt idx="0">
                  <c:v>2019</c:v>
                </c:pt>
                <c:pt idx="1">
                  <c:v>2020</c:v>
                </c:pt>
                <c:pt idx="2">
                  <c:v>2021</c:v>
                </c:pt>
                <c:pt idx="3">
                  <c:v>2022</c:v>
                </c:pt>
                <c:pt idx="4">
                  <c:v>2023</c:v>
                </c:pt>
                <c:pt idx="5">
                  <c:v>2024</c:v>
                </c:pt>
                <c:pt idx="6">
                  <c:v>2025</c:v>
                </c:pt>
                <c:pt idx="7">
                  <c:v>2026</c:v>
                </c:pt>
                <c:pt idx="8">
                  <c:v>2027</c:v>
                </c:pt>
                <c:pt idx="9">
                  <c:v>2028</c:v>
                </c:pt>
                <c:pt idx="10">
                  <c:v>2030</c:v>
                </c:pt>
                <c:pt idx="11">
                  <c:v>2031</c:v>
                </c:pt>
                <c:pt idx="12">
                  <c:v>2032</c:v>
                </c:pt>
                <c:pt idx="13">
                  <c:v>2033</c:v>
                </c:pt>
                <c:pt idx="14">
                  <c:v>2034</c:v>
                </c:pt>
              </c:numCache>
            </c:numRef>
          </c:cat>
          <c:val>
            <c:numRef>
              <c:f>GRAFICAS!$C$26:$Q$26</c:f>
              <c:numCache>
                <c:formatCode>General</c:formatCode>
                <c:ptCount val="15"/>
                <c:pt idx="0">
                  <c:v>1.1000000000000001</c:v>
                </c:pt>
                <c:pt idx="1">
                  <c:v>1.1000000000000001</c:v>
                </c:pt>
                <c:pt idx="2">
                  <c:v>1.1000000000000001</c:v>
                </c:pt>
                <c:pt idx="3">
                  <c:v>1.1000000000000001</c:v>
                </c:pt>
                <c:pt idx="4">
                  <c:v>1.1000000000000001</c:v>
                </c:pt>
                <c:pt idx="5">
                  <c:v>1.1000000000000001</c:v>
                </c:pt>
                <c:pt idx="6">
                  <c:v>1.1000000000000001</c:v>
                </c:pt>
                <c:pt idx="7">
                  <c:v>1.1000000000000001</c:v>
                </c:pt>
                <c:pt idx="8">
                  <c:v>1.1000000000000001</c:v>
                </c:pt>
                <c:pt idx="9">
                  <c:v>1.1000000000000001</c:v>
                </c:pt>
                <c:pt idx="10">
                  <c:v>1.1000000000000001</c:v>
                </c:pt>
                <c:pt idx="11">
                  <c:v>1.1000000000000001</c:v>
                </c:pt>
                <c:pt idx="12">
                  <c:v>1.1000000000000001</c:v>
                </c:pt>
                <c:pt idx="13">
                  <c:v>1.1000000000000001</c:v>
                </c:pt>
                <c:pt idx="14">
                  <c:v>1.1000000000000001</c:v>
                </c:pt>
              </c:numCache>
            </c:numRef>
          </c:val>
          <c:extLst>
            <c:ext xmlns:c16="http://schemas.microsoft.com/office/drawing/2014/chart" uri="{C3380CC4-5D6E-409C-BE32-E72D297353CC}">
              <c16:uniqueId val="{00000002-BB51-4535-9B15-00550531B14E}"/>
            </c:ext>
          </c:extLst>
        </c:ser>
        <c:dLbls>
          <c:showLegendKey val="0"/>
          <c:showVal val="0"/>
          <c:showCatName val="0"/>
          <c:showSerName val="0"/>
          <c:showPercent val="0"/>
          <c:showBubbleSize val="0"/>
        </c:dLbls>
        <c:axId val="334655983"/>
        <c:axId val="334670863"/>
      </c:areaChart>
      <c:lineChart>
        <c:grouping val="standard"/>
        <c:varyColors val="0"/>
        <c:ser>
          <c:idx val="3"/>
          <c:order val="3"/>
          <c:tx>
            <c:strRef>
              <c:f>GRAFICAS!$B$23</c:f>
              <c:strCache>
                <c:ptCount val="1"/>
                <c:pt idx="0">
                  <c:v>Z-SCORE</c:v>
                </c:pt>
              </c:strCache>
            </c:strRef>
          </c:tx>
          <c:spPr>
            <a:ln w="15875" cap="rnd">
              <a:solidFill>
                <a:schemeClr val="accent4"/>
              </a:solidFill>
              <a:round/>
            </a:ln>
            <a:effectLst>
              <a:outerShdw blurRad="40000" dist="20000" dir="5400000" rotWithShape="0">
                <a:srgbClr val="000000">
                  <a:alpha val="38000"/>
                </a:srgbClr>
              </a:outerShdw>
            </a:effectLst>
          </c:spPr>
          <c:marker>
            <c:symbol val="none"/>
          </c:marker>
          <c:val>
            <c:numRef>
              <c:f>GRAFICAS!$C$23:$Q$23</c:f>
              <c:numCache>
                <c:formatCode>_(* #,##0.00_);_(* \(#,##0.00\);_(* "-"??_);_(@_)</c:formatCode>
                <c:ptCount val="15"/>
                <c:pt idx="0">
                  <c:v>1.5111193076995173</c:v>
                </c:pt>
                <c:pt idx="1">
                  <c:v>1.5793101853073679</c:v>
                </c:pt>
                <c:pt idx="2">
                  <c:v>1.8239177175665615</c:v>
                </c:pt>
                <c:pt idx="3">
                  <c:v>1.9310585412779913</c:v>
                </c:pt>
                <c:pt idx="4">
                  <c:v>1.8150789234875662</c:v>
                </c:pt>
                <c:pt idx="5">
                  <c:v>1.7819881136841595</c:v>
                </c:pt>
                <c:pt idx="6">
                  <c:v>1.7743177289068979</c:v>
                </c:pt>
                <c:pt idx="7">
                  <c:v>1.8080849707014073</c:v>
                </c:pt>
                <c:pt idx="8">
                  <c:v>1.8395400565014652</c:v>
                </c:pt>
                <c:pt idx="9">
                  <c:v>1.8777516190518169</c:v>
                </c:pt>
                <c:pt idx="10">
                  <c:v>1.914869521741045</c:v>
                </c:pt>
                <c:pt idx="11">
                  <c:v>1.9543397228450035</c:v>
                </c:pt>
                <c:pt idx="12">
                  <c:v>1.9913267377928887</c:v>
                </c:pt>
                <c:pt idx="13">
                  <c:v>2.0291104889643665</c:v>
                </c:pt>
                <c:pt idx="14">
                  <c:v>2.0681456829411466</c:v>
                </c:pt>
              </c:numCache>
            </c:numRef>
          </c:val>
          <c:smooth val="0"/>
          <c:extLst>
            <c:ext xmlns:c16="http://schemas.microsoft.com/office/drawing/2014/chart" uri="{C3380CC4-5D6E-409C-BE32-E72D297353CC}">
              <c16:uniqueId val="{00000010-BB51-4535-9B15-00550531B14E}"/>
            </c:ext>
          </c:extLst>
        </c:ser>
        <c:dLbls>
          <c:showLegendKey val="0"/>
          <c:showVal val="0"/>
          <c:showCatName val="0"/>
          <c:showSerName val="0"/>
          <c:showPercent val="0"/>
          <c:showBubbleSize val="0"/>
        </c:dLbls>
        <c:marker val="1"/>
        <c:smooth val="0"/>
        <c:axId val="334655983"/>
        <c:axId val="334670863"/>
      </c:lineChart>
      <c:catAx>
        <c:axId val="3346559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334670863"/>
        <c:crosses val="autoZero"/>
        <c:auto val="1"/>
        <c:lblAlgn val="ctr"/>
        <c:lblOffset val="100"/>
        <c:noMultiLvlLbl val="0"/>
      </c:catAx>
      <c:valAx>
        <c:axId val="33467086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crossAx val="3346559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2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5"/>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75000"/>
            <a:lumOff val="25000"/>
          </a:schemeClr>
        </a:solidFill>
      </a:ln>
    </cs:spPr>
  </cs:downBar>
  <cs:dropLine>
    <cs:lnRef idx="0"/>
    <cs:fillRef idx="0"/>
    <cs:effectRef idx="0"/>
    <cs:fontRef idx="minor">
      <a:schemeClr val="dk1"/>
    </cs:fontRef>
    <cs:spPr>
      <a:ln w="9525">
        <a:solidFill>
          <a:schemeClr val="tx1">
            <a:lumMod val="75000"/>
            <a:lumOff val="25000"/>
          </a:schemeClr>
        </a:solidFill>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75000"/>
            <a:lumOff val="25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7.emf"/></Relationships>
</file>

<file path=xl/drawings/_rels/drawing6.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26</xdr:col>
      <xdr:colOff>95257</xdr:colOff>
      <xdr:row>31</xdr:row>
      <xdr:rowOff>0</xdr:rowOff>
    </xdr:from>
    <xdr:to>
      <xdr:col>35</xdr:col>
      <xdr:colOff>404812</xdr:colOff>
      <xdr:row>46</xdr:row>
      <xdr:rowOff>55959</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1</xdr:colOff>
      <xdr:row>48</xdr:row>
      <xdr:rowOff>55959</xdr:rowOff>
    </xdr:from>
    <xdr:to>
      <xdr:col>35</xdr:col>
      <xdr:colOff>152401</xdr:colOff>
      <xdr:row>66</xdr:row>
      <xdr:rowOff>91677</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0</xdr:colOff>
      <xdr:row>69</xdr:row>
      <xdr:rowOff>103584</xdr:rowOff>
    </xdr:from>
    <xdr:to>
      <xdr:col>34</xdr:col>
      <xdr:colOff>457200</xdr:colOff>
      <xdr:row>89</xdr:row>
      <xdr:rowOff>32145</xdr:rowOff>
    </xdr:to>
    <xdr:graphicFrame macro="">
      <xdr:nvGraphicFramePr>
        <xdr:cNvPr id="4" name="Gráfico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26</xdr:col>
      <xdr:colOff>0</xdr:colOff>
      <xdr:row>91</xdr:row>
      <xdr:rowOff>20240</xdr:rowOff>
    </xdr:from>
    <xdr:to>
      <xdr:col>35</xdr:col>
      <xdr:colOff>321470</xdr:colOff>
      <xdr:row>110</xdr:row>
      <xdr:rowOff>32146</xdr:rowOff>
    </xdr:to>
    <xdr:graphicFrame macro="">
      <xdr:nvGraphicFramePr>
        <xdr:cNvPr id="5" name="Gráfico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25</xdr:col>
      <xdr:colOff>750094</xdr:colOff>
      <xdr:row>113</xdr:row>
      <xdr:rowOff>79771</xdr:rowOff>
    </xdr:from>
    <xdr:to>
      <xdr:col>35</xdr:col>
      <xdr:colOff>66675</xdr:colOff>
      <xdr:row>133</xdr:row>
      <xdr:rowOff>8333</xdr:rowOff>
    </xdr:to>
    <xdr:graphicFrame macro="">
      <xdr:nvGraphicFramePr>
        <xdr:cNvPr id="6" name="Gráfico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28</xdr:row>
      <xdr:rowOff>0</xdr:rowOff>
    </xdr:from>
    <xdr:to>
      <xdr:col>13</xdr:col>
      <xdr:colOff>2142506</xdr:colOff>
      <xdr:row>67</xdr:row>
      <xdr:rowOff>151638</xdr:rowOff>
    </xdr:to>
    <xdr:pic>
      <xdr:nvPicPr>
        <xdr:cNvPr id="2" name="Imagen 1">
          <a:extLst>
            <a:ext uri="{FF2B5EF4-FFF2-40B4-BE49-F238E27FC236}">
              <a16:creationId xmlns:a16="http://schemas.microsoft.com/office/drawing/2014/main" id="{423119A7-20B4-0139-CD92-2BAA88BBF3C7}"/>
            </a:ext>
          </a:extLst>
        </xdr:cNvPr>
        <xdr:cNvPicPr>
          <a:picLocks noChangeAspect="1"/>
        </xdr:cNvPicPr>
      </xdr:nvPicPr>
      <xdr:blipFill>
        <a:blip xmlns:r="http://schemas.openxmlformats.org/officeDocument/2006/relationships" r:embed="rId1"/>
        <a:stretch>
          <a:fillRect/>
        </a:stretch>
      </xdr:blipFill>
      <xdr:spPr>
        <a:xfrm>
          <a:off x="6429375" y="6734175"/>
          <a:ext cx="4952381" cy="6095238"/>
        </a:xfrm>
        <a:prstGeom prst="rect">
          <a:avLst/>
        </a:prstGeom>
      </xdr:spPr>
    </xdr:pic>
    <xdr:clientData/>
  </xdr:twoCellAnchor>
  <xdr:twoCellAnchor editAs="oneCell">
    <xdr:from>
      <xdr:col>9</xdr:col>
      <xdr:colOff>0</xdr:colOff>
      <xdr:row>9</xdr:row>
      <xdr:rowOff>0</xdr:rowOff>
    </xdr:from>
    <xdr:to>
      <xdr:col>13</xdr:col>
      <xdr:colOff>1752076</xdr:colOff>
      <xdr:row>26</xdr:row>
      <xdr:rowOff>123444</xdr:rowOff>
    </xdr:to>
    <xdr:pic>
      <xdr:nvPicPr>
        <xdr:cNvPr id="3" name="Imagen 2">
          <a:extLst>
            <a:ext uri="{FF2B5EF4-FFF2-40B4-BE49-F238E27FC236}">
              <a16:creationId xmlns:a16="http://schemas.microsoft.com/office/drawing/2014/main" id="{84A3FCC2-FCE0-772C-1B3E-919FC6618685}"/>
            </a:ext>
          </a:extLst>
        </xdr:cNvPr>
        <xdr:cNvPicPr>
          <a:picLocks noChangeAspect="1"/>
        </xdr:cNvPicPr>
      </xdr:nvPicPr>
      <xdr:blipFill>
        <a:blip xmlns:r="http://schemas.openxmlformats.org/officeDocument/2006/relationships" r:embed="rId2"/>
        <a:stretch>
          <a:fillRect/>
        </a:stretch>
      </xdr:blipFill>
      <xdr:spPr>
        <a:xfrm>
          <a:off x="6800850" y="3467100"/>
          <a:ext cx="4190476" cy="30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28</xdr:row>
      <xdr:rowOff>0</xdr:rowOff>
    </xdr:from>
    <xdr:to>
      <xdr:col>13</xdr:col>
      <xdr:colOff>2142506</xdr:colOff>
      <xdr:row>67</xdr:row>
      <xdr:rowOff>151638</xdr:rowOff>
    </xdr:to>
    <xdr:pic>
      <xdr:nvPicPr>
        <xdr:cNvPr id="2" name="Imagen 1">
          <a:extLst>
            <a:ext uri="{FF2B5EF4-FFF2-40B4-BE49-F238E27FC236}">
              <a16:creationId xmlns:a16="http://schemas.microsoft.com/office/drawing/2014/main" id="{EA9BB718-BBFB-9673-21AA-D31AED73E85D}"/>
            </a:ext>
          </a:extLst>
        </xdr:cNvPr>
        <xdr:cNvPicPr>
          <a:picLocks noChangeAspect="1"/>
        </xdr:cNvPicPr>
      </xdr:nvPicPr>
      <xdr:blipFill>
        <a:blip xmlns:r="http://schemas.openxmlformats.org/officeDocument/2006/relationships" r:embed="rId1"/>
        <a:stretch>
          <a:fillRect/>
        </a:stretch>
      </xdr:blipFill>
      <xdr:spPr>
        <a:xfrm>
          <a:off x="6429375" y="6734175"/>
          <a:ext cx="4952381" cy="6095238"/>
        </a:xfrm>
        <a:prstGeom prst="rect">
          <a:avLst/>
        </a:prstGeom>
      </xdr:spPr>
    </xdr:pic>
    <xdr:clientData/>
  </xdr:twoCellAnchor>
  <xdr:twoCellAnchor editAs="oneCell">
    <xdr:from>
      <xdr:col>9</xdr:col>
      <xdr:colOff>0</xdr:colOff>
      <xdr:row>9</xdr:row>
      <xdr:rowOff>0</xdr:rowOff>
    </xdr:from>
    <xdr:to>
      <xdr:col>13</xdr:col>
      <xdr:colOff>1752076</xdr:colOff>
      <xdr:row>26</xdr:row>
      <xdr:rowOff>123444</xdr:rowOff>
    </xdr:to>
    <xdr:pic>
      <xdr:nvPicPr>
        <xdr:cNvPr id="3" name="Imagen 2">
          <a:extLst>
            <a:ext uri="{FF2B5EF4-FFF2-40B4-BE49-F238E27FC236}">
              <a16:creationId xmlns:a16="http://schemas.microsoft.com/office/drawing/2014/main" id="{03F6CBCC-C5CA-5E32-17F1-FDDDF51949D7}"/>
            </a:ext>
          </a:extLst>
        </xdr:cNvPr>
        <xdr:cNvPicPr>
          <a:picLocks noChangeAspect="1"/>
        </xdr:cNvPicPr>
      </xdr:nvPicPr>
      <xdr:blipFill>
        <a:blip xmlns:r="http://schemas.openxmlformats.org/officeDocument/2006/relationships" r:embed="rId2"/>
        <a:stretch>
          <a:fillRect/>
        </a:stretch>
      </xdr:blipFill>
      <xdr:spPr>
        <a:xfrm>
          <a:off x="6800850" y="3467100"/>
          <a:ext cx="4190476" cy="304761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7</xdr:row>
      <xdr:rowOff>3175</xdr:rowOff>
    </xdr:from>
    <xdr:to>
      <xdr:col>7</xdr:col>
      <xdr:colOff>443964</xdr:colOff>
      <xdr:row>15</xdr:row>
      <xdr:rowOff>53817</xdr:rowOff>
    </xdr:to>
    <xdr:pic>
      <xdr:nvPicPr>
        <xdr:cNvPr id="2" name="Imagen 1">
          <a:extLst>
            <a:ext uri="{FF2B5EF4-FFF2-40B4-BE49-F238E27FC236}">
              <a16:creationId xmlns:a16="http://schemas.microsoft.com/office/drawing/2014/main" id="{897EBDA5-0090-3C72-6AAD-9DB7F7B9A866}"/>
            </a:ext>
          </a:extLst>
        </xdr:cNvPr>
        <xdr:cNvPicPr>
          <a:picLocks noChangeAspect="1"/>
        </xdr:cNvPicPr>
      </xdr:nvPicPr>
      <xdr:blipFill>
        <a:blip xmlns:r="http://schemas.openxmlformats.org/officeDocument/2006/relationships" r:embed="rId1"/>
        <a:stretch>
          <a:fillRect/>
        </a:stretch>
      </xdr:blipFill>
      <xdr:spPr>
        <a:xfrm>
          <a:off x="0" y="3082925"/>
          <a:ext cx="4285714" cy="1269842"/>
        </a:xfrm>
        <a:prstGeom prst="rect">
          <a:avLst/>
        </a:prstGeom>
      </xdr:spPr>
    </xdr:pic>
    <xdr:clientData/>
  </xdr:twoCellAnchor>
  <xdr:twoCellAnchor editAs="oneCell">
    <xdr:from>
      <xdr:col>7</xdr:col>
      <xdr:colOff>454025</xdr:colOff>
      <xdr:row>7</xdr:row>
      <xdr:rowOff>3175</xdr:rowOff>
    </xdr:from>
    <xdr:to>
      <xdr:col>13</xdr:col>
      <xdr:colOff>796425</xdr:colOff>
      <xdr:row>15</xdr:row>
      <xdr:rowOff>56992</xdr:rowOff>
    </xdr:to>
    <xdr:pic>
      <xdr:nvPicPr>
        <xdr:cNvPr id="3" name="Imagen 2">
          <a:extLst>
            <a:ext uri="{FF2B5EF4-FFF2-40B4-BE49-F238E27FC236}">
              <a16:creationId xmlns:a16="http://schemas.microsoft.com/office/drawing/2014/main" id="{DFFA7A51-8C4D-7465-5742-F40F96C6DDC2}"/>
            </a:ext>
          </a:extLst>
        </xdr:cNvPr>
        <xdr:cNvPicPr>
          <a:picLocks noChangeAspect="1"/>
        </xdr:cNvPicPr>
      </xdr:nvPicPr>
      <xdr:blipFill>
        <a:blip xmlns:r="http://schemas.openxmlformats.org/officeDocument/2006/relationships" r:embed="rId2"/>
        <a:stretch>
          <a:fillRect/>
        </a:stretch>
      </xdr:blipFill>
      <xdr:spPr>
        <a:xfrm>
          <a:off x="4295775" y="3082925"/>
          <a:ext cx="4000000" cy="12730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95250</xdr:colOff>
      <xdr:row>31</xdr:row>
      <xdr:rowOff>57150</xdr:rowOff>
    </xdr:from>
    <xdr:to>
      <xdr:col>27</xdr:col>
      <xdr:colOff>923925</xdr:colOff>
      <xdr:row>40</xdr:row>
      <xdr:rowOff>133350</xdr:rowOff>
    </xdr:to>
    <xdr:pic>
      <xdr:nvPicPr>
        <xdr:cNvPr id="3" name="Imagen 2">
          <a:extLst>
            <a:ext uri="{FF2B5EF4-FFF2-40B4-BE49-F238E27FC236}">
              <a16:creationId xmlns:a16="http://schemas.microsoft.com/office/drawing/2014/main" id="{ED7D0E9C-F563-EC75-D683-A23DEE65B6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0" y="2066925"/>
          <a:ext cx="9563100" cy="15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88900</xdr:colOff>
      <xdr:row>4</xdr:row>
      <xdr:rowOff>50800</xdr:rowOff>
    </xdr:from>
    <xdr:to>
      <xdr:col>10</xdr:col>
      <xdr:colOff>425450</xdr:colOff>
      <xdr:row>18</xdr:row>
      <xdr:rowOff>127000</xdr:rowOff>
    </xdr:to>
    <xdr:graphicFrame macro="">
      <xdr:nvGraphicFramePr>
        <xdr:cNvPr id="2" name="Gráfico 1">
          <a:extLst>
            <a:ext uri="{FF2B5EF4-FFF2-40B4-BE49-F238E27FC236}">
              <a16:creationId xmlns:a16="http://schemas.microsoft.com/office/drawing/2014/main" id="{408FCB4A-D4B2-7E3E-543F-BECCA3D1C4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22225</xdr:colOff>
      <xdr:row>26</xdr:row>
      <xdr:rowOff>165100</xdr:rowOff>
    </xdr:from>
    <xdr:to>
      <xdr:col>9</xdr:col>
      <xdr:colOff>22225</xdr:colOff>
      <xdr:row>41</xdr:row>
      <xdr:rowOff>50800</xdr:rowOff>
    </xdr:to>
    <xdr:graphicFrame macro="">
      <xdr:nvGraphicFramePr>
        <xdr:cNvPr id="3" name="Gráfico 2">
          <a:extLst>
            <a:ext uri="{FF2B5EF4-FFF2-40B4-BE49-F238E27FC236}">
              <a16:creationId xmlns:a16="http://schemas.microsoft.com/office/drawing/2014/main" id="{AE1E875D-AE38-AFE8-EC3D-3D1B7BEF7B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0</xdr:colOff>
      <xdr:row>47</xdr:row>
      <xdr:rowOff>0</xdr:rowOff>
    </xdr:from>
    <xdr:to>
      <xdr:col>12</xdr:col>
      <xdr:colOff>658274</xdr:colOff>
      <xdr:row>77</xdr:row>
      <xdr:rowOff>134166</xdr:rowOff>
    </xdr:to>
    <xdr:pic>
      <xdr:nvPicPr>
        <xdr:cNvPr id="4" name="Imagen 3">
          <a:extLst>
            <a:ext uri="{FF2B5EF4-FFF2-40B4-BE49-F238E27FC236}">
              <a16:creationId xmlns:a16="http://schemas.microsoft.com/office/drawing/2014/main" id="{25165E19-5430-7CFF-6D9E-D11E4361196A}"/>
            </a:ext>
          </a:extLst>
        </xdr:cNvPr>
        <xdr:cNvPicPr>
          <a:picLocks noChangeAspect="1"/>
        </xdr:cNvPicPr>
      </xdr:nvPicPr>
      <xdr:blipFill>
        <a:blip xmlns:r="http://schemas.openxmlformats.org/officeDocument/2006/relationships" r:embed="rId3"/>
        <a:stretch>
          <a:fillRect/>
        </a:stretch>
      </xdr:blipFill>
      <xdr:spPr>
        <a:xfrm>
          <a:off x="1952625" y="8953500"/>
          <a:ext cx="7516274" cy="5849166"/>
        </a:xfrm>
        <a:prstGeom prst="rect">
          <a:avLst/>
        </a:prstGeom>
      </xdr:spPr>
    </xdr:pic>
    <xdr:clientData/>
  </xdr:twoCellAnchor>
  <xdr:twoCellAnchor editAs="oneCell">
    <xdr:from>
      <xdr:col>3</xdr:col>
      <xdr:colOff>0</xdr:colOff>
      <xdr:row>79</xdr:row>
      <xdr:rowOff>0</xdr:rowOff>
    </xdr:from>
    <xdr:to>
      <xdr:col>11</xdr:col>
      <xdr:colOff>851</xdr:colOff>
      <xdr:row>102</xdr:row>
      <xdr:rowOff>19664</xdr:rowOff>
    </xdr:to>
    <xdr:pic>
      <xdr:nvPicPr>
        <xdr:cNvPr id="5" name="Imagen 4">
          <a:extLst>
            <a:ext uri="{FF2B5EF4-FFF2-40B4-BE49-F238E27FC236}">
              <a16:creationId xmlns:a16="http://schemas.microsoft.com/office/drawing/2014/main" id="{1E512B4F-CF9A-661E-5F5D-1348BFAFDD99}"/>
            </a:ext>
          </a:extLst>
        </xdr:cNvPr>
        <xdr:cNvPicPr>
          <a:picLocks noChangeAspect="1"/>
        </xdr:cNvPicPr>
      </xdr:nvPicPr>
      <xdr:blipFill>
        <a:blip xmlns:r="http://schemas.openxmlformats.org/officeDocument/2006/relationships" r:embed="rId4"/>
        <a:stretch>
          <a:fillRect/>
        </a:stretch>
      </xdr:blipFill>
      <xdr:spPr>
        <a:xfrm>
          <a:off x="1952625" y="15049500"/>
          <a:ext cx="6096851" cy="4401164"/>
        </a:xfrm>
        <a:prstGeom prst="rect">
          <a:avLst/>
        </a:prstGeom>
      </xdr:spPr>
    </xdr:pic>
    <xdr:clientData/>
  </xdr:twoCellAnchor>
  <xdr:twoCellAnchor editAs="oneCell">
    <xdr:from>
      <xdr:col>4</xdr:col>
      <xdr:colOff>0</xdr:colOff>
      <xdr:row>104</xdr:row>
      <xdr:rowOff>0</xdr:rowOff>
    </xdr:from>
    <xdr:to>
      <xdr:col>9</xdr:col>
      <xdr:colOff>476848</xdr:colOff>
      <xdr:row>121</xdr:row>
      <xdr:rowOff>162400</xdr:rowOff>
    </xdr:to>
    <xdr:pic>
      <xdr:nvPicPr>
        <xdr:cNvPr id="6" name="Imagen 5">
          <a:extLst>
            <a:ext uri="{FF2B5EF4-FFF2-40B4-BE49-F238E27FC236}">
              <a16:creationId xmlns:a16="http://schemas.microsoft.com/office/drawing/2014/main" id="{8D563EA0-CAF8-2C84-4D77-0A2A0BFEC092}"/>
            </a:ext>
          </a:extLst>
        </xdr:cNvPr>
        <xdr:cNvPicPr>
          <a:picLocks noChangeAspect="1"/>
        </xdr:cNvPicPr>
      </xdr:nvPicPr>
      <xdr:blipFill>
        <a:blip xmlns:r="http://schemas.openxmlformats.org/officeDocument/2006/relationships" r:embed="rId5"/>
        <a:stretch>
          <a:fillRect/>
        </a:stretch>
      </xdr:blipFill>
      <xdr:spPr>
        <a:xfrm>
          <a:off x="2714625" y="19812000"/>
          <a:ext cx="4286848" cy="3400900"/>
        </a:xfrm>
        <a:prstGeom prst="rect">
          <a:avLst/>
        </a:prstGeom>
      </xdr:spPr>
    </xdr:pic>
    <xdr:clientData/>
  </xdr:twoCellAnchor>
  <xdr:twoCellAnchor editAs="oneCell">
    <xdr:from>
      <xdr:col>5</xdr:col>
      <xdr:colOff>0</xdr:colOff>
      <xdr:row>125</xdr:row>
      <xdr:rowOff>0</xdr:rowOff>
    </xdr:from>
    <xdr:to>
      <xdr:col>13</xdr:col>
      <xdr:colOff>620062</xdr:colOff>
      <xdr:row>147</xdr:row>
      <xdr:rowOff>29164</xdr:rowOff>
    </xdr:to>
    <xdr:pic>
      <xdr:nvPicPr>
        <xdr:cNvPr id="7" name="Imagen 6">
          <a:extLst>
            <a:ext uri="{FF2B5EF4-FFF2-40B4-BE49-F238E27FC236}">
              <a16:creationId xmlns:a16="http://schemas.microsoft.com/office/drawing/2014/main" id="{3535118E-B5C1-E620-B0E1-466833C8191F}"/>
            </a:ext>
          </a:extLst>
        </xdr:cNvPr>
        <xdr:cNvPicPr>
          <a:picLocks noChangeAspect="1"/>
        </xdr:cNvPicPr>
      </xdr:nvPicPr>
      <xdr:blipFill>
        <a:blip xmlns:r="http://schemas.openxmlformats.org/officeDocument/2006/relationships" r:embed="rId6"/>
        <a:stretch>
          <a:fillRect/>
        </a:stretch>
      </xdr:blipFill>
      <xdr:spPr>
        <a:xfrm>
          <a:off x="3476625" y="23812500"/>
          <a:ext cx="6716062" cy="4220164"/>
        </a:xfrm>
        <a:prstGeom prst="rect">
          <a:avLst/>
        </a:prstGeom>
      </xdr:spPr>
    </xdr:pic>
    <xdr:clientData/>
  </xdr:twoCellAnchor>
  <xdr:twoCellAnchor editAs="oneCell">
    <xdr:from>
      <xdr:col>5</xdr:col>
      <xdr:colOff>0</xdr:colOff>
      <xdr:row>148</xdr:row>
      <xdr:rowOff>0</xdr:rowOff>
    </xdr:from>
    <xdr:to>
      <xdr:col>14</xdr:col>
      <xdr:colOff>658274</xdr:colOff>
      <xdr:row>178</xdr:row>
      <xdr:rowOff>134166</xdr:rowOff>
    </xdr:to>
    <xdr:pic>
      <xdr:nvPicPr>
        <xdr:cNvPr id="8" name="Imagen 7">
          <a:extLst>
            <a:ext uri="{FF2B5EF4-FFF2-40B4-BE49-F238E27FC236}">
              <a16:creationId xmlns:a16="http://schemas.microsoft.com/office/drawing/2014/main" id="{DC96CEDB-61C2-B187-15BC-76FF836835E5}"/>
            </a:ext>
          </a:extLst>
        </xdr:cNvPr>
        <xdr:cNvPicPr>
          <a:picLocks noChangeAspect="1"/>
        </xdr:cNvPicPr>
      </xdr:nvPicPr>
      <xdr:blipFill>
        <a:blip xmlns:r="http://schemas.openxmlformats.org/officeDocument/2006/relationships" r:embed="rId7"/>
        <a:stretch>
          <a:fillRect/>
        </a:stretch>
      </xdr:blipFill>
      <xdr:spPr>
        <a:xfrm>
          <a:off x="3476625" y="28194000"/>
          <a:ext cx="7516274" cy="5849166"/>
        </a:xfrm>
        <a:prstGeom prst="rect">
          <a:avLst/>
        </a:prstGeom>
      </xdr:spPr>
    </xdr:pic>
    <xdr:clientData/>
  </xdr:twoCellAnchor>
  <xdr:twoCellAnchor editAs="oneCell">
    <xdr:from>
      <xdr:col>5</xdr:col>
      <xdr:colOff>0</xdr:colOff>
      <xdr:row>180</xdr:row>
      <xdr:rowOff>0</xdr:rowOff>
    </xdr:from>
    <xdr:to>
      <xdr:col>10</xdr:col>
      <xdr:colOff>505427</xdr:colOff>
      <xdr:row>197</xdr:row>
      <xdr:rowOff>143347</xdr:rowOff>
    </xdr:to>
    <xdr:pic>
      <xdr:nvPicPr>
        <xdr:cNvPr id="9" name="Imagen 8">
          <a:extLst>
            <a:ext uri="{FF2B5EF4-FFF2-40B4-BE49-F238E27FC236}">
              <a16:creationId xmlns:a16="http://schemas.microsoft.com/office/drawing/2014/main" id="{81C1A9F6-EC10-33F7-F519-172FDBB4EFDE}"/>
            </a:ext>
          </a:extLst>
        </xdr:cNvPr>
        <xdr:cNvPicPr>
          <a:picLocks noChangeAspect="1"/>
        </xdr:cNvPicPr>
      </xdr:nvPicPr>
      <xdr:blipFill>
        <a:blip xmlns:r="http://schemas.openxmlformats.org/officeDocument/2006/relationships" r:embed="rId8"/>
        <a:stretch>
          <a:fillRect/>
        </a:stretch>
      </xdr:blipFill>
      <xdr:spPr>
        <a:xfrm>
          <a:off x="3476625" y="34290000"/>
          <a:ext cx="4315427" cy="338184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iber Alexander Moreno Camargo" id="{C73D66BC-7F75-4EC6-A45F-CC16AAE2065F}" userId="S::demoreno@ingeniomayaguez.com::f3b05050-aa72-436a-8109-8cd6474a587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4" dT="2025-05-29T21:04:36.74" personId="{C73D66BC-7F75-4EC6-A45F-CC16AAE2065F}" id="{028FC7B0-C4A7-4468-8B6E-BF1CCDE93D4C}">
    <text>Proyecciones Bancolombia Marzo 2025</text>
  </threadedComment>
  <threadedComment ref="Q8" dT="2025-05-29T21:05:00.90" personId="{C73D66BC-7F75-4EC6-A45F-CC16AAE2065F}" id="{234C6253-ACCA-433D-817C-D319E341D7E5}">
    <text>Proyecciones Bancolombia Marzo 2025</text>
  </threadedComment>
  <threadedComment ref="Q12" dT="2025-05-29T21:07:30.02" personId="{C73D66BC-7F75-4EC6-A45F-CC16AAE2065F}" id="{755C6809-6369-47D4-A157-28865CA3C8F9}">
    <text>Proyecciones Bartchart</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2:Z12"/>
  <sheetViews>
    <sheetView showGridLines="0" zoomScale="80" zoomScaleNormal="80" workbookViewId="0">
      <pane xSplit="7" ySplit="2" topLeftCell="H3" activePane="bottomRight" state="frozen"/>
      <selection pane="topRight" activeCell="G1" sqref="G1"/>
      <selection pane="bottomLeft" activeCell="A3" sqref="A3"/>
      <selection pane="bottomRight" activeCell="L28" sqref="L28"/>
    </sheetView>
  </sheetViews>
  <sheetFormatPr baseColWidth="10" defaultColWidth="11.42578125" defaultRowHeight="12.75" outlineLevelCol="1" x14ac:dyDescent="0.25"/>
  <cols>
    <col min="1" max="4" width="2.28515625" style="1" customWidth="1"/>
    <col min="5" max="5" width="18.42578125" style="1" customWidth="1"/>
    <col min="6" max="6" width="4" style="1" customWidth="1"/>
    <col min="7" max="10" width="11.42578125" style="1" hidden="1" customWidth="1" outlineLevel="1"/>
    <col min="11" max="11" width="11.42578125" style="1" customWidth="1" collapsed="1"/>
    <col min="12" max="13" width="11.42578125" style="1" customWidth="1"/>
    <col min="14" max="16384" width="11.42578125" style="1"/>
  </cols>
  <sheetData>
    <row r="2" spans="5:26" x14ac:dyDescent="0.25">
      <c r="G2" s="6">
        <v>2015</v>
      </c>
      <c r="H2" s="6">
        <v>2016</v>
      </c>
      <c r="I2" s="6">
        <v>2017</v>
      </c>
      <c r="J2" s="6">
        <v>2018</v>
      </c>
      <c r="K2" s="6">
        <v>2019</v>
      </c>
      <c r="L2" s="6">
        <v>2020</v>
      </c>
      <c r="M2" s="6">
        <v>2021</v>
      </c>
      <c r="N2" s="6">
        <v>2022</v>
      </c>
      <c r="O2" s="6">
        <v>2023</v>
      </c>
      <c r="P2" s="258">
        <v>2024</v>
      </c>
      <c r="Q2" s="6">
        <v>2025</v>
      </c>
      <c r="R2" s="6">
        <v>2026</v>
      </c>
      <c r="S2" s="6">
        <v>2027</v>
      </c>
      <c r="T2" s="6">
        <v>2028</v>
      </c>
      <c r="U2" s="6">
        <v>2029</v>
      </c>
      <c r="V2" s="6">
        <v>2030</v>
      </c>
      <c r="W2" s="6">
        <v>2031</v>
      </c>
      <c r="X2" s="6">
        <v>2032</v>
      </c>
      <c r="Y2" s="6">
        <v>2033</v>
      </c>
      <c r="Z2" s="6">
        <v>2034</v>
      </c>
    </row>
    <row r="4" spans="5:26" x14ac:dyDescent="0.25">
      <c r="E4" s="1" t="s">
        <v>0</v>
      </c>
      <c r="H4" s="125">
        <v>5.7500000000000002E-2</v>
      </c>
      <c r="I4" s="125">
        <v>4.0899999999999999E-2</v>
      </c>
      <c r="J4" s="125">
        <v>3.1800000000000002E-2</v>
      </c>
      <c r="K4" s="125">
        <v>3.7999999999999999E-2</v>
      </c>
      <c r="L4" s="125">
        <v>1.61E-2</v>
      </c>
      <c r="M4" s="125">
        <v>5.62E-2</v>
      </c>
      <c r="N4" s="125">
        <v>0.13120000000000001</v>
      </c>
      <c r="O4" s="125">
        <v>9.2799999999999994E-2</v>
      </c>
      <c r="P4" s="125">
        <v>5.1999999999999998E-2</v>
      </c>
      <c r="Q4" s="174">
        <v>4.3502510000000001E-2</v>
      </c>
      <c r="R4" s="174">
        <v>3.9375609999999998E-2</v>
      </c>
      <c r="S4" s="174">
        <v>3.7012610000000001E-2</v>
      </c>
      <c r="T4" s="174">
        <v>3.6395860000000002E-2</v>
      </c>
      <c r="U4" s="174">
        <v>3.559586E-2</v>
      </c>
      <c r="V4" s="174">
        <v>3.3000000000000002E-2</v>
      </c>
      <c r="W4" s="174">
        <v>0.03</v>
      </c>
      <c r="X4" s="174">
        <v>0.03</v>
      </c>
      <c r="Y4" s="174">
        <v>0.03</v>
      </c>
      <c r="Z4" s="174">
        <v>0.03</v>
      </c>
    </row>
    <row r="5" spans="5:26" x14ac:dyDescent="0.25">
      <c r="E5" s="1" t="s">
        <v>1</v>
      </c>
      <c r="H5" s="125">
        <v>2.07E-2</v>
      </c>
      <c r="I5" s="125">
        <v>2.1100000000000001E-2</v>
      </c>
      <c r="J5" s="125">
        <v>1.9099999999999999E-2</v>
      </c>
      <c r="K5" s="125">
        <v>2.29E-2</v>
      </c>
      <c r="L5" s="125">
        <v>1.3599999999999999E-2</v>
      </c>
      <c r="M5" s="125">
        <v>7.0400000000000004E-2</v>
      </c>
      <c r="N5" s="125">
        <v>6.4500000000000002E-2</v>
      </c>
      <c r="O5" s="125">
        <v>3.4000000000000002E-2</v>
      </c>
      <c r="P5" s="125">
        <v>2.9000000000000001E-2</v>
      </c>
      <c r="Q5" s="174">
        <v>2.7E-2</v>
      </c>
      <c r="R5" s="174">
        <v>2.3E-2</v>
      </c>
      <c r="S5" s="174">
        <v>2.1999999999999999E-2</v>
      </c>
      <c r="T5" s="174">
        <v>0.02</v>
      </c>
      <c r="U5" s="174">
        <v>0.02</v>
      </c>
      <c r="V5" s="174">
        <v>0.02</v>
      </c>
      <c r="W5" s="174">
        <v>0.02</v>
      </c>
      <c r="X5" s="174">
        <v>0.02</v>
      </c>
      <c r="Y5" s="174">
        <v>0.02</v>
      </c>
      <c r="Z5" s="174">
        <v>0.02</v>
      </c>
    </row>
    <row r="6" spans="5:26" x14ac:dyDescent="0.25">
      <c r="E6" s="1" t="s">
        <v>2</v>
      </c>
      <c r="H6" s="15">
        <f t="shared" ref="H6:P6" si="0">((1+H4)/(1+H5))-1</f>
        <v>3.6053688645047766E-2</v>
      </c>
      <c r="I6" s="15">
        <f t="shared" si="0"/>
        <v>1.9390853001664876E-2</v>
      </c>
      <c r="J6" s="15">
        <f t="shared" si="0"/>
        <v>1.2461976253557161E-2</v>
      </c>
      <c r="K6" s="15">
        <f t="shared" si="0"/>
        <v>1.476195131488911E-2</v>
      </c>
      <c r="L6" s="15">
        <f t="shared" si="0"/>
        <v>2.4664561957379316E-3</v>
      </c>
      <c r="M6" s="15">
        <f t="shared" si="0"/>
        <v>-1.3266068759342331E-2</v>
      </c>
      <c r="N6" s="15">
        <f t="shared" si="0"/>
        <v>6.2658525129168696E-2</v>
      </c>
      <c r="O6" s="15">
        <f t="shared" si="0"/>
        <v>5.6866537717601418E-2</v>
      </c>
      <c r="P6" s="15">
        <f t="shared" si="0"/>
        <v>2.2351797862002032E-2</v>
      </c>
      <c r="Q6" s="15">
        <f t="shared" ref="Q6:Y6" si="1">((1+Q4)/(1+Q5))-1</f>
        <v>1.6068656280428417E-2</v>
      </c>
      <c r="R6" s="15">
        <f t="shared" si="1"/>
        <v>1.6007438905180971E-2</v>
      </c>
      <c r="S6" s="15">
        <f t="shared" si="1"/>
        <v>1.468944227005875E-2</v>
      </c>
      <c r="T6" s="15">
        <f t="shared" si="1"/>
        <v>1.6074372549019555E-2</v>
      </c>
      <c r="U6" s="15">
        <f t="shared" si="1"/>
        <v>1.5290058823529407E-2</v>
      </c>
      <c r="V6" s="15">
        <f t="shared" si="1"/>
        <v>1.2745098039215641E-2</v>
      </c>
      <c r="W6" s="15">
        <f t="shared" si="1"/>
        <v>9.8039215686274161E-3</v>
      </c>
      <c r="X6" s="15">
        <f t="shared" si="1"/>
        <v>9.8039215686274161E-3</v>
      </c>
      <c r="Y6" s="15">
        <f t="shared" si="1"/>
        <v>9.8039215686274161E-3</v>
      </c>
      <c r="Z6" s="15">
        <f t="shared" ref="Z6" si="2">((1+Z4)/(1+Z5))-1</f>
        <v>9.8039215686274161E-3</v>
      </c>
    </row>
    <row r="8" spans="5:26" x14ac:dyDescent="0.25">
      <c r="E8" s="1" t="s">
        <v>3</v>
      </c>
      <c r="H8" s="175">
        <v>3050.9778688524607</v>
      </c>
      <c r="I8" s="175">
        <v>2951.3226575342492</v>
      </c>
      <c r="J8" s="175">
        <v>2956.4302739726054</v>
      </c>
      <c r="K8" s="262">
        <v>3281.0921917808259</v>
      </c>
      <c r="L8" s="262">
        <v>3693.3608743169475</v>
      </c>
      <c r="M8" s="262">
        <v>3743.0876164383499</v>
      </c>
      <c r="N8" s="262">
        <v>4255.4398630137002</v>
      </c>
      <c r="O8" s="262">
        <v>4325.05</v>
      </c>
      <c r="P8" s="262">
        <v>4055.0251933011991</v>
      </c>
      <c r="Q8" s="187">
        <v>4254.5686753583332</v>
      </c>
      <c r="R8" s="187">
        <v>4312.5173923724997</v>
      </c>
      <c r="S8" s="187">
        <v>4437.5</v>
      </c>
      <c r="T8" s="187">
        <v>4526.25</v>
      </c>
      <c r="U8" s="187">
        <v>4621.2499999991669</v>
      </c>
      <c r="V8" s="124">
        <f t="shared" ref="V8:Z8" si="3">U8*(1+V6)</f>
        <v>4680.1482843128815</v>
      </c>
      <c r="W8" s="124">
        <f t="shared" si="3"/>
        <v>4726.0320910218315</v>
      </c>
      <c r="X8" s="124">
        <f t="shared" si="3"/>
        <v>4772.3657389730261</v>
      </c>
      <c r="Y8" s="124">
        <f t="shared" si="3"/>
        <v>4819.1536383747225</v>
      </c>
      <c r="Z8" s="124">
        <f t="shared" si="3"/>
        <v>4866.4002426725137</v>
      </c>
    </row>
    <row r="10" spans="5:26" x14ac:dyDescent="0.25">
      <c r="E10" s="1" t="s">
        <v>4</v>
      </c>
      <c r="H10" s="13"/>
      <c r="I10" s="13"/>
      <c r="J10" s="13">
        <v>0.33</v>
      </c>
      <c r="K10" s="13">
        <f>J10</f>
        <v>0.33</v>
      </c>
      <c r="L10" s="13">
        <v>0.32</v>
      </c>
      <c r="M10" s="13">
        <v>0.31</v>
      </c>
      <c r="N10" s="13">
        <v>0.35</v>
      </c>
      <c r="O10" s="176">
        <f t="shared" ref="O10:P10" si="4">N10</f>
        <v>0.35</v>
      </c>
      <c r="P10" s="13">
        <f t="shared" si="4"/>
        <v>0.35</v>
      </c>
      <c r="Q10" s="13">
        <v>0.35</v>
      </c>
      <c r="R10" s="13">
        <v>0.35</v>
      </c>
      <c r="S10" s="13">
        <v>0.35</v>
      </c>
      <c r="T10" s="13">
        <v>0.35</v>
      </c>
      <c r="U10" s="13">
        <v>0.35</v>
      </c>
      <c r="V10" s="13">
        <v>0.35</v>
      </c>
      <c r="W10" s="13">
        <v>0.35</v>
      </c>
      <c r="X10" s="13">
        <v>0.35</v>
      </c>
      <c r="Y10" s="13">
        <v>0.35</v>
      </c>
      <c r="Z10" s="13">
        <v>0.35</v>
      </c>
    </row>
    <row r="12" spans="5:26" x14ac:dyDescent="0.25">
      <c r="E12" s="1" t="s">
        <v>21</v>
      </c>
      <c r="H12" s="263"/>
      <c r="I12" s="263">
        <v>15.834654959203014</v>
      </c>
      <c r="J12" s="263">
        <v>12.25</v>
      </c>
      <c r="K12" s="263">
        <v>12.35</v>
      </c>
      <c r="L12" s="263">
        <v>12.88</v>
      </c>
      <c r="M12" s="263">
        <v>17.855408253423416</v>
      </c>
      <c r="N12" s="263">
        <v>18.820559310413717</v>
      </c>
      <c r="O12" s="264">
        <v>24.054359209948455</v>
      </c>
      <c r="P12" s="264">
        <v>23</v>
      </c>
      <c r="Q12" s="355">
        <v>18</v>
      </c>
      <c r="R12" s="264">
        <v>18</v>
      </c>
      <c r="S12" s="355">
        <v>16.5</v>
      </c>
      <c r="T12" s="264">
        <v>16.5</v>
      </c>
      <c r="U12" s="264">
        <v>16.5</v>
      </c>
      <c r="V12" s="264">
        <v>16.5</v>
      </c>
      <c r="W12" s="264">
        <v>16.5</v>
      </c>
      <c r="X12" s="264">
        <v>16.5</v>
      </c>
      <c r="Y12" s="264">
        <v>16.5</v>
      </c>
      <c r="Z12" s="264">
        <v>16.5</v>
      </c>
    </row>
  </sheetData>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82B91-F9A3-45C3-A2E9-E0EADA4E1111}">
  <sheetPr>
    <pageSetUpPr fitToPage="1"/>
  </sheetPr>
  <dimension ref="B1:N6"/>
  <sheetViews>
    <sheetView topLeftCell="A4" workbookViewId="0">
      <selection activeCell="P7" sqref="P7"/>
    </sheetView>
  </sheetViews>
  <sheetFormatPr baseColWidth="10" defaultColWidth="9.140625" defaultRowHeight="12" x14ac:dyDescent="0.2"/>
  <cols>
    <col min="1" max="1" width="2.7109375" style="354" customWidth="1"/>
    <col min="2" max="13" width="9.140625" style="354"/>
    <col min="14" max="14" width="15.7109375" style="354" customWidth="1"/>
    <col min="15" max="256" width="9.140625" style="354"/>
    <col min="257" max="257" width="2.7109375" style="354" customWidth="1"/>
    <col min="258" max="269" width="9.140625" style="354"/>
    <col min="270" max="270" width="15.7109375" style="354" customWidth="1"/>
    <col min="271" max="512" width="9.140625" style="354"/>
    <col min="513" max="513" width="2.7109375" style="354" customWidth="1"/>
    <col min="514" max="525" width="9.140625" style="354"/>
    <col min="526" max="526" width="15.7109375" style="354" customWidth="1"/>
    <col min="527" max="768" width="9.140625" style="354"/>
    <col min="769" max="769" width="2.7109375" style="354" customWidth="1"/>
    <col min="770" max="781" width="9.140625" style="354"/>
    <col min="782" max="782" width="15.7109375" style="354" customWidth="1"/>
    <col min="783" max="1024" width="9.140625" style="354"/>
    <col min="1025" max="1025" width="2.7109375" style="354" customWidth="1"/>
    <col min="1026" max="1037" width="9.140625" style="354"/>
    <col min="1038" max="1038" width="15.7109375" style="354" customWidth="1"/>
    <col min="1039" max="1280" width="9.140625" style="354"/>
    <col min="1281" max="1281" width="2.7109375" style="354" customWidth="1"/>
    <col min="1282" max="1293" width="9.140625" style="354"/>
    <col min="1294" max="1294" width="15.7109375" style="354" customWidth="1"/>
    <col min="1295" max="1536" width="9.140625" style="354"/>
    <col min="1537" max="1537" width="2.7109375" style="354" customWidth="1"/>
    <col min="1538" max="1549" width="9.140625" style="354"/>
    <col min="1550" max="1550" width="15.7109375" style="354" customWidth="1"/>
    <col min="1551" max="1792" width="9.140625" style="354"/>
    <col min="1793" max="1793" width="2.7109375" style="354" customWidth="1"/>
    <col min="1794" max="1805" width="9.140625" style="354"/>
    <col min="1806" max="1806" width="15.7109375" style="354" customWidth="1"/>
    <col min="1807" max="2048" width="9.140625" style="354"/>
    <col min="2049" max="2049" width="2.7109375" style="354" customWidth="1"/>
    <col min="2050" max="2061" width="9.140625" style="354"/>
    <col min="2062" max="2062" width="15.7109375" style="354" customWidth="1"/>
    <col min="2063" max="2304" width="9.140625" style="354"/>
    <col min="2305" max="2305" width="2.7109375" style="354" customWidth="1"/>
    <col min="2306" max="2317" width="9.140625" style="354"/>
    <col min="2318" max="2318" width="15.7109375" style="354" customWidth="1"/>
    <col min="2319" max="2560" width="9.140625" style="354"/>
    <col min="2561" max="2561" width="2.7109375" style="354" customWidth="1"/>
    <col min="2562" max="2573" width="9.140625" style="354"/>
    <col min="2574" max="2574" width="15.7109375" style="354" customWidth="1"/>
    <col min="2575" max="2816" width="9.140625" style="354"/>
    <col min="2817" max="2817" width="2.7109375" style="354" customWidth="1"/>
    <col min="2818" max="2829" width="9.140625" style="354"/>
    <col min="2830" max="2830" width="15.7109375" style="354" customWidth="1"/>
    <col min="2831" max="3072" width="9.140625" style="354"/>
    <col min="3073" max="3073" width="2.7109375" style="354" customWidth="1"/>
    <col min="3074" max="3085" width="9.140625" style="354"/>
    <col min="3086" max="3086" width="15.7109375" style="354" customWidth="1"/>
    <col min="3087" max="3328" width="9.140625" style="354"/>
    <col min="3329" max="3329" width="2.7109375" style="354" customWidth="1"/>
    <col min="3330" max="3341" width="9.140625" style="354"/>
    <col min="3342" max="3342" width="15.7109375" style="354" customWidth="1"/>
    <col min="3343" max="3584" width="9.140625" style="354"/>
    <col min="3585" max="3585" width="2.7109375" style="354" customWidth="1"/>
    <col min="3586" max="3597" width="9.140625" style="354"/>
    <col min="3598" max="3598" width="15.7109375" style="354" customWidth="1"/>
    <col min="3599" max="3840" width="9.140625" style="354"/>
    <col min="3841" max="3841" width="2.7109375" style="354" customWidth="1"/>
    <col min="3842" max="3853" width="9.140625" style="354"/>
    <col min="3854" max="3854" width="15.7109375" style="354" customWidth="1"/>
    <col min="3855" max="4096" width="9.140625" style="354"/>
    <col min="4097" max="4097" width="2.7109375" style="354" customWidth="1"/>
    <col min="4098" max="4109" width="9.140625" style="354"/>
    <col min="4110" max="4110" width="15.7109375" style="354" customWidth="1"/>
    <col min="4111" max="4352" width="9.140625" style="354"/>
    <col min="4353" max="4353" width="2.7109375" style="354" customWidth="1"/>
    <col min="4354" max="4365" width="9.140625" style="354"/>
    <col min="4366" max="4366" width="15.7109375" style="354" customWidth="1"/>
    <col min="4367" max="4608" width="9.140625" style="354"/>
    <col min="4609" max="4609" width="2.7109375" style="354" customWidth="1"/>
    <col min="4610" max="4621" width="9.140625" style="354"/>
    <col min="4622" max="4622" width="15.7109375" style="354" customWidth="1"/>
    <col min="4623" max="4864" width="9.140625" style="354"/>
    <col min="4865" max="4865" width="2.7109375" style="354" customWidth="1"/>
    <col min="4866" max="4877" width="9.140625" style="354"/>
    <col min="4878" max="4878" width="15.7109375" style="354" customWidth="1"/>
    <col min="4879" max="5120" width="9.140625" style="354"/>
    <col min="5121" max="5121" width="2.7109375" style="354" customWidth="1"/>
    <col min="5122" max="5133" width="9.140625" style="354"/>
    <col min="5134" max="5134" width="15.7109375" style="354" customWidth="1"/>
    <col min="5135" max="5376" width="9.140625" style="354"/>
    <col min="5377" max="5377" width="2.7109375" style="354" customWidth="1"/>
    <col min="5378" max="5389" width="9.140625" style="354"/>
    <col min="5390" max="5390" width="15.7109375" style="354" customWidth="1"/>
    <col min="5391" max="5632" width="9.140625" style="354"/>
    <col min="5633" max="5633" width="2.7109375" style="354" customWidth="1"/>
    <col min="5634" max="5645" width="9.140625" style="354"/>
    <col min="5646" max="5646" width="15.7109375" style="354" customWidth="1"/>
    <col min="5647" max="5888" width="9.140625" style="354"/>
    <col min="5889" max="5889" width="2.7109375" style="354" customWidth="1"/>
    <col min="5890" max="5901" width="9.140625" style="354"/>
    <col min="5902" max="5902" width="15.7109375" style="354" customWidth="1"/>
    <col min="5903" max="6144" width="9.140625" style="354"/>
    <col min="6145" max="6145" width="2.7109375" style="354" customWidth="1"/>
    <col min="6146" max="6157" width="9.140625" style="354"/>
    <col min="6158" max="6158" width="15.7109375" style="354" customWidth="1"/>
    <col min="6159" max="6400" width="9.140625" style="354"/>
    <col min="6401" max="6401" width="2.7109375" style="354" customWidth="1"/>
    <col min="6402" max="6413" width="9.140625" style="354"/>
    <col min="6414" max="6414" width="15.7109375" style="354" customWidth="1"/>
    <col min="6415" max="6656" width="9.140625" style="354"/>
    <col min="6657" max="6657" width="2.7109375" style="354" customWidth="1"/>
    <col min="6658" max="6669" width="9.140625" style="354"/>
    <col min="6670" max="6670" width="15.7109375" style="354" customWidth="1"/>
    <col min="6671" max="6912" width="9.140625" style="354"/>
    <col min="6913" max="6913" width="2.7109375" style="354" customWidth="1"/>
    <col min="6914" max="6925" width="9.140625" style="354"/>
    <col min="6926" max="6926" width="15.7109375" style="354" customWidth="1"/>
    <col min="6927" max="7168" width="9.140625" style="354"/>
    <col min="7169" max="7169" width="2.7109375" style="354" customWidth="1"/>
    <col min="7170" max="7181" width="9.140625" style="354"/>
    <col min="7182" max="7182" width="15.7109375" style="354" customWidth="1"/>
    <col min="7183" max="7424" width="9.140625" style="354"/>
    <col min="7425" max="7425" width="2.7109375" style="354" customWidth="1"/>
    <col min="7426" max="7437" width="9.140625" style="354"/>
    <col min="7438" max="7438" width="15.7109375" style="354" customWidth="1"/>
    <col min="7439" max="7680" width="9.140625" style="354"/>
    <col min="7681" max="7681" width="2.7109375" style="354" customWidth="1"/>
    <col min="7682" max="7693" width="9.140625" style="354"/>
    <col min="7694" max="7694" width="15.7109375" style="354" customWidth="1"/>
    <col min="7695" max="7936" width="9.140625" style="354"/>
    <col min="7937" max="7937" width="2.7109375" style="354" customWidth="1"/>
    <col min="7938" max="7949" width="9.140625" style="354"/>
    <col min="7950" max="7950" width="15.7109375" style="354" customWidth="1"/>
    <col min="7951" max="8192" width="9.140625" style="354"/>
    <col min="8193" max="8193" width="2.7109375" style="354" customWidth="1"/>
    <col min="8194" max="8205" width="9.140625" style="354"/>
    <col min="8206" max="8206" width="15.7109375" style="354" customWidth="1"/>
    <col min="8207" max="8448" width="9.140625" style="354"/>
    <col min="8449" max="8449" width="2.7109375" style="354" customWidth="1"/>
    <col min="8450" max="8461" width="9.140625" style="354"/>
    <col min="8462" max="8462" width="15.7109375" style="354" customWidth="1"/>
    <col min="8463" max="8704" width="9.140625" style="354"/>
    <col min="8705" max="8705" width="2.7109375" style="354" customWidth="1"/>
    <col min="8706" max="8717" width="9.140625" style="354"/>
    <col min="8718" max="8718" width="15.7109375" style="354" customWidth="1"/>
    <col min="8719" max="8960" width="9.140625" style="354"/>
    <col min="8961" max="8961" width="2.7109375" style="354" customWidth="1"/>
    <col min="8962" max="8973" width="9.140625" style="354"/>
    <col min="8974" max="8974" width="15.7109375" style="354" customWidth="1"/>
    <col min="8975" max="9216" width="9.140625" style="354"/>
    <col min="9217" max="9217" width="2.7109375" style="354" customWidth="1"/>
    <col min="9218" max="9229" width="9.140625" style="354"/>
    <col min="9230" max="9230" width="15.7109375" style="354" customWidth="1"/>
    <col min="9231" max="9472" width="9.140625" style="354"/>
    <col min="9473" max="9473" width="2.7109375" style="354" customWidth="1"/>
    <col min="9474" max="9485" width="9.140625" style="354"/>
    <col min="9486" max="9486" width="15.7109375" style="354" customWidth="1"/>
    <col min="9487" max="9728" width="9.140625" style="354"/>
    <col min="9729" max="9729" width="2.7109375" style="354" customWidth="1"/>
    <col min="9730" max="9741" width="9.140625" style="354"/>
    <col min="9742" max="9742" width="15.7109375" style="354" customWidth="1"/>
    <col min="9743" max="9984" width="9.140625" style="354"/>
    <col min="9985" max="9985" width="2.7109375" style="354" customWidth="1"/>
    <col min="9986" max="9997" width="9.140625" style="354"/>
    <col min="9998" max="9998" width="15.7109375" style="354" customWidth="1"/>
    <col min="9999" max="10240" width="9.140625" style="354"/>
    <col min="10241" max="10241" width="2.7109375" style="354" customWidth="1"/>
    <col min="10242" max="10253" width="9.140625" style="354"/>
    <col min="10254" max="10254" width="15.7109375" style="354" customWidth="1"/>
    <col min="10255" max="10496" width="9.140625" style="354"/>
    <col min="10497" max="10497" width="2.7109375" style="354" customWidth="1"/>
    <col min="10498" max="10509" width="9.140625" style="354"/>
    <col min="10510" max="10510" width="15.7109375" style="354" customWidth="1"/>
    <col min="10511" max="10752" width="9.140625" style="354"/>
    <col min="10753" max="10753" width="2.7109375" style="354" customWidth="1"/>
    <col min="10754" max="10765" width="9.140625" style="354"/>
    <col min="10766" max="10766" width="15.7109375" style="354" customWidth="1"/>
    <col min="10767" max="11008" width="9.140625" style="354"/>
    <col min="11009" max="11009" width="2.7109375" style="354" customWidth="1"/>
    <col min="11010" max="11021" width="9.140625" style="354"/>
    <col min="11022" max="11022" width="15.7109375" style="354" customWidth="1"/>
    <col min="11023" max="11264" width="9.140625" style="354"/>
    <col min="11265" max="11265" width="2.7109375" style="354" customWidth="1"/>
    <col min="11266" max="11277" width="9.140625" style="354"/>
    <col min="11278" max="11278" width="15.7109375" style="354" customWidth="1"/>
    <col min="11279" max="11520" width="9.140625" style="354"/>
    <col min="11521" max="11521" width="2.7109375" style="354" customWidth="1"/>
    <col min="11522" max="11533" width="9.140625" style="354"/>
    <col min="11534" max="11534" width="15.7109375" style="354" customWidth="1"/>
    <col min="11535" max="11776" width="9.140625" style="354"/>
    <col min="11777" max="11777" width="2.7109375" style="354" customWidth="1"/>
    <col min="11778" max="11789" width="9.140625" style="354"/>
    <col min="11790" max="11790" width="15.7109375" style="354" customWidth="1"/>
    <col min="11791" max="12032" width="9.140625" style="354"/>
    <col min="12033" max="12033" width="2.7109375" style="354" customWidth="1"/>
    <col min="12034" max="12045" width="9.140625" style="354"/>
    <col min="12046" max="12046" width="15.7109375" style="354" customWidth="1"/>
    <col min="12047" max="12288" width="9.140625" style="354"/>
    <col min="12289" max="12289" width="2.7109375" style="354" customWidth="1"/>
    <col min="12290" max="12301" width="9.140625" style="354"/>
    <col min="12302" max="12302" width="15.7109375" style="354" customWidth="1"/>
    <col min="12303" max="12544" width="9.140625" style="354"/>
    <col min="12545" max="12545" width="2.7109375" style="354" customWidth="1"/>
    <col min="12546" max="12557" width="9.140625" style="354"/>
    <col min="12558" max="12558" width="15.7109375" style="354" customWidth="1"/>
    <col min="12559" max="12800" width="9.140625" style="354"/>
    <col min="12801" max="12801" width="2.7109375" style="354" customWidth="1"/>
    <col min="12802" max="12813" width="9.140625" style="354"/>
    <col min="12814" max="12814" width="15.7109375" style="354" customWidth="1"/>
    <col min="12815" max="13056" width="9.140625" style="354"/>
    <col min="13057" max="13057" width="2.7109375" style="354" customWidth="1"/>
    <col min="13058" max="13069" width="9.140625" style="354"/>
    <col min="13070" max="13070" width="15.7109375" style="354" customWidth="1"/>
    <col min="13071" max="13312" width="9.140625" style="354"/>
    <col min="13313" max="13313" width="2.7109375" style="354" customWidth="1"/>
    <col min="13314" max="13325" width="9.140625" style="354"/>
    <col min="13326" max="13326" width="15.7109375" style="354" customWidth="1"/>
    <col min="13327" max="13568" width="9.140625" style="354"/>
    <col min="13569" max="13569" width="2.7109375" style="354" customWidth="1"/>
    <col min="13570" max="13581" width="9.140625" style="354"/>
    <col min="13582" max="13582" width="15.7109375" style="354" customWidth="1"/>
    <col min="13583" max="13824" width="9.140625" style="354"/>
    <col min="13825" max="13825" width="2.7109375" style="354" customWidth="1"/>
    <col min="13826" max="13837" width="9.140625" style="354"/>
    <col min="13838" max="13838" width="15.7109375" style="354" customWidth="1"/>
    <col min="13839" max="14080" width="9.140625" style="354"/>
    <col min="14081" max="14081" width="2.7109375" style="354" customWidth="1"/>
    <col min="14082" max="14093" width="9.140625" style="354"/>
    <col min="14094" max="14094" width="15.7109375" style="354" customWidth="1"/>
    <col min="14095" max="14336" width="9.140625" style="354"/>
    <col min="14337" max="14337" width="2.7109375" style="354" customWidth="1"/>
    <col min="14338" max="14349" width="9.140625" style="354"/>
    <col min="14350" max="14350" width="15.7109375" style="354" customWidth="1"/>
    <col min="14351" max="14592" width="9.140625" style="354"/>
    <col min="14593" max="14593" width="2.7109375" style="354" customWidth="1"/>
    <col min="14594" max="14605" width="9.140625" style="354"/>
    <col min="14606" max="14606" width="15.7109375" style="354" customWidth="1"/>
    <col min="14607" max="14848" width="9.140625" style="354"/>
    <col min="14849" max="14849" width="2.7109375" style="354" customWidth="1"/>
    <col min="14850" max="14861" width="9.140625" style="354"/>
    <col min="14862" max="14862" width="15.7109375" style="354" customWidth="1"/>
    <col min="14863" max="15104" width="9.140625" style="354"/>
    <col min="15105" max="15105" width="2.7109375" style="354" customWidth="1"/>
    <col min="15106" max="15117" width="9.140625" style="354"/>
    <col min="15118" max="15118" width="15.7109375" style="354" customWidth="1"/>
    <col min="15119" max="15360" width="9.140625" style="354"/>
    <col min="15361" max="15361" width="2.7109375" style="354" customWidth="1"/>
    <col min="15362" max="15373" width="9.140625" style="354"/>
    <col min="15374" max="15374" width="15.7109375" style="354" customWidth="1"/>
    <col min="15375" max="15616" width="9.140625" style="354"/>
    <col min="15617" max="15617" width="2.7109375" style="354" customWidth="1"/>
    <col min="15618" max="15629" width="9.140625" style="354"/>
    <col min="15630" max="15630" width="15.7109375" style="354" customWidth="1"/>
    <col min="15631" max="15872" width="9.140625" style="354"/>
    <col min="15873" max="15873" width="2.7109375" style="354" customWidth="1"/>
    <col min="15874" max="15885" width="9.140625" style="354"/>
    <col min="15886" max="15886" width="15.7109375" style="354" customWidth="1"/>
    <col min="15887" max="16128" width="9.140625" style="354"/>
    <col min="16129" max="16129" width="2.7109375" style="354" customWidth="1"/>
    <col min="16130" max="16141" width="9.140625" style="354"/>
    <col min="16142" max="16142" width="15.7109375" style="354" customWidth="1"/>
    <col min="16143" max="16384" width="9.140625" style="354"/>
  </cols>
  <sheetData>
    <row r="1" spans="2:14" ht="24.95" customHeight="1" x14ac:dyDescent="0.2">
      <c r="B1" s="500" t="s">
        <v>428</v>
      </c>
      <c r="C1" s="500"/>
      <c r="D1" s="500"/>
      <c r="E1" s="500"/>
      <c r="F1" s="500"/>
      <c r="G1" s="500"/>
      <c r="H1" s="500"/>
      <c r="I1" s="500"/>
      <c r="J1" s="500"/>
      <c r="K1" s="500"/>
      <c r="L1" s="500"/>
      <c r="M1" s="500"/>
      <c r="N1" s="500"/>
    </row>
    <row r="3" spans="2:14" ht="15.75" thickBot="1" x14ac:dyDescent="0.25">
      <c r="B3" s="501" t="s">
        <v>415</v>
      </c>
      <c r="C3" s="501"/>
      <c r="D3" s="501"/>
      <c r="E3" s="501"/>
      <c r="F3" s="501"/>
      <c r="G3" s="501"/>
      <c r="H3" s="501"/>
      <c r="I3" s="501"/>
      <c r="J3" s="501"/>
      <c r="K3" s="501"/>
      <c r="L3" s="501"/>
      <c r="M3" s="501"/>
      <c r="N3" s="501"/>
    </row>
    <row r="4" spans="2:14" ht="12.75" thickTop="1" x14ac:dyDescent="0.2"/>
    <row r="5" spans="2:14" ht="80.25" customHeight="1" x14ac:dyDescent="0.2">
      <c r="B5" s="502" t="s">
        <v>429</v>
      </c>
      <c r="C5" s="502"/>
      <c r="D5" s="502"/>
      <c r="E5" s="502"/>
      <c r="F5" s="502"/>
      <c r="G5" s="502"/>
      <c r="H5" s="502"/>
      <c r="I5" s="502"/>
      <c r="J5" s="502"/>
      <c r="K5" s="502"/>
      <c r="L5" s="502"/>
      <c r="M5" s="502"/>
      <c r="N5" s="502"/>
    </row>
    <row r="6" spans="2:14" ht="84" customHeight="1" x14ac:dyDescent="0.2">
      <c r="B6" s="502" t="s">
        <v>430</v>
      </c>
      <c r="C6" s="502"/>
      <c r="D6" s="502"/>
      <c r="E6" s="502"/>
      <c r="F6" s="502"/>
      <c r="G6" s="502"/>
      <c r="H6" s="502"/>
      <c r="I6" s="502"/>
      <c r="J6" s="502"/>
      <c r="K6" s="502"/>
      <c r="L6" s="502"/>
      <c r="M6" s="502"/>
      <c r="N6" s="502"/>
    </row>
  </sheetData>
  <mergeCells count="4">
    <mergeCell ref="B1:N1"/>
    <mergeCell ref="B3:N3"/>
    <mergeCell ref="B5:N5"/>
    <mergeCell ref="B6:N6"/>
  </mergeCells>
  <pageMargins left="0.75" right="0.75" top="1" bottom="1" header="0.5" footer="0.5"/>
  <pageSetup scale="69" fitToHeight="10"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691A4-C399-455D-B802-9B250C58B90D}">
  <dimension ref="D1:AC47"/>
  <sheetViews>
    <sheetView showGridLines="0" zoomScaleNormal="100" workbookViewId="0">
      <pane xSplit="6" ySplit="2" topLeftCell="Q32" activePane="bottomRight" state="frozen"/>
      <selection pane="topRight" activeCell="G1" sqref="G1"/>
      <selection pane="bottomLeft" activeCell="A3" sqref="A3"/>
      <selection pane="bottomRight" activeCell="E22" sqref="E22:Z30"/>
    </sheetView>
  </sheetViews>
  <sheetFormatPr baseColWidth="10" defaultColWidth="11.42578125" defaultRowHeight="12.75" outlineLevelCol="1" x14ac:dyDescent="0.25"/>
  <cols>
    <col min="1" max="3" width="1.42578125" style="1" customWidth="1"/>
    <col min="4" max="4" width="8.5703125" style="1" customWidth="1"/>
    <col min="5" max="5" width="19.5703125" style="1" customWidth="1"/>
    <col min="6" max="6" width="5.5703125" style="1" hidden="1" customWidth="1"/>
    <col min="7" max="10" width="12.5703125" style="1" hidden="1" customWidth="1" outlineLevel="1"/>
    <col min="11" max="11" width="14.7109375" style="1" hidden="1" customWidth="1" outlineLevel="1" collapsed="1"/>
    <col min="12" max="13" width="12.5703125" style="1" hidden="1" customWidth="1" outlineLevel="1"/>
    <col min="14" max="15" width="11.7109375" style="1" hidden="1" customWidth="1" outlineLevel="1"/>
    <col min="16" max="16" width="12.5703125" style="1" hidden="1" customWidth="1" outlineLevel="1"/>
    <col min="17" max="17" width="10" style="1" customWidth="1" collapsed="1"/>
    <col min="18" max="26" width="10" style="1" customWidth="1"/>
    <col min="27" max="27" width="11.42578125" style="1"/>
    <col min="28" max="28" width="29" style="1" bestFit="1" customWidth="1"/>
    <col min="29" max="29" width="18.5703125" style="1" bestFit="1" customWidth="1"/>
    <col min="30" max="30" width="14.42578125" style="1" bestFit="1" customWidth="1"/>
    <col min="31" max="16384" width="11.42578125" style="1"/>
  </cols>
  <sheetData>
    <row r="1" spans="4:26" hidden="1" x14ac:dyDescent="0.25">
      <c r="G1" s="123" t="s">
        <v>5</v>
      </c>
      <c r="H1" s="123" t="s">
        <v>6</v>
      </c>
      <c r="I1" s="123" t="s">
        <v>7</v>
      </c>
      <c r="J1" s="123" t="s">
        <v>8</v>
      </c>
      <c r="K1" s="123" t="s">
        <v>9</v>
      </c>
      <c r="L1" s="123" t="s">
        <v>10</v>
      </c>
      <c r="M1" s="123" t="s">
        <v>11</v>
      </c>
      <c r="N1" s="123" t="s">
        <v>316</v>
      </c>
      <c r="O1" s="123" t="s">
        <v>330</v>
      </c>
      <c r="P1" s="123" t="s">
        <v>331</v>
      </c>
      <c r="Q1" s="123" t="s">
        <v>12</v>
      </c>
      <c r="R1" s="123" t="s">
        <v>13</v>
      </c>
      <c r="S1" s="123" t="s">
        <v>14</v>
      </c>
      <c r="T1" s="123" t="s">
        <v>15</v>
      </c>
      <c r="U1" s="123" t="s">
        <v>16</v>
      </c>
      <c r="V1" s="123" t="s">
        <v>17</v>
      </c>
      <c r="W1" s="123" t="s">
        <v>18</v>
      </c>
      <c r="X1" s="123" t="s">
        <v>19</v>
      </c>
      <c r="Y1" s="123" t="s">
        <v>318</v>
      </c>
      <c r="Z1" s="123" t="s">
        <v>332</v>
      </c>
    </row>
    <row r="2" spans="4:26" hidden="1" x14ac:dyDescent="0.25">
      <c r="E2" s="121" t="s">
        <v>352</v>
      </c>
      <c r="F2" s="122"/>
      <c r="G2" s="123">
        <v>2015</v>
      </c>
      <c r="H2" s="123">
        <v>2016</v>
      </c>
      <c r="I2" s="123">
        <v>2017</v>
      </c>
      <c r="J2" s="123">
        <v>2018</v>
      </c>
      <c r="K2" s="123">
        <v>2019</v>
      </c>
      <c r="L2" s="123">
        <v>2020</v>
      </c>
      <c r="M2" s="123">
        <v>2021</v>
      </c>
      <c r="N2" s="123">
        <v>2022</v>
      </c>
      <c r="O2" s="123">
        <v>2023</v>
      </c>
      <c r="P2" s="123">
        <v>2024</v>
      </c>
      <c r="Q2" s="123">
        <v>2025</v>
      </c>
      <c r="R2" s="123">
        <v>2026</v>
      </c>
      <c r="S2" s="123">
        <v>2027</v>
      </c>
      <c r="T2" s="123">
        <v>2028</v>
      </c>
      <c r="U2" s="123">
        <v>2029</v>
      </c>
      <c r="V2" s="123">
        <v>2030</v>
      </c>
      <c r="W2" s="123">
        <v>2031</v>
      </c>
      <c r="X2" s="123">
        <v>2032</v>
      </c>
      <c r="Y2" s="123">
        <v>2033</v>
      </c>
      <c r="Z2" s="123">
        <v>2034</v>
      </c>
    </row>
    <row r="3" spans="4:26" hidden="1" x14ac:dyDescent="0.25">
      <c r="E3" s="23"/>
      <c r="G3" s="317"/>
      <c r="H3" s="317"/>
      <c r="I3" s="317"/>
      <c r="J3" s="317"/>
      <c r="K3" s="317"/>
      <c r="L3" s="317"/>
      <c r="M3" s="317"/>
      <c r="N3" s="317"/>
      <c r="O3" s="317"/>
      <c r="P3" s="317"/>
      <c r="Q3" s="317"/>
      <c r="R3" s="317"/>
      <c r="S3" s="317"/>
      <c r="T3" s="317"/>
      <c r="U3" s="317"/>
      <c r="V3" s="317"/>
      <c r="W3" s="317"/>
      <c r="X3" s="317"/>
      <c r="Y3" s="317"/>
      <c r="Z3" s="317"/>
    </row>
    <row r="4" spans="4:26" hidden="1" x14ac:dyDescent="0.25">
      <c r="E4" s="25" t="s">
        <v>350</v>
      </c>
      <c r="F4" s="26"/>
      <c r="G4" s="26"/>
      <c r="H4" s="26"/>
      <c r="I4" s="26"/>
      <c r="J4" s="312"/>
      <c r="K4" s="313"/>
      <c r="L4" s="313"/>
      <c r="M4" s="313"/>
      <c r="N4" s="317"/>
      <c r="O4" s="317"/>
      <c r="P4" s="317"/>
      <c r="Q4" s="317"/>
      <c r="R4" s="317"/>
      <c r="S4" s="317"/>
      <c r="T4" s="317"/>
      <c r="U4" s="317"/>
      <c r="V4" s="317"/>
      <c r="W4" s="317"/>
      <c r="X4" s="317"/>
      <c r="Y4" s="317"/>
      <c r="Z4" s="317"/>
    </row>
    <row r="5" spans="4:26" hidden="1" x14ac:dyDescent="0.25">
      <c r="E5" s="314" t="s">
        <v>348</v>
      </c>
      <c r="F5" s="314"/>
      <c r="G5" s="314" t="s">
        <v>348</v>
      </c>
      <c r="H5" s="314"/>
      <c r="I5" s="314"/>
      <c r="J5" s="315"/>
      <c r="K5" s="316"/>
      <c r="L5" s="316"/>
      <c r="M5" s="316"/>
      <c r="N5" s="317"/>
      <c r="O5" s="317"/>
      <c r="P5" s="317"/>
      <c r="Q5" s="317"/>
      <c r="R5" s="317"/>
      <c r="S5" s="317"/>
      <c r="T5" s="317"/>
      <c r="U5" s="317"/>
      <c r="V5" s="317"/>
      <c r="W5" s="317"/>
      <c r="X5" s="317"/>
      <c r="Y5" s="317"/>
      <c r="Z5" s="317"/>
    </row>
    <row r="6" spans="4:26" hidden="1" x14ac:dyDescent="0.25">
      <c r="E6" s="314" t="s">
        <v>349</v>
      </c>
      <c r="F6" s="314"/>
      <c r="G6" s="314" t="s">
        <v>349</v>
      </c>
      <c r="H6" s="314"/>
      <c r="I6" s="314"/>
      <c r="J6" s="315"/>
      <c r="K6" s="316"/>
      <c r="L6" s="316"/>
      <c r="M6" s="316"/>
      <c r="N6" s="317"/>
      <c r="O6" s="317"/>
      <c r="P6" s="317"/>
      <c r="Q6" s="317"/>
      <c r="R6" s="317"/>
      <c r="S6" s="317"/>
      <c r="T6" s="317"/>
      <c r="U6" s="317"/>
      <c r="V6" s="317"/>
      <c r="W6" s="317"/>
      <c r="X6" s="317"/>
      <c r="Y6" s="317"/>
      <c r="Z6" s="317"/>
    </row>
    <row r="7" spans="4:26" hidden="1" x14ac:dyDescent="0.25">
      <c r="D7" s="13"/>
      <c r="E7" s="314" t="s">
        <v>350</v>
      </c>
      <c r="F7" s="314"/>
      <c r="G7" s="314" t="s">
        <v>350</v>
      </c>
      <c r="H7" s="314"/>
      <c r="I7" s="314"/>
      <c r="J7" s="315"/>
      <c r="K7" s="316"/>
      <c r="L7" s="316"/>
      <c r="M7" s="316"/>
    </row>
    <row r="8" spans="4:26" hidden="1" x14ac:dyDescent="0.25">
      <c r="D8" s="13"/>
      <c r="J8" s="109"/>
      <c r="K8" s="110"/>
      <c r="L8" s="110"/>
    </row>
    <row r="9" spans="4:26" hidden="1" x14ac:dyDescent="0.25">
      <c r="E9" s="70" t="s">
        <v>361</v>
      </c>
      <c r="F9" s="71"/>
      <c r="G9" s="72">
        <f>G$2</f>
        <v>2015</v>
      </c>
      <c r="H9" s="72">
        <f t="shared" ref="H9:Z9" si="0">H$2</f>
        <v>2016</v>
      </c>
      <c r="I9" s="72">
        <f t="shared" si="0"/>
        <v>2017</v>
      </c>
      <c r="J9" s="72">
        <f t="shared" si="0"/>
        <v>2018</v>
      </c>
      <c r="K9" s="72">
        <f t="shared" si="0"/>
        <v>2019</v>
      </c>
      <c r="L9" s="72">
        <f t="shared" si="0"/>
        <v>2020</v>
      </c>
      <c r="M9" s="72">
        <f t="shared" si="0"/>
        <v>2021</v>
      </c>
      <c r="N9" s="72">
        <f t="shared" si="0"/>
        <v>2022</v>
      </c>
      <c r="O9" s="72">
        <f t="shared" si="0"/>
        <v>2023</v>
      </c>
      <c r="P9" s="72">
        <f t="shared" si="0"/>
        <v>2024</v>
      </c>
      <c r="Q9" s="72">
        <f t="shared" si="0"/>
        <v>2025</v>
      </c>
      <c r="R9" s="72">
        <f t="shared" si="0"/>
        <v>2026</v>
      </c>
      <c r="S9" s="72">
        <f t="shared" si="0"/>
        <v>2027</v>
      </c>
      <c r="T9" s="72">
        <f t="shared" si="0"/>
        <v>2028</v>
      </c>
      <c r="U9" s="73">
        <f t="shared" si="0"/>
        <v>2029</v>
      </c>
      <c r="V9" s="72">
        <f t="shared" si="0"/>
        <v>2030</v>
      </c>
      <c r="W9" s="72">
        <f t="shared" si="0"/>
        <v>2031</v>
      </c>
      <c r="X9" s="72">
        <f t="shared" si="0"/>
        <v>2032</v>
      </c>
      <c r="Y9" s="72">
        <f t="shared" si="0"/>
        <v>2033</v>
      </c>
      <c r="Z9" s="73">
        <f t="shared" si="0"/>
        <v>2034</v>
      </c>
    </row>
    <row r="10" spans="4:26" hidden="1" x14ac:dyDescent="0.25">
      <c r="E10" s="74"/>
      <c r="P10" s="302"/>
      <c r="U10" s="75"/>
      <c r="Z10" s="75"/>
    </row>
    <row r="11" spans="4:26" ht="20.100000000000001" hidden="1" customHeight="1" x14ac:dyDescent="0.25">
      <c r="E11" s="89" t="s">
        <v>47</v>
      </c>
      <c r="F11" s="7"/>
      <c r="G11" s="10">
        <f>+EEFF!G44</f>
        <v>60084873</v>
      </c>
      <c r="H11" s="10">
        <f>+EEFF!H44</f>
        <v>69222338</v>
      </c>
      <c r="I11" s="10">
        <f>+EEFF!I44</f>
        <v>38266723</v>
      </c>
      <c r="J11" s="10">
        <f>+EEFF!J44</f>
        <v>14946867</v>
      </c>
      <c r="K11" s="10">
        <f>+EEFF!K44</f>
        <v>41789458</v>
      </c>
      <c r="L11" s="10">
        <f>+EEFF!L44</f>
        <v>51676585</v>
      </c>
      <c r="M11" s="10">
        <f>+EEFF!M44</f>
        <v>70331829</v>
      </c>
      <c r="N11" s="10">
        <f>+EEFF!N44</f>
        <v>97501818</v>
      </c>
      <c r="O11" s="10">
        <f>+EEFF!O44</f>
        <v>73926522</v>
      </c>
      <c r="P11" s="303">
        <f>+EEFF!P44</f>
        <v>79833684.217843577</v>
      </c>
      <c r="Q11" s="16">
        <f>+EEFF!Q44</f>
        <v>83832683.000147939</v>
      </c>
      <c r="R11" s="16">
        <f>+EEFF!R44</f>
        <v>82106575.724693596</v>
      </c>
      <c r="S11" s="16">
        <f>+EEFF!S44</f>
        <v>85706756.861572117</v>
      </c>
      <c r="T11" s="16">
        <f>+EEFF!T44</f>
        <v>87638454.756121159</v>
      </c>
      <c r="U11" s="332">
        <f>+EEFF!U44</f>
        <v>89408036.869115502</v>
      </c>
      <c r="V11" s="16">
        <f>+EEFF!V44</f>
        <v>92442232.219856799</v>
      </c>
      <c r="W11" s="16">
        <f>+EEFF!W44</f>
        <v>94509376.559901938</v>
      </c>
      <c r="X11" s="16">
        <f>+EEFF!X44</f>
        <v>96848105.076341808</v>
      </c>
      <c r="Y11" s="16">
        <f>+EEFF!Y44</f>
        <v>99493665.549251392</v>
      </c>
      <c r="Z11" s="332">
        <f>+EEFF!Z44</f>
        <v>101984982.35447386</v>
      </c>
    </row>
    <row r="12" spans="4:26" hidden="1" x14ac:dyDescent="0.25">
      <c r="E12" s="307" t="s">
        <v>347</v>
      </c>
      <c r="G12" s="308">
        <f>IFERROR(EEFF!G53/EEFF!G50,0)</f>
        <v>0</v>
      </c>
      <c r="H12" s="308">
        <f>IFERROR(EEFF!H53/EEFF!H50,0)</f>
        <v>0</v>
      </c>
      <c r="I12" s="308">
        <f>IFERROR(EEFF!I53/EEFF!I50,0)</f>
        <v>0</v>
      </c>
      <c r="J12" s="308">
        <f>IFERROR(EEFF!J53/EEFF!J50,0)</f>
        <v>1.9474457673526424</v>
      </c>
      <c r="K12" s="308">
        <f>IFERROR(EEFF!K53/EEFF!K50,0)</f>
        <v>0.30216413856215996</v>
      </c>
      <c r="L12" s="308">
        <f>IFERROR(EEFF!L53/EEFF!L50,0)</f>
        <v>0.24394739104225635</v>
      </c>
      <c r="M12" s="308">
        <f>IFERROR(EEFF!M53/EEFF!M50,0)</f>
        <v>0.35382277395190065</v>
      </c>
      <c r="N12" s="308">
        <f>IFERROR(EEFF!N53/EEFF!N50,0)</f>
        <v>0.38878330262575128</v>
      </c>
      <c r="O12" s="308">
        <f>IFERROR(EEFF!O53/EEFF!O50,0)</f>
        <v>0.3395366805261254</v>
      </c>
      <c r="P12" s="308">
        <f>IFERROR(EEFF!P53/EEFF!P50,0)</f>
        <v>0.35</v>
      </c>
      <c r="Q12" s="308">
        <f ca="1">IFERROR(EEFF!Q53/EEFF!Q50,0)</f>
        <v>0.35</v>
      </c>
      <c r="R12" s="308">
        <f ca="1">IFERROR(EEFF!R53/EEFF!R50,0)</f>
        <v>0.35</v>
      </c>
      <c r="S12" s="308">
        <f ca="1">IFERROR(EEFF!S53/EEFF!S50,0)</f>
        <v>0.35</v>
      </c>
      <c r="T12" s="308">
        <f ca="1">IFERROR(EEFF!T53/EEFF!T50,0)</f>
        <v>0.35</v>
      </c>
      <c r="U12" s="333">
        <f ca="1">IFERROR(EEFF!U53/EEFF!U50,0)</f>
        <v>0.35</v>
      </c>
      <c r="V12" s="308">
        <f ca="1">IFERROR(EEFF!V53/EEFF!V50,0)</f>
        <v>0.35</v>
      </c>
      <c r="W12" s="308">
        <f ca="1">IFERROR(EEFF!W53/EEFF!W50,0)</f>
        <v>0.35</v>
      </c>
      <c r="X12" s="308">
        <f ca="1">IFERROR(EEFF!X53/EEFF!X50,0)</f>
        <v>0.35</v>
      </c>
      <c r="Y12" s="308">
        <f ca="1">IFERROR(EEFF!Y53/EEFF!Y50,0)</f>
        <v>0.35</v>
      </c>
      <c r="Z12" s="333">
        <f ca="1">IFERROR(EEFF!Z53/EEFF!Z50,0)</f>
        <v>0.35</v>
      </c>
    </row>
    <row r="13" spans="4:26" hidden="1" x14ac:dyDescent="0.25">
      <c r="D13" s="309"/>
      <c r="E13" s="76" t="s">
        <v>136</v>
      </c>
      <c r="K13" s="311">
        <f t="shared" ref="K13:Z13" si="1">+K11*(1-K12)</f>
        <v>29162182.422450434</v>
      </c>
      <c r="L13" s="311">
        <f t="shared" si="1"/>
        <v>39070216.911276601</v>
      </c>
      <c r="M13" s="311">
        <f t="shared" si="1"/>
        <v>45446826.166109271</v>
      </c>
      <c r="N13" s="311">
        <f t="shared" si="1"/>
        <v>59594739.185945079</v>
      </c>
      <c r="O13" s="311">
        <f t="shared" si="1"/>
        <v>48825756.117278419</v>
      </c>
      <c r="P13" s="311">
        <f t="shared" si="1"/>
        <v>51891894.74159833</v>
      </c>
      <c r="Q13" s="311">
        <f t="shared" ca="1" si="1"/>
        <v>54491243.95009616</v>
      </c>
      <c r="R13" s="311">
        <f t="shared" ca="1" si="1"/>
        <v>53369274.221050836</v>
      </c>
      <c r="S13" s="311">
        <f t="shared" ca="1" si="1"/>
        <v>55709391.960021876</v>
      </c>
      <c r="T13" s="311">
        <f t="shared" ca="1" si="1"/>
        <v>56964995.591478758</v>
      </c>
      <c r="U13" s="321">
        <f t="shared" ca="1" si="1"/>
        <v>58115223.964925081</v>
      </c>
      <c r="V13" s="311">
        <f t="shared" ca="1" si="1"/>
        <v>60087450.942906924</v>
      </c>
      <c r="W13" s="311">
        <f t="shared" ca="1" si="1"/>
        <v>61431094.763936259</v>
      </c>
      <c r="X13" s="311">
        <f t="shared" ca="1" si="1"/>
        <v>62951268.299622178</v>
      </c>
      <c r="Y13" s="311">
        <f t="shared" ca="1" si="1"/>
        <v>64670882.607013404</v>
      </c>
      <c r="Z13" s="321">
        <f t="shared" ca="1" si="1"/>
        <v>66290238.53040801</v>
      </c>
    </row>
    <row r="14" spans="4:26" hidden="1" x14ac:dyDescent="0.25">
      <c r="D14" s="310"/>
      <c r="E14" s="76" t="s">
        <v>351</v>
      </c>
      <c r="K14" s="322">
        <f>+EEFF!K111-EEFF!K120-EEFF!K115</f>
        <v>-3983772</v>
      </c>
      <c r="L14" s="322">
        <f>+EEFF!L111-EEFF!L120-EEFF!L115</f>
        <v>49969489</v>
      </c>
      <c r="M14" s="322">
        <f>+EEFF!M111-EEFF!M120-EEFF!M115</f>
        <v>90998928</v>
      </c>
      <c r="N14" s="322">
        <f>+EEFF!N111-EEFF!N120-EEFF!N115</f>
        <v>53338747</v>
      </c>
      <c r="O14" s="322">
        <f>+EEFF!O111-EEFF!O120-EEFF!O115</f>
        <v>67448603.99999997</v>
      </c>
      <c r="P14" s="322">
        <f>+EEFF!P111-EEFF!P120-EEFF!P115</f>
        <v>51418796.804176897</v>
      </c>
      <c r="Q14" s="322">
        <f ca="1">+EEFF!Q111-EEFF!Q120-EEFF!Q115</f>
        <v>89333224.305837959</v>
      </c>
      <c r="R14" s="322">
        <f ca="1">+EEFF!R111-EEFF!R120-EEFF!R115</f>
        <v>126117971.91324267</v>
      </c>
      <c r="S14" s="322">
        <f ca="1">+EEFF!S111-EEFF!S120-EEFF!S115</f>
        <v>165235554.9328666</v>
      </c>
      <c r="T14" s="322">
        <f ca="1">+EEFF!T111-EEFF!T120-EEFF!T115</f>
        <v>205601626.74458405</v>
      </c>
      <c r="U14" s="323">
        <f ca="1">+EEFF!U111-EEFF!U120-EEFF!U115</f>
        <v>247110671.69596258</v>
      </c>
      <c r="V14" s="322">
        <f ca="1">+EEFF!V111-EEFF!V120-EEFF!V115</f>
        <v>290584589.6090771</v>
      </c>
      <c r="W14" s="322">
        <f ca="1">+EEFF!W111-EEFF!W120-EEFF!W115</f>
        <v>335395090.94266629</v>
      </c>
      <c r="X14" s="322">
        <f ca="1">+EEFF!X111-EEFF!X120-EEFF!X115</f>
        <v>381719135.45396602</v>
      </c>
      <c r="Y14" s="322">
        <f ca="1">+EEFF!Y111-EEFF!Y120-EEFF!Y115</f>
        <v>429755965.00394201</v>
      </c>
      <c r="Z14" s="323">
        <f ca="1">+EEFF!Z111-EEFF!Z120-EEFF!Z115</f>
        <v>479405116.33053613</v>
      </c>
    </row>
    <row r="15" spans="4:26" hidden="1" x14ac:dyDescent="0.25">
      <c r="D15" s="310"/>
      <c r="E15" s="307" t="s">
        <v>352</v>
      </c>
      <c r="F15" s="21"/>
      <c r="G15" s="21"/>
      <c r="H15" s="21"/>
      <c r="I15" s="21"/>
      <c r="J15" s="21"/>
      <c r="K15" s="334">
        <f>+K13-(WACC!$C$22*K14)</f>
        <v>29573896.958775859</v>
      </c>
      <c r="L15" s="334">
        <f>+L13-(WACC!$C$22*L14)</f>
        <v>33905974.330613479</v>
      </c>
      <c r="M15" s="334">
        <f>+M13-(WACC!$C$22*M14)</f>
        <v>36042276.546394378</v>
      </c>
      <c r="N15" s="334">
        <f>+N13-(WACC!$C$22*N14)</f>
        <v>54082290.810565107</v>
      </c>
      <c r="O15" s="334">
        <f>+O13-(WACC!$C$22*O14)</f>
        <v>41855083.417722002</v>
      </c>
      <c r="P15" s="334">
        <f>+P13-(WACC!$C$22*P14)</f>
        <v>46577869.218891963</v>
      </c>
      <c r="Q15" s="368">
        <f ca="1">+Q13-(WACC!$C$22*Q14)</f>
        <v>45258841.336810723</v>
      </c>
      <c r="R15" s="334">
        <f ca="1">+R13-(WACC!$C$22*R14)</f>
        <v>40335244.580658808</v>
      </c>
      <c r="S15" s="334">
        <f ca="1">+S13-(WACC!$C$22*S14)</f>
        <v>38632641.612948895</v>
      </c>
      <c r="T15" s="334">
        <f ca="1">+T13-(WACC!$C$22*T14)</f>
        <v>35716495.822189815</v>
      </c>
      <c r="U15" s="335">
        <f ca="1">+U13-(WACC!$C$22*U14)</f>
        <v>32576850.880730547</v>
      </c>
      <c r="V15" s="334">
        <f ca="1">+V13-(WACC!$C$22*V14)</f>
        <v>30056139.016869135</v>
      </c>
      <c r="W15" s="334">
        <f ca="1">+W13-(WACC!$C$22*W14)</f>
        <v>26768710.884215236</v>
      </c>
      <c r="X15" s="334">
        <f ca="1">+X13-(WACC!$C$22*X14)</f>
        <v>23501390.932149306</v>
      </c>
      <c r="Y15" s="334">
        <f ca="1">+Y13-(WACC!$C$22*Y14)</f>
        <v>20256498.986493953</v>
      </c>
      <c r="Z15" s="335">
        <f ca="1">+Z13-(WACC!$C$22*Z14)</f>
        <v>16744718.560373671</v>
      </c>
    </row>
    <row r="16" spans="4:26" hidden="1" x14ac:dyDescent="0.25"/>
    <row r="17" spans="5:26" hidden="1" x14ac:dyDescent="0.25"/>
    <row r="18" spans="5:26" hidden="1" x14ac:dyDescent="0.25"/>
    <row r="19" spans="5:26" hidden="1" x14ac:dyDescent="0.25">
      <c r="E19" s="1" t="s">
        <v>413</v>
      </c>
      <c r="K19" s="358">
        <f ca="1">+NPV(WACC!C22,'Tablas EVA'!Q15:U15)</f>
        <v>146937073.61517864</v>
      </c>
      <c r="P19" s="1" t="s">
        <v>352</v>
      </c>
    </row>
    <row r="22" spans="5:26" x14ac:dyDescent="0.25">
      <c r="E22" s="442" t="s">
        <v>361</v>
      </c>
      <c r="F22" s="443"/>
      <c r="G22" s="444">
        <f>G$2</f>
        <v>2015</v>
      </c>
      <c r="H22" s="444">
        <f t="shared" ref="H22:Z22" si="2">H$2</f>
        <v>2016</v>
      </c>
      <c r="I22" s="444">
        <f t="shared" si="2"/>
        <v>2017</v>
      </c>
      <c r="J22" s="444">
        <f t="shared" si="2"/>
        <v>2018</v>
      </c>
      <c r="K22" s="444">
        <f t="shared" si="2"/>
        <v>2019</v>
      </c>
      <c r="L22" s="444">
        <f t="shared" si="2"/>
        <v>2020</v>
      </c>
      <c r="M22" s="444">
        <f t="shared" si="2"/>
        <v>2021</v>
      </c>
      <c r="N22" s="444">
        <f t="shared" si="2"/>
        <v>2022</v>
      </c>
      <c r="O22" s="444">
        <f t="shared" si="2"/>
        <v>2023</v>
      </c>
      <c r="P22" s="444">
        <f t="shared" si="2"/>
        <v>2024</v>
      </c>
      <c r="Q22" s="444">
        <f t="shared" si="2"/>
        <v>2025</v>
      </c>
      <c r="R22" s="444">
        <f t="shared" si="2"/>
        <v>2026</v>
      </c>
      <c r="S22" s="444">
        <f t="shared" si="2"/>
        <v>2027</v>
      </c>
      <c r="T22" s="444">
        <f t="shared" si="2"/>
        <v>2028</v>
      </c>
      <c r="U22" s="444">
        <f t="shared" si="2"/>
        <v>2029</v>
      </c>
      <c r="V22" s="444">
        <f t="shared" si="2"/>
        <v>2030</v>
      </c>
      <c r="W22" s="444">
        <f t="shared" si="2"/>
        <v>2031</v>
      </c>
      <c r="X22" s="444">
        <f t="shared" si="2"/>
        <v>2032</v>
      </c>
      <c r="Y22" s="444">
        <f t="shared" si="2"/>
        <v>2033</v>
      </c>
      <c r="Z22" s="445">
        <f t="shared" si="2"/>
        <v>2034</v>
      </c>
    </row>
    <row r="23" spans="5:26" x14ac:dyDescent="0.15">
      <c r="E23" s="446" t="s">
        <v>47</v>
      </c>
      <c r="F23" s="447"/>
      <c r="G23" s="448">
        <f>+EEFF!G57</f>
        <v>0</v>
      </c>
      <c r="H23" s="448">
        <f>+EEFF!H57</f>
        <v>0</v>
      </c>
      <c r="I23" s="448">
        <f>+EEFF!I57</f>
        <v>0</v>
      </c>
      <c r="J23" s="448">
        <f>+EEFF!J57</f>
        <v>0</v>
      </c>
      <c r="K23" s="448">
        <f t="shared" ref="K23:Z23" si="3">+K11</f>
        <v>41789458</v>
      </c>
      <c r="L23" s="448">
        <f t="shared" si="3"/>
        <v>51676585</v>
      </c>
      <c r="M23" s="448">
        <f t="shared" si="3"/>
        <v>70331829</v>
      </c>
      <c r="N23" s="448">
        <f t="shared" si="3"/>
        <v>97501818</v>
      </c>
      <c r="O23" s="448">
        <f t="shared" si="3"/>
        <v>73926522</v>
      </c>
      <c r="P23" s="449">
        <f t="shared" si="3"/>
        <v>79833684.217843577</v>
      </c>
      <c r="Q23" s="450">
        <f t="shared" si="3"/>
        <v>83832683.000147939</v>
      </c>
      <c r="R23" s="450">
        <f t="shared" si="3"/>
        <v>82106575.724693596</v>
      </c>
      <c r="S23" s="450">
        <f t="shared" si="3"/>
        <v>85706756.861572117</v>
      </c>
      <c r="T23" s="450">
        <f t="shared" si="3"/>
        <v>87638454.756121159</v>
      </c>
      <c r="U23" s="450">
        <f t="shared" si="3"/>
        <v>89408036.869115502</v>
      </c>
      <c r="V23" s="450">
        <f t="shared" si="3"/>
        <v>92442232.219856799</v>
      </c>
      <c r="W23" s="450">
        <f t="shared" si="3"/>
        <v>94509376.559901938</v>
      </c>
      <c r="X23" s="450">
        <f t="shared" si="3"/>
        <v>96848105.076341808</v>
      </c>
      <c r="Y23" s="450">
        <f t="shared" si="3"/>
        <v>99493665.549251392</v>
      </c>
      <c r="Z23" s="451">
        <f t="shared" si="3"/>
        <v>101984982.35447386</v>
      </c>
    </row>
    <row r="24" spans="5:26" x14ac:dyDescent="0.15">
      <c r="E24" s="452" t="s">
        <v>347</v>
      </c>
      <c r="F24" s="453"/>
      <c r="G24" s="454">
        <f>IFERROR(EEFF!G66/EEFF!G63,0)</f>
        <v>0</v>
      </c>
      <c r="H24" s="454">
        <f>IFERROR(EEFF!H66/EEFF!H63,0)</f>
        <v>0</v>
      </c>
      <c r="I24" s="454">
        <f>IFERROR(EEFF!I66/EEFF!I63,0)</f>
        <v>0</v>
      </c>
      <c r="J24" s="454">
        <f>IFERROR(EEFF!J66/EEFF!J63,0)</f>
        <v>0</v>
      </c>
      <c r="K24" s="454">
        <f t="shared" ref="K24:Z24" si="4">+K12</f>
        <v>0.30216413856215996</v>
      </c>
      <c r="L24" s="454">
        <f t="shared" si="4"/>
        <v>0.24394739104225635</v>
      </c>
      <c r="M24" s="454">
        <f t="shared" si="4"/>
        <v>0.35382277395190065</v>
      </c>
      <c r="N24" s="454">
        <f t="shared" si="4"/>
        <v>0.38878330262575128</v>
      </c>
      <c r="O24" s="454">
        <f t="shared" si="4"/>
        <v>0.3395366805261254</v>
      </c>
      <c r="P24" s="454">
        <f t="shared" si="4"/>
        <v>0.35</v>
      </c>
      <c r="Q24" s="455">
        <f t="shared" ca="1" si="4"/>
        <v>0.35</v>
      </c>
      <c r="R24" s="455">
        <f t="shared" ca="1" si="4"/>
        <v>0.35</v>
      </c>
      <c r="S24" s="455">
        <f t="shared" ca="1" si="4"/>
        <v>0.35</v>
      </c>
      <c r="T24" s="455">
        <f t="shared" ca="1" si="4"/>
        <v>0.35</v>
      </c>
      <c r="U24" s="455">
        <f t="shared" ca="1" si="4"/>
        <v>0.35</v>
      </c>
      <c r="V24" s="455">
        <f t="shared" ca="1" si="4"/>
        <v>0.35</v>
      </c>
      <c r="W24" s="455">
        <f t="shared" ca="1" si="4"/>
        <v>0.35</v>
      </c>
      <c r="X24" s="455">
        <f t="shared" ca="1" si="4"/>
        <v>0.35</v>
      </c>
      <c r="Y24" s="455">
        <f t="shared" ca="1" si="4"/>
        <v>0.35</v>
      </c>
      <c r="Z24" s="456">
        <f t="shared" ca="1" si="4"/>
        <v>0.35</v>
      </c>
    </row>
    <row r="25" spans="5:26" x14ac:dyDescent="0.15">
      <c r="E25" s="457" t="s">
        <v>136</v>
      </c>
      <c r="F25" s="453"/>
      <c r="G25" s="453"/>
      <c r="H25" s="453"/>
      <c r="I25" s="453"/>
      <c r="J25" s="453"/>
      <c r="K25" s="458">
        <f t="shared" ref="K25:Z25" si="5">+K23*(1-K24)</f>
        <v>29162182.422450434</v>
      </c>
      <c r="L25" s="458">
        <f t="shared" si="5"/>
        <v>39070216.911276601</v>
      </c>
      <c r="M25" s="458">
        <f t="shared" si="5"/>
        <v>45446826.166109271</v>
      </c>
      <c r="N25" s="458">
        <f t="shared" si="5"/>
        <v>59594739.185945079</v>
      </c>
      <c r="O25" s="458">
        <f t="shared" si="5"/>
        <v>48825756.117278419</v>
      </c>
      <c r="P25" s="458">
        <f t="shared" si="5"/>
        <v>51891894.74159833</v>
      </c>
      <c r="Q25" s="459">
        <f t="shared" ca="1" si="5"/>
        <v>54491243.95009616</v>
      </c>
      <c r="R25" s="459">
        <f t="shared" ca="1" si="5"/>
        <v>53369274.221050836</v>
      </c>
      <c r="S25" s="459">
        <f t="shared" ca="1" si="5"/>
        <v>55709391.960021876</v>
      </c>
      <c r="T25" s="459">
        <f t="shared" ca="1" si="5"/>
        <v>56964995.591478758</v>
      </c>
      <c r="U25" s="459">
        <f t="shared" ca="1" si="5"/>
        <v>58115223.964925081</v>
      </c>
      <c r="V25" s="459">
        <f t="shared" ca="1" si="5"/>
        <v>60087450.942906924</v>
      </c>
      <c r="W25" s="459">
        <f t="shared" ca="1" si="5"/>
        <v>61431094.763936259</v>
      </c>
      <c r="X25" s="459">
        <f t="shared" ca="1" si="5"/>
        <v>62951268.299622178</v>
      </c>
      <c r="Y25" s="459">
        <f t="shared" ca="1" si="5"/>
        <v>64670882.607013404</v>
      </c>
      <c r="Z25" s="460">
        <f t="shared" ca="1" si="5"/>
        <v>66290238.53040801</v>
      </c>
    </row>
    <row r="26" spans="5:26" x14ac:dyDescent="0.15">
      <c r="E26" s="457" t="s">
        <v>520</v>
      </c>
      <c r="F26" s="453"/>
      <c r="G26" s="453"/>
      <c r="H26" s="453"/>
      <c r="I26" s="453"/>
      <c r="J26" s="453"/>
      <c r="K26" s="461">
        <f t="shared" ref="K26:Z26" si="6">+K14</f>
        <v>-3983772</v>
      </c>
      <c r="L26" s="461">
        <f t="shared" si="6"/>
        <v>49969489</v>
      </c>
      <c r="M26" s="461">
        <f t="shared" si="6"/>
        <v>90998928</v>
      </c>
      <c r="N26" s="461">
        <f t="shared" si="6"/>
        <v>53338747</v>
      </c>
      <c r="O26" s="461">
        <f t="shared" si="6"/>
        <v>67448603.99999997</v>
      </c>
      <c r="P26" s="461">
        <f t="shared" si="6"/>
        <v>51418796.804176897</v>
      </c>
      <c r="Q26" s="462">
        <f t="shared" ca="1" si="6"/>
        <v>89333224.305837959</v>
      </c>
      <c r="R26" s="462">
        <f t="shared" ca="1" si="6"/>
        <v>126117971.91324267</v>
      </c>
      <c r="S26" s="462">
        <f t="shared" ca="1" si="6"/>
        <v>165235554.9328666</v>
      </c>
      <c r="T26" s="462">
        <f t="shared" ca="1" si="6"/>
        <v>205601626.74458405</v>
      </c>
      <c r="U26" s="462">
        <f t="shared" ca="1" si="6"/>
        <v>247110671.69596258</v>
      </c>
      <c r="V26" s="462">
        <f t="shared" ca="1" si="6"/>
        <v>290584589.6090771</v>
      </c>
      <c r="W26" s="462">
        <f t="shared" ca="1" si="6"/>
        <v>335395090.94266629</v>
      </c>
      <c r="X26" s="462">
        <f t="shared" ca="1" si="6"/>
        <v>381719135.45396602</v>
      </c>
      <c r="Y26" s="462">
        <f t="shared" ca="1" si="6"/>
        <v>429755965.00394201</v>
      </c>
      <c r="Z26" s="463">
        <f t="shared" ca="1" si="6"/>
        <v>479405116.33053613</v>
      </c>
    </row>
    <row r="27" spans="5:26" x14ac:dyDescent="0.15">
      <c r="E27" s="464" t="s">
        <v>518</v>
      </c>
      <c r="F27" s="465"/>
      <c r="G27" s="465"/>
      <c r="H27" s="465"/>
      <c r="I27" s="465"/>
      <c r="J27" s="465"/>
      <c r="K27" s="466">
        <f>+K25/K26</f>
        <v>-7.3202438348505972</v>
      </c>
      <c r="L27" s="466">
        <f t="shared" ref="L27:Z27" si="7">+L25/L26</f>
        <v>0.78188145792878938</v>
      </c>
      <c r="M27" s="466">
        <f t="shared" si="7"/>
        <v>0.49942155545073313</v>
      </c>
      <c r="N27" s="466">
        <f t="shared" si="7"/>
        <v>1.1172879480266957</v>
      </c>
      <c r="O27" s="466">
        <f t="shared" si="7"/>
        <v>0.72389572536265456</v>
      </c>
      <c r="P27" s="466">
        <f t="shared" si="7"/>
        <v>1.0092008752990307</v>
      </c>
      <c r="Q27" s="467">
        <f t="shared" ca="1" si="7"/>
        <v>0.60997735583283019</v>
      </c>
      <c r="R27" s="467">
        <f t="shared" ca="1" si="7"/>
        <v>0.42316946119117654</v>
      </c>
      <c r="S27" s="467">
        <f t="shared" ca="1" si="7"/>
        <v>0.33715135935880142</v>
      </c>
      <c r="T27" s="467">
        <f t="shared" ca="1" si="7"/>
        <v>0.27706490699242159</v>
      </c>
      <c r="U27" s="467">
        <f t="shared" ca="1" si="7"/>
        <v>0.23517893244379295</v>
      </c>
      <c r="V27" s="467">
        <f t="shared" ca="1" si="7"/>
        <v>0.20678127158684656</v>
      </c>
      <c r="W27" s="467">
        <f t="shared" ca="1" si="7"/>
        <v>0.18316038732492218</v>
      </c>
      <c r="X27" s="467">
        <f t="shared" ca="1" si="7"/>
        <v>0.16491514952415551</v>
      </c>
      <c r="Y27" s="467">
        <f t="shared" ca="1" si="7"/>
        <v>0.1504828039010935</v>
      </c>
      <c r="Z27" s="468">
        <f t="shared" ca="1" si="7"/>
        <v>0.13827603476117845</v>
      </c>
    </row>
    <row r="28" spans="5:26" x14ac:dyDescent="0.15">
      <c r="E28" s="464" t="s">
        <v>140</v>
      </c>
      <c r="F28" s="465"/>
      <c r="G28" s="465"/>
      <c r="H28" s="465"/>
      <c r="I28" s="465"/>
      <c r="J28" s="465"/>
      <c r="K28" s="469">
        <f>+WACC!$C$22</f>
        <v>0.10334791657891719</v>
      </c>
      <c r="L28" s="466">
        <f>+WACC!$C$22</f>
        <v>0.10334791657891719</v>
      </c>
      <c r="M28" s="466">
        <f>+WACC!$C$22</f>
        <v>0.10334791657891719</v>
      </c>
      <c r="N28" s="466">
        <f>+WACC!$C$22</f>
        <v>0.10334791657891719</v>
      </c>
      <c r="O28" s="466">
        <f>+WACC!$C$22</f>
        <v>0.10334791657891719</v>
      </c>
      <c r="P28" s="466">
        <f>+WACC!$C$22</f>
        <v>0.10334791657891719</v>
      </c>
      <c r="Q28" s="467">
        <f>+WACC!$C$22</f>
        <v>0.10334791657891719</v>
      </c>
      <c r="R28" s="467">
        <f>+WACC!$C$22</f>
        <v>0.10334791657891719</v>
      </c>
      <c r="S28" s="467">
        <f>+WACC!$C$22</f>
        <v>0.10334791657891719</v>
      </c>
      <c r="T28" s="467">
        <f>+WACC!$C$22</f>
        <v>0.10334791657891719</v>
      </c>
      <c r="U28" s="467">
        <f>+WACC!$C$22</f>
        <v>0.10334791657891719</v>
      </c>
      <c r="V28" s="467">
        <f>+WACC!$C$22</f>
        <v>0.10334791657891719</v>
      </c>
      <c r="W28" s="467">
        <f>+WACC!$C$22</f>
        <v>0.10334791657891719</v>
      </c>
      <c r="X28" s="467">
        <f>+WACC!$C$22</f>
        <v>0.10334791657891719</v>
      </c>
      <c r="Y28" s="467">
        <f>+WACC!$C$22</f>
        <v>0.10334791657891719</v>
      </c>
      <c r="Z28" s="468">
        <f>+WACC!$C$22</f>
        <v>0.10334791657891719</v>
      </c>
    </row>
    <row r="29" spans="5:26" x14ac:dyDescent="0.15">
      <c r="E29" s="457" t="s">
        <v>519</v>
      </c>
      <c r="F29" s="453"/>
      <c r="G29" s="453"/>
      <c r="H29" s="453"/>
      <c r="I29" s="453"/>
      <c r="J29" s="453"/>
      <c r="K29" s="470">
        <f>+K27-K28</f>
        <v>-7.4235917514295142</v>
      </c>
      <c r="L29" s="471"/>
      <c r="M29" s="471"/>
      <c r="N29" s="471"/>
      <c r="O29" s="471"/>
      <c r="P29" s="471"/>
      <c r="Q29" s="472">
        <f ca="1">+Q27-Q28</f>
        <v>0.50662943925391302</v>
      </c>
      <c r="R29" s="472">
        <f t="shared" ref="R29:Z29" ca="1" si="8">+R27-R28</f>
        <v>0.31982154461225937</v>
      </c>
      <c r="S29" s="472">
        <f t="shared" ca="1" si="8"/>
        <v>0.23380344277988424</v>
      </c>
      <c r="T29" s="472">
        <f t="shared" ca="1" si="8"/>
        <v>0.17371699041350441</v>
      </c>
      <c r="U29" s="472">
        <f t="shared" ca="1" si="8"/>
        <v>0.13183101586487578</v>
      </c>
      <c r="V29" s="472">
        <f t="shared" ca="1" si="8"/>
        <v>0.10343335500792937</v>
      </c>
      <c r="W29" s="472">
        <f t="shared" ca="1" si="8"/>
        <v>7.981247074600499E-2</v>
      </c>
      <c r="X29" s="472">
        <f t="shared" ca="1" si="8"/>
        <v>6.1567232945238318E-2</v>
      </c>
      <c r="Y29" s="472">
        <f t="shared" ca="1" si="8"/>
        <v>4.7134887322176314E-2</v>
      </c>
      <c r="Z29" s="473">
        <f t="shared" ca="1" si="8"/>
        <v>3.4928118182261256E-2</v>
      </c>
    </row>
    <row r="30" spans="5:26" x14ac:dyDescent="0.15">
      <c r="E30" s="474" t="s">
        <v>352</v>
      </c>
      <c r="F30" s="475"/>
      <c r="G30" s="475"/>
      <c r="H30" s="475"/>
      <c r="I30" s="475"/>
      <c r="J30" s="475"/>
      <c r="K30" s="476">
        <f>+K25-(WACC!$C$22*K26)</f>
        <v>29573896.958775859</v>
      </c>
      <c r="L30" s="476">
        <f>+L26*(L27-L28)</f>
        <v>33905974.330613486</v>
      </c>
      <c r="M30" s="476">
        <f t="shared" ref="M30:Z30" si="9">+M26*(M27-M28)</f>
        <v>36042276.546394378</v>
      </c>
      <c r="N30" s="476">
        <f t="shared" si="9"/>
        <v>54082290.810565099</v>
      </c>
      <c r="O30" s="476">
        <f t="shared" si="9"/>
        <v>41855083.417722009</v>
      </c>
      <c r="P30" s="476">
        <f t="shared" si="9"/>
        <v>46577869.218891956</v>
      </c>
      <c r="Q30" s="477">
        <f t="shared" ca="1" si="9"/>
        <v>45258841.336810715</v>
      </c>
      <c r="R30" s="477">
        <f t="shared" ca="1" si="9"/>
        <v>40335244.580658816</v>
      </c>
      <c r="S30" s="477">
        <f t="shared" ca="1" si="9"/>
        <v>38632641.612948895</v>
      </c>
      <c r="T30" s="477">
        <f t="shared" ca="1" si="9"/>
        <v>35716495.822189823</v>
      </c>
      <c r="U30" s="477">
        <f t="shared" ca="1" si="9"/>
        <v>32576850.880730551</v>
      </c>
      <c r="V30" s="477">
        <f t="shared" ca="1" si="9"/>
        <v>30056139.016869135</v>
      </c>
      <c r="W30" s="477">
        <f t="shared" ca="1" si="9"/>
        <v>26768710.884215236</v>
      </c>
      <c r="X30" s="477">
        <f t="shared" ca="1" si="9"/>
        <v>23501390.932149306</v>
      </c>
      <c r="Y30" s="477">
        <f t="shared" ca="1" si="9"/>
        <v>20256498.986493953</v>
      </c>
      <c r="Z30" s="478">
        <f t="shared" ca="1" si="9"/>
        <v>16744718.560373671</v>
      </c>
    </row>
    <row r="42" spans="28:29" ht="15.75" x14ac:dyDescent="0.25">
      <c r="AB42" s="377" t="s">
        <v>109</v>
      </c>
      <c r="AC42" s="378" t="s">
        <v>521</v>
      </c>
    </row>
    <row r="43" spans="28:29" ht="15.75" x14ac:dyDescent="0.25">
      <c r="AB43" s="376" t="s">
        <v>522</v>
      </c>
      <c r="AC43" s="374" t="s">
        <v>523</v>
      </c>
    </row>
    <row r="44" spans="28:29" ht="15.75" x14ac:dyDescent="0.25">
      <c r="AB44" s="376" t="s">
        <v>524</v>
      </c>
      <c r="AC44" s="375">
        <v>0.35</v>
      </c>
    </row>
    <row r="45" spans="28:29" ht="15.75" x14ac:dyDescent="0.25">
      <c r="AB45" s="376" t="s">
        <v>136</v>
      </c>
      <c r="AC45" s="374" t="s">
        <v>525</v>
      </c>
    </row>
    <row r="46" spans="28:29" ht="15.75" x14ac:dyDescent="0.25">
      <c r="AB46" s="376" t="s">
        <v>526</v>
      </c>
      <c r="AC46" s="374" t="s">
        <v>527</v>
      </c>
    </row>
    <row r="47" spans="28:29" ht="15.75" x14ac:dyDescent="0.25">
      <c r="AB47" s="428" t="s">
        <v>518</v>
      </c>
      <c r="AC47" s="429" t="s">
        <v>528</v>
      </c>
    </row>
  </sheetData>
  <pageMargins left="0.7" right="0.7" top="0.75" bottom="0.75" header="0.3" footer="0.3"/>
  <pageSetup orientation="portrait" r:id="rId1"/>
  <ignoredErrors>
    <ignoredError sqref="Q25:Z25" formula="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5B16E-09C7-4413-AED7-30EA3EA6ED71}">
  <dimension ref="D1:Z60"/>
  <sheetViews>
    <sheetView showGridLines="0" zoomScaleNormal="100" workbookViewId="0">
      <pane xSplit="6" ySplit="2" topLeftCell="K47" activePane="bottomRight" state="frozen"/>
      <selection pane="topRight" activeCell="G1" sqref="G1"/>
      <selection pane="bottomLeft" activeCell="A3" sqref="A3"/>
      <selection pane="bottomRight" activeCell="K39" sqref="K39"/>
    </sheetView>
  </sheetViews>
  <sheetFormatPr baseColWidth="10" defaultColWidth="11.42578125" defaultRowHeight="12.75" outlineLevelCol="1" x14ac:dyDescent="0.25"/>
  <cols>
    <col min="1" max="3" width="1.42578125" style="1" customWidth="1"/>
    <col min="4" max="4" width="1.85546875" style="1" customWidth="1"/>
    <col min="5" max="5" width="48.140625" style="1" bestFit="1" customWidth="1"/>
    <col min="6" max="6" width="5.5703125" style="1" hidden="1" customWidth="1"/>
    <col min="7" max="10" width="12.5703125" style="1" hidden="1" customWidth="1" outlineLevel="1"/>
    <col min="11" max="11" width="12.5703125" style="1" customWidth="1" collapsed="1"/>
    <col min="12" max="13" width="12.5703125" style="1" customWidth="1"/>
    <col min="14" max="15" width="11.7109375" style="1" customWidth="1"/>
    <col min="16" max="20" width="12.5703125" style="1" bestFit="1" customWidth="1"/>
    <col min="21" max="26" width="13.42578125" style="1" bestFit="1" customWidth="1"/>
    <col min="27" max="28" width="11.42578125" style="1"/>
    <col min="29" max="29" width="15.85546875" style="1" bestFit="1" customWidth="1"/>
    <col min="30" max="30" width="14.42578125" style="1" bestFit="1" customWidth="1"/>
    <col min="31" max="16384" width="11.42578125" style="1"/>
  </cols>
  <sheetData>
    <row r="1" spans="4:26" x14ac:dyDescent="0.25">
      <c r="E1" s="121" t="s">
        <v>376</v>
      </c>
      <c r="G1" s="123" t="s">
        <v>5</v>
      </c>
      <c r="H1" s="123" t="s">
        <v>6</v>
      </c>
      <c r="I1" s="123" t="s">
        <v>7</v>
      </c>
      <c r="J1" s="123" t="s">
        <v>8</v>
      </c>
      <c r="K1" s="123" t="s">
        <v>9</v>
      </c>
      <c r="L1" s="123" t="s">
        <v>10</v>
      </c>
      <c r="M1" s="123" t="s">
        <v>11</v>
      </c>
      <c r="N1" s="123" t="s">
        <v>316</v>
      </c>
      <c r="O1" s="123" t="s">
        <v>330</v>
      </c>
      <c r="P1" s="123" t="s">
        <v>331</v>
      </c>
      <c r="Q1" s="123" t="s">
        <v>12</v>
      </c>
      <c r="R1" s="123" t="s">
        <v>13</v>
      </c>
      <c r="S1" s="123" t="s">
        <v>14</v>
      </c>
      <c r="T1" s="123" t="s">
        <v>15</v>
      </c>
      <c r="U1" s="123" t="s">
        <v>16</v>
      </c>
      <c r="V1" s="123" t="s">
        <v>17</v>
      </c>
      <c r="W1" s="123" t="s">
        <v>18</v>
      </c>
      <c r="X1" s="123" t="s">
        <v>19</v>
      </c>
      <c r="Y1" s="123" t="s">
        <v>318</v>
      </c>
      <c r="Z1" s="123" t="s">
        <v>332</v>
      </c>
    </row>
    <row r="2" spans="4:26" x14ac:dyDescent="0.25">
      <c r="E2" s="121" t="s">
        <v>377</v>
      </c>
      <c r="F2" s="122"/>
      <c r="G2" s="123">
        <v>2015</v>
      </c>
      <c r="H2" s="123">
        <v>2016</v>
      </c>
      <c r="I2" s="123">
        <v>2017</v>
      </c>
      <c r="J2" s="123">
        <v>2018</v>
      </c>
      <c r="K2" s="123">
        <v>2019</v>
      </c>
      <c r="L2" s="123">
        <v>2020</v>
      </c>
      <c r="M2" s="123">
        <v>2021</v>
      </c>
      <c r="N2" s="123">
        <v>2022</v>
      </c>
      <c r="O2" s="123">
        <v>2023</v>
      </c>
      <c r="P2" s="123">
        <v>2024</v>
      </c>
      <c r="Q2" s="123">
        <v>2025</v>
      </c>
      <c r="R2" s="123">
        <v>2026</v>
      </c>
      <c r="S2" s="123">
        <v>2027</v>
      </c>
      <c r="T2" s="123">
        <v>2028</v>
      </c>
      <c r="U2" s="123">
        <v>2029</v>
      </c>
      <c r="V2" s="123">
        <v>2030</v>
      </c>
      <c r="W2" s="123">
        <v>2031</v>
      </c>
      <c r="X2" s="123">
        <v>2032</v>
      </c>
      <c r="Y2" s="123">
        <v>2033</v>
      </c>
      <c r="Z2" s="123">
        <v>2034</v>
      </c>
    </row>
    <row r="3" spans="4:26" x14ac:dyDescent="0.25">
      <c r="D3" s="13"/>
      <c r="J3" s="109"/>
      <c r="K3" s="110"/>
      <c r="L3" s="110"/>
    </row>
    <row r="4" spans="4:26" x14ac:dyDescent="0.25">
      <c r="E4" s="70" t="s">
        <v>378</v>
      </c>
      <c r="F4" s="71"/>
      <c r="G4" s="72">
        <f>G$2</f>
        <v>2015</v>
      </c>
      <c r="H4" s="72">
        <f t="shared" ref="H4:Z4" si="0">H$2</f>
        <v>2016</v>
      </c>
      <c r="I4" s="72">
        <f t="shared" si="0"/>
        <v>2017</v>
      </c>
      <c r="J4" s="72">
        <f t="shared" si="0"/>
        <v>2018</v>
      </c>
      <c r="K4" s="72">
        <f t="shared" si="0"/>
        <v>2019</v>
      </c>
      <c r="L4" s="72">
        <f t="shared" si="0"/>
        <v>2020</v>
      </c>
      <c r="M4" s="72">
        <f t="shared" si="0"/>
        <v>2021</v>
      </c>
      <c r="N4" s="72">
        <f t="shared" si="0"/>
        <v>2022</v>
      </c>
      <c r="O4" s="72">
        <f t="shared" si="0"/>
        <v>2023</v>
      </c>
      <c r="P4" s="72">
        <f t="shared" si="0"/>
        <v>2024</v>
      </c>
      <c r="Q4" s="72">
        <f t="shared" si="0"/>
        <v>2025</v>
      </c>
      <c r="R4" s="72">
        <f t="shared" si="0"/>
        <v>2026</v>
      </c>
      <c r="S4" s="72">
        <f t="shared" si="0"/>
        <v>2027</v>
      </c>
      <c r="T4" s="72">
        <f t="shared" si="0"/>
        <v>2028</v>
      </c>
      <c r="U4" s="72">
        <f t="shared" si="0"/>
        <v>2029</v>
      </c>
      <c r="V4" s="72">
        <f t="shared" si="0"/>
        <v>2030</v>
      </c>
      <c r="W4" s="72">
        <f t="shared" si="0"/>
        <v>2031</v>
      </c>
      <c r="X4" s="72">
        <f t="shared" si="0"/>
        <v>2032</v>
      </c>
      <c r="Y4" s="72">
        <f t="shared" si="0"/>
        <v>2033</v>
      </c>
      <c r="Z4" s="73">
        <f t="shared" si="0"/>
        <v>2034</v>
      </c>
    </row>
    <row r="5" spans="4:26" x14ac:dyDescent="0.25">
      <c r="E5" s="74"/>
      <c r="P5" s="302"/>
      <c r="Z5" s="75"/>
    </row>
    <row r="6" spans="4:26" x14ac:dyDescent="0.25">
      <c r="E6" s="336" t="s">
        <v>379</v>
      </c>
      <c r="F6" s="337"/>
      <c r="G6" s="337"/>
      <c r="H6" s="337"/>
      <c r="I6" s="337"/>
      <c r="J6" s="337"/>
      <c r="K6" s="337"/>
      <c r="L6" s="337"/>
      <c r="M6" s="337"/>
      <c r="N6" s="337"/>
      <c r="O6" s="337"/>
      <c r="P6" s="338"/>
      <c r="Q6" s="337"/>
      <c r="R6" s="337"/>
      <c r="S6" s="337"/>
      <c r="T6" s="337"/>
      <c r="U6" s="337"/>
      <c r="V6" s="337"/>
      <c r="W6" s="337"/>
      <c r="X6" s="337"/>
      <c r="Y6" s="337"/>
      <c r="Z6" s="339"/>
    </row>
    <row r="7" spans="4:26" s="280" customFormat="1" x14ac:dyDescent="0.25">
      <c r="E7" s="340"/>
      <c r="F7" s="275"/>
      <c r="G7" s="275"/>
      <c r="H7" s="275"/>
      <c r="I7" s="275"/>
      <c r="J7" s="275"/>
      <c r="K7" s="275"/>
      <c r="L7" s="275"/>
      <c r="M7" s="275"/>
      <c r="N7" s="275"/>
      <c r="O7" s="275"/>
      <c r="P7" s="341"/>
      <c r="Q7" s="275"/>
      <c r="R7" s="275"/>
      <c r="S7" s="275"/>
      <c r="T7" s="275"/>
      <c r="U7" s="275"/>
      <c r="V7" s="275"/>
      <c r="W7" s="275"/>
      <c r="X7" s="275"/>
      <c r="Y7" s="275"/>
      <c r="Z7" s="342"/>
    </row>
    <row r="8" spans="4:26" x14ac:dyDescent="0.25">
      <c r="D8" s="309"/>
      <c r="E8" s="76" t="s">
        <v>381</v>
      </c>
      <c r="K8" s="311">
        <f>+EEFF!K104+EEFF!K105+EEFF!K106</f>
        <v>61636146.416666664</v>
      </c>
      <c r="L8" s="311">
        <f>+EEFF!L104+EEFF!L105+EEFF!L106</f>
        <v>65243136</v>
      </c>
      <c r="M8" s="311">
        <f>+EEFF!M104+EEFF!M105+EEFF!M106</f>
        <v>72603895</v>
      </c>
      <c r="N8" s="311">
        <f>+EEFF!N104+EEFF!N105+EEFF!N106</f>
        <v>85849356</v>
      </c>
      <c r="O8" s="311">
        <f>+EEFF!O104+EEFF!O105+EEFF!O106</f>
        <v>93405892</v>
      </c>
      <c r="P8" s="311">
        <f>+EEFF!P104+EEFF!P105+EEFF!P106</f>
        <v>122606133.20516622</v>
      </c>
      <c r="Q8" s="311">
        <f ca="1">+EEFF!Q104+EEFF!Q105+EEFF!Q106</f>
        <v>158760977.11914179</v>
      </c>
      <c r="R8" s="311">
        <f ca="1">+EEFF!R104+EEFF!R105+EEFF!R106</f>
        <v>192874718.51820534</v>
      </c>
      <c r="S8" s="311">
        <f ca="1">+EEFF!S104+EEFF!S105+EEFF!S106</f>
        <v>230280444.09152615</v>
      </c>
      <c r="T8" s="311">
        <f ca="1">+EEFF!T104+EEFF!T105+EEFF!T106</f>
        <v>269548335.38298184</v>
      </c>
      <c r="U8" s="311">
        <f ca="1">+EEFF!U104+EEFF!U105+EEFF!U106</f>
        <v>310043982.15027922</v>
      </c>
      <c r="V8" s="311">
        <f ca="1">+EEFF!V104+EEFF!V105+EEFF!V106</f>
        <v>352916995.91056895</v>
      </c>
      <c r="W8" s="311">
        <f ca="1">+EEFF!W104+EEFF!W105+EEFF!W106</f>
        <v>397017877.13013965</v>
      </c>
      <c r="X8" s="311">
        <f ca="1">+EEFF!X104+EEFF!X105+EEFF!X106</f>
        <v>442780180.71641803</v>
      </c>
      <c r="Y8" s="311">
        <f ca="1">+EEFF!Y104+EEFF!Y105+EEFF!Y106</f>
        <v>490453687.51155913</v>
      </c>
      <c r="Z8" s="321">
        <f ca="1">+EEFF!Z104+EEFF!Z105+EEFF!Z106</f>
        <v>539837770.61584771</v>
      </c>
    </row>
    <row r="9" spans="4:26" x14ac:dyDescent="0.25">
      <c r="D9" s="310"/>
      <c r="E9" s="76" t="s">
        <v>382</v>
      </c>
      <c r="K9" s="322">
        <f>+EEFF!K116+EEFF!K117</f>
        <v>34327594</v>
      </c>
      <c r="L9" s="322">
        <f>+EEFF!L116+EEFF!L117</f>
        <v>45959381</v>
      </c>
      <c r="M9" s="322">
        <f>+EEFF!M116+EEFF!M117</f>
        <v>49775824.000000007</v>
      </c>
      <c r="N9" s="322">
        <f>+EEFF!N116+EEFF!N117</f>
        <v>60937819</v>
      </c>
      <c r="O9" s="322">
        <f>+EEFF!O116+EEFF!O117</f>
        <v>60536089</v>
      </c>
      <c r="P9" s="322">
        <f>+EEFF!P116+EEFF!P117</f>
        <v>46059544.846769087</v>
      </c>
      <c r="Q9" s="322">
        <f>+EEFF!Q116+EEFF!Q117</f>
        <v>46083075.72104083</v>
      </c>
      <c r="R9" s="322">
        <f>+EEFF!R116+EEFF!R117</f>
        <v>49518756.797567345</v>
      </c>
      <c r="S9" s="322">
        <f>+EEFF!S116+EEFF!S117</f>
        <v>51326055.447589561</v>
      </c>
      <c r="T9" s="322">
        <f>+EEFF!T116+EEFF!T117</f>
        <v>54324264.636786602</v>
      </c>
      <c r="U9" s="322">
        <f>+EEFF!U116+EEFF!U117</f>
        <v>57435090.088003263</v>
      </c>
      <c r="V9" s="322">
        <f>+EEFF!V116+EEFF!V117</f>
        <v>60408631.839138612</v>
      </c>
      <c r="W9" s="322">
        <f>+EEFF!W116+EEFF!W117</f>
        <v>63538185.727797747</v>
      </c>
      <c r="X9" s="322">
        <f>+EEFF!X116+EEFF!X117</f>
        <v>66734076.604410954</v>
      </c>
      <c r="Y9" s="322">
        <f>+EEFF!Y116+EEFF!Y117</f>
        <v>70031870.261329696</v>
      </c>
      <c r="Z9" s="323">
        <f>+EEFF!Z116+EEFF!Z117</f>
        <v>73489625.081439719</v>
      </c>
    </row>
    <row r="10" spans="4:26" x14ac:dyDescent="0.25">
      <c r="E10" s="343" t="s">
        <v>380</v>
      </c>
      <c r="F10" s="314"/>
      <c r="G10" s="314"/>
      <c r="H10" s="314"/>
      <c r="I10" s="314"/>
      <c r="J10" s="314"/>
      <c r="K10" s="324">
        <f>+K8/K9</f>
        <v>1.795527715011622</v>
      </c>
      <c r="L10" s="324">
        <f t="shared" ref="L10:Y10" si="1">+L8/L9</f>
        <v>1.4195825657443037</v>
      </c>
      <c r="M10" s="324">
        <f t="shared" si="1"/>
        <v>1.4586176413674234</v>
      </c>
      <c r="N10" s="324">
        <f t="shared" si="1"/>
        <v>1.4088025697145479</v>
      </c>
      <c r="O10" s="324">
        <f t="shared" si="1"/>
        <v>1.5429786354384407</v>
      </c>
      <c r="P10" s="324">
        <f t="shared" si="1"/>
        <v>2.6619050104175446</v>
      </c>
      <c r="Q10" s="324">
        <f t="shared" ca="1" si="1"/>
        <v>3.4451037530607782</v>
      </c>
      <c r="R10" s="324">
        <f t="shared" ca="1" si="1"/>
        <v>3.8949830527183287</v>
      </c>
      <c r="S10" s="324">
        <f t="shared" ca="1" si="1"/>
        <v>4.4866187764355239</v>
      </c>
      <c r="T10" s="324">
        <f t="shared" ca="1" si="1"/>
        <v>4.9618404811402197</v>
      </c>
      <c r="U10" s="324">
        <f t="shared" ca="1" si="1"/>
        <v>5.3981630685217565</v>
      </c>
      <c r="V10" s="324">
        <f t="shared" ca="1" si="1"/>
        <v>5.8421617104381243</v>
      </c>
      <c r="W10" s="324">
        <f t="shared" ca="1" si="1"/>
        <v>6.248492502303943</v>
      </c>
      <c r="X10" s="324">
        <f t="shared" ca="1" si="1"/>
        <v>6.6349937430190105</v>
      </c>
      <c r="Y10" s="324">
        <f t="shared" ca="1" si="1"/>
        <v>7.0032927248892651</v>
      </c>
      <c r="Z10" s="325">
        <f t="shared" ref="Z10" ca="1" si="2">+Z8/Z9</f>
        <v>7.3457684675572965</v>
      </c>
    </row>
    <row r="11" spans="4:26" x14ac:dyDescent="0.25">
      <c r="E11" s="76"/>
      <c r="Z11" s="75"/>
    </row>
    <row r="12" spans="4:26" x14ac:dyDescent="0.25">
      <c r="E12" s="76" t="s">
        <v>407</v>
      </c>
      <c r="K12" s="322">
        <f>+EEFF!K104+EEFF!K105</f>
        <v>41123114.416666664</v>
      </c>
      <c r="L12" s="322">
        <f>+EEFF!L104+EEFF!L105</f>
        <v>44215894</v>
      </c>
      <c r="M12" s="322">
        <f>+EEFF!M104+EEFF!M105</f>
        <v>49256062.000000007</v>
      </c>
      <c r="N12" s="322">
        <f>+EEFF!N104+EEFF!N105</f>
        <v>63102391.999999993</v>
      </c>
      <c r="O12" s="322">
        <f>+EEFF!O104+EEFF!O105</f>
        <v>71382125</v>
      </c>
      <c r="P12" s="322">
        <f>+EEFF!P104+EEFF!P105</f>
        <v>101546610.90735167</v>
      </c>
      <c r="Q12" s="322">
        <f ca="1">+EEFF!Q104+EEFF!Q105</f>
        <v>136934035.82305562</v>
      </c>
      <c r="R12" s="322">
        <f ca="1">+EEFF!R104+EEFF!R105</f>
        <v>169953479.55264419</v>
      </c>
      <c r="S12" s="322">
        <f ca="1">+EEFF!S104+EEFF!S105</f>
        <v>207116621.9420836</v>
      </c>
      <c r="T12" s="322">
        <f ca="1">+EEFF!T104+EEFF!T105</f>
        <v>245592091.99024183</v>
      </c>
      <c r="U12" s="322">
        <f ca="1">+EEFF!U104+EEFF!U105</f>
        <v>285285108.00097167</v>
      </c>
      <c r="V12" s="322">
        <f ca="1">+EEFF!V104+EEFF!V105</f>
        <v>327458142.9981221</v>
      </c>
      <c r="W12" s="322">
        <f ca="1">+EEFF!W104+EEFF!W105</f>
        <v>370825755.01586121</v>
      </c>
      <c r="X12" s="322">
        <f ca="1">+EEFF!X104+EEFF!X105</f>
        <v>415862190.52764183</v>
      </c>
      <c r="Y12" s="322">
        <f ca="1">+EEFF!Y104+EEFF!Y105</f>
        <v>462801889.07966471</v>
      </c>
      <c r="Z12" s="323">
        <f ca="1">+EEFF!Z104+EEFF!Z105</f>
        <v>511421156.14441168</v>
      </c>
    </row>
    <row r="13" spans="4:26" x14ac:dyDescent="0.25">
      <c r="E13" s="76" t="s">
        <v>382</v>
      </c>
      <c r="K13" s="12">
        <f>+EEFF!K116+EEFF!K117</f>
        <v>34327594</v>
      </c>
      <c r="L13" s="12">
        <f>+EEFF!L116+EEFF!L117</f>
        <v>45959381</v>
      </c>
      <c r="M13" s="12">
        <f>+EEFF!M116+EEFF!M117</f>
        <v>49775824.000000007</v>
      </c>
      <c r="N13" s="12">
        <f>+EEFF!N116+EEFF!N117</f>
        <v>60937819</v>
      </c>
      <c r="O13" s="12">
        <f>+EEFF!O116+EEFF!O117</f>
        <v>60536089</v>
      </c>
      <c r="P13" s="12">
        <f>+EEFF!P116+EEFF!P117</f>
        <v>46059544.846769087</v>
      </c>
      <c r="Q13" s="12">
        <f>+EEFF!Q116+EEFF!Q117</f>
        <v>46083075.72104083</v>
      </c>
      <c r="R13" s="12">
        <f>+EEFF!R116+EEFF!R117</f>
        <v>49518756.797567345</v>
      </c>
      <c r="S13" s="12">
        <f>+EEFF!S116+EEFF!S117</f>
        <v>51326055.447589561</v>
      </c>
      <c r="T13" s="12">
        <f>+EEFF!T116+EEFF!T117</f>
        <v>54324264.636786602</v>
      </c>
      <c r="U13" s="12">
        <f>+EEFF!U116+EEFF!U117</f>
        <v>57435090.088003263</v>
      </c>
      <c r="V13" s="12">
        <f>+EEFF!V116+EEFF!V117</f>
        <v>60408631.839138612</v>
      </c>
      <c r="W13" s="12">
        <f>+EEFF!W116+EEFF!W117</f>
        <v>63538185.727797747</v>
      </c>
      <c r="X13" s="12">
        <f>+EEFF!X116+EEFF!X117</f>
        <v>66734076.604410954</v>
      </c>
      <c r="Y13" s="12">
        <f>+EEFF!Y116+EEFF!Y117</f>
        <v>70031870.261329696</v>
      </c>
      <c r="Z13" s="77">
        <f>+EEFF!Z116+EEFF!Z117</f>
        <v>73489625.081439719</v>
      </c>
    </row>
    <row r="14" spans="4:26" x14ac:dyDescent="0.25">
      <c r="E14" s="343" t="s">
        <v>383</v>
      </c>
      <c r="F14" s="314"/>
      <c r="G14" s="314"/>
      <c r="H14" s="314"/>
      <c r="I14" s="314"/>
      <c r="J14" s="314"/>
      <c r="K14" s="326">
        <f>+K12/K13</f>
        <v>1.1979608712648682</v>
      </c>
      <c r="L14" s="326">
        <f t="shared" ref="L14:Z14" si="3">+L12/L13</f>
        <v>0.96206461092241424</v>
      </c>
      <c r="M14" s="326">
        <f t="shared" si="3"/>
        <v>0.98955794282782739</v>
      </c>
      <c r="N14" s="326">
        <f t="shared" si="3"/>
        <v>1.0355210120007741</v>
      </c>
      <c r="O14" s="326">
        <f t="shared" si="3"/>
        <v>1.1791664473071592</v>
      </c>
      <c r="P14" s="326">
        <f t="shared" si="3"/>
        <v>2.2046811631590582</v>
      </c>
      <c r="Q14" s="326">
        <f t="shared" ca="1" si="3"/>
        <v>2.9714604262087834</v>
      </c>
      <c r="R14" s="326">
        <f t="shared" ca="1" si="3"/>
        <v>3.4321031169545297</v>
      </c>
      <c r="S14" s="326">
        <f t="shared" ca="1" si="3"/>
        <v>4.0353115028209414</v>
      </c>
      <c r="T14" s="326">
        <f t="shared" ca="1" si="3"/>
        <v>4.5208544217262157</v>
      </c>
      <c r="U14" s="326">
        <f t="shared" ca="1" si="3"/>
        <v>4.9670873252545054</v>
      </c>
      <c r="V14" s="326">
        <f t="shared" ca="1" si="3"/>
        <v>5.4207177522263086</v>
      </c>
      <c r="W14" s="326">
        <f t="shared" ca="1" si="3"/>
        <v>5.8362660307064163</v>
      </c>
      <c r="X14" s="326">
        <f t="shared" ca="1" si="3"/>
        <v>6.2316317492906528</v>
      </c>
      <c r="Y14" s="326">
        <f t="shared" ca="1" si="3"/>
        <v>6.6084468021870801</v>
      </c>
      <c r="Z14" s="327">
        <f t="shared" ca="1" si="3"/>
        <v>6.9590932812307189</v>
      </c>
    </row>
    <row r="15" spans="4:26" x14ac:dyDescent="0.25">
      <c r="E15" s="76"/>
      <c r="Z15" s="75"/>
    </row>
    <row r="16" spans="4:26" x14ac:dyDescent="0.25">
      <c r="E16" s="76" t="s">
        <v>385</v>
      </c>
      <c r="K16" s="322">
        <f>+EEFF!K104</f>
        <v>850656.41666666605</v>
      </c>
      <c r="L16" s="322">
        <f>+EEFF!L104</f>
        <v>3348761</v>
      </c>
      <c r="M16" s="322">
        <f>+EEFF!M104</f>
        <v>1244193</v>
      </c>
      <c r="N16" s="322">
        <f>+EEFF!N104</f>
        <v>3672340</v>
      </c>
      <c r="O16" s="322">
        <f>+EEFF!O104</f>
        <v>1111245</v>
      </c>
      <c r="P16" s="322">
        <f>+EEFF!P104</f>
        <v>25107652.53209167</v>
      </c>
      <c r="Q16" s="322">
        <f ca="1">+EEFF!Q104</f>
        <v>64444942.588473298</v>
      </c>
      <c r="R16" s="322">
        <f ca="1">+EEFF!R104</f>
        <v>94607288.080634952</v>
      </c>
      <c r="S16" s="322">
        <f ca="1">+EEFF!S104</f>
        <v>130432966.70001975</v>
      </c>
      <c r="T16" s="322">
        <f ca="1">+EEFF!T104</f>
        <v>166388188.708233</v>
      </c>
      <c r="U16" s="322">
        <f ca="1">+EEFF!U104</f>
        <v>203549731.91028529</v>
      </c>
      <c r="V16" s="322">
        <f ca="1">+EEFF!V104</f>
        <v>243291806.50994515</v>
      </c>
      <c r="W16" s="322">
        <f ca="1">+EEFF!W104</f>
        <v>284274614.58383441</v>
      </c>
      <c r="X16" s="322">
        <f ca="1">+EEFF!X104</f>
        <v>326927845.49253881</v>
      </c>
      <c r="Y16" s="322">
        <f ca="1">+EEFF!Y104</f>
        <v>371418717.38091218</v>
      </c>
      <c r="Z16" s="323">
        <f ca="1">+EEFF!Z104</f>
        <v>417521728.8036297</v>
      </c>
    </row>
    <row r="17" spans="5:26" x14ac:dyDescent="0.25">
      <c r="E17" s="76" t="s">
        <v>382</v>
      </c>
      <c r="K17" s="12">
        <f>+EEFF!K116+EEFF!K117</f>
        <v>34327594</v>
      </c>
      <c r="L17" s="12">
        <f>+EEFF!L116+EEFF!L117</f>
        <v>45959381</v>
      </c>
      <c r="M17" s="12">
        <f>+EEFF!M116+EEFF!M117</f>
        <v>49775824.000000007</v>
      </c>
      <c r="N17" s="12">
        <f>+EEFF!N116+EEFF!N117</f>
        <v>60937819</v>
      </c>
      <c r="O17" s="12">
        <f>+EEFF!O116+EEFF!O117</f>
        <v>60536089</v>
      </c>
      <c r="P17" s="12">
        <f>+EEFF!P116+EEFF!P117</f>
        <v>46059544.846769087</v>
      </c>
      <c r="Q17" s="12">
        <f>+EEFF!Q116+EEFF!Q117</f>
        <v>46083075.72104083</v>
      </c>
      <c r="R17" s="12">
        <f>+EEFF!R116+EEFF!R117</f>
        <v>49518756.797567345</v>
      </c>
      <c r="S17" s="12">
        <f>+EEFF!S116+EEFF!S117</f>
        <v>51326055.447589561</v>
      </c>
      <c r="T17" s="12">
        <f>+EEFF!T116+EEFF!T117</f>
        <v>54324264.636786602</v>
      </c>
      <c r="U17" s="12">
        <f>+EEFF!U116+EEFF!U117</f>
        <v>57435090.088003263</v>
      </c>
      <c r="V17" s="12">
        <f>+EEFF!V116+EEFF!V117</f>
        <v>60408631.839138612</v>
      </c>
      <c r="W17" s="12">
        <f>+EEFF!W116+EEFF!W117</f>
        <v>63538185.727797747</v>
      </c>
      <c r="X17" s="12">
        <f>+EEFF!X116+EEFF!X117</f>
        <v>66734076.604410954</v>
      </c>
      <c r="Y17" s="12">
        <f>+EEFF!Y116+EEFF!Y117</f>
        <v>70031870.261329696</v>
      </c>
      <c r="Z17" s="77">
        <f>+EEFF!Z116+EEFF!Z117</f>
        <v>73489625.081439719</v>
      </c>
    </row>
    <row r="18" spans="5:26" x14ac:dyDescent="0.25">
      <c r="E18" s="343" t="s">
        <v>384</v>
      </c>
      <c r="K18" s="326">
        <f>+K16/K17</f>
        <v>2.4780542926098055E-2</v>
      </c>
      <c r="L18" s="326">
        <f t="shared" ref="L18:Z18" si="4">+L16/L17</f>
        <v>7.2863492221533613E-2</v>
      </c>
      <c r="M18" s="326">
        <f t="shared" si="4"/>
        <v>2.4995929750957008E-2</v>
      </c>
      <c r="N18" s="326">
        <f t="shared" si="4"/>
        <v>6.0263725552763873E-2</v>
      </c>
      <c r="O18" s="326">
        <f t="shared" si="4"/>
        <v>1.8356735929868216E-2</v>
      </c>
      <c r="P18" s="326">
        <f t="shared" si="4"/>
        <v>0.54511291016052843</v>
      </c>
      <c r="Q18" s="326">
        <f t="shared" ca="1" si="4"/>
        <v>1.3984514180126375</v>
      </c>
      <c r="R18" s="326">
        <f t="shared" ca="1" si="4"/>
        <v>1.9105343954289786</v>
      </c>
      <c r="S18" s="326">
        <f t="shared" ca="1" si="4"/>
        <v>2.5412622412257733</v>
      </c>
      <c r="T18" s="326">
        <f t="shared" ca="1" si="4"/>
        <v>3.0628705205806024</v>
      </c>
      <c r="U18" s="326">
        <f t="shared" ca="1" si="4"/>
        <v>3.5439960414165292</v>
      </c>
      <c r="V18" s="326">
        <f t="shared" ca="1" si="4"/>
        <v>4.0274344758842391</v>
      </c>
      <c r="W18" s="326">
        <f t="shared" ca="1" si="4"/>
        <v>4.4740750987396423</v>
      </c>
      <c r="X18" s="326">
        <f t="shared" ca="1" si="4"/>
        <v>4.8989640994137877</v>
      </c>
      <c r="Y18" s="326">
        <f t="shared" ca="1" si="4"/>
        <v>5.3035670187720623</v>
      </c>
      <c r="Z18" s="327">
        <f t="shared" ca="1" si="4"/>
        <v>5.6813696945785281</v>
      </c>
    </row>
    <row r="19" spans="5:26" x14ac:dyDescent="0.25">
      <c r="E19" s="74"/>
      <c r="P19" s="302"/>
      <c r="Z19" s="75"/>
    </row>
    <row r="20" spans="5:26" x14ac:dyDescent="0.25">
      <c r="E20" s="336" t="s">
        <v>386</v>
      </c>
      <c r="F20" s="337"/>
      <c r="G20" s="337"/>
      <c r="H20" s="337"/>
      <c r="I20" s="337"/>
      <c r="J20" s="337"/>
      <c r="K20" s="337"/>
      <c r="L20" s="337"/>
      <c r="M20" s="337"/>
      <c r="N20" s="337"/>
      <c r="O20" s="337"/>
      <c r="P20" s="338"/>
      <c r="Q20" s="337"/>
      <c r="R20" s="337"/>
      <c r="S20" s="337"/>
      <c r="T20" s="337"/>
      <c r="U20" s="337"/>
      <c r="V20" s="337"/>
      <c r="W20" s="337"/>
      <c r="X20" s="337"/>
      <c r="Y20" s="337"/>
      <c r="Z20" s="339"/>
    </row>
    <row r="21" spans="5:26" x14ac:dyDescent="0.25">
      <c r="E21" s="76"/>
      <c r="Z21" s="75"/>
    </row>
    <row r="22" spans="5:26" x14ac:dyDescent="0.25">
      <c r="E22" s="76" t="s">
        <v>388</v>
      </c>
      <c r="K22" s="322">
        <f>+EEFF!K54</f>
        <v>16497054</v>
      </c>
      <c r="L22" s="322">
        <f>+EEFF!L54</f>
        <v>27837256</v>
      </c>
      <c r="M22" s="322">
        <f>+EEFF!M54</f>
        <v>40352562</v>
      </c>
      <c r="N22" s="322">
        <f>+EEFF!N54</f>
        <v>50729739</v>
      </c>
      <c r="O22" s="322">
        <f>+EEFF!O54</f>
        <v>30720845</v>
      </c>
      <c r="P22" s="322">
        <f>+EEFF!P54</f>
        <v>31136152.897597052</v>
      </c>
      <c r="Q22" s="322">
        <f ca="1">+EEFF!Q54</f>
        <v>37914427.501661018</v>
      </c>
      <c r="R22" s="322">
        <f ca="1">+EEFF!R54</f>
        <v>36784747.607404582</v>
      </c>
      <c r="S22" s="322">
        <f ca="1">+EEFF!S54</f>
        <v>39117583.019623786</v>
      </c>
      <c r="T22" s="322">
        <f ca="1">+EEFF!T54</f>
        <v>40366071.811717555</v>
      </c>
      <c r="U22" s="322">
        <f ca="1">+EEFF!U54</f>
        <v>41509044.951378584</v>
      </c>
      <c r="V22" s="322">
        <f ca="1">+EEFF!V54</f>
        <v>43473917.913114578</v>
      </c>
      <c r="W22" s="322">
        <f ca="1">+EEFF!W54</f>
        <v>44810501.333589114</v>
      </c>
      <c r="X22" s="322">
        <f ca="1">+EEFF!X54</f>
        <v>46324044.511299476</v>
      </c>
      <c r="Y22" s="322">
        <f ca="1">+EEFF!Y54</f>
        <v>48036829.549975887</v>
      </c>
      <c r="Z22" s="323">
        <f ca="1">+EEFF!Z54</f>
        <v>49649151.326594234</v>
      </c>
    </row>
    <row r="23" spans="5:26" x14ac:dyDescent="0.25">
      <c r="E23" s="76" t="s">
        <v>97</v>
      </c>
      <c r="K23" s="12">
        <f>+EEFF!K128</f>
        <v>211058574</v>
      </c>
      <c r="L23" s="12">
        <f>+EEFF!L128</f>
        <v>227347894</v>
      </c>
      <c r="M23" s="12">
        <f>+EEFF!M128</f>
        <v>247557374</v>
      </c>
      <c r="N23" s="12">
        <f>+EEFF!N128</f>
        <v>230577068</v>
      </c>
      <c r="O23" s="12">
        <f>+EEFF!O128</f>
        <v>262882809</v>
      </c>
      <c r="P23" s="12">
        <f>+EEFF!P128</f>
        <v>272514095.00800705</v>
      </c>
      <c r="Q23" s="12">
        <f ca="1">+EEFF!Q128</f>
        <v>310428522.50966811</v>
      </c>
      <c r="R23" s="12">
        <f ca="1">+EEFF!R128</f>
        <v>347213270.1170727</v>
      </c>
      <c r="S23" s="12">
        <f ca="1">+EEFF!S128</f>
        <v>386330853.13669646</v>
      </c>
      <c r="T23" s="12">
        <f ca="1">+EEFF!T128</f>
        <v>426696924.94841397</v>
      </c>
      <c r="U23" s="12">
        <f ca="1">+EEFF!U128</f>
        <v>468205969.89979255</v>
      </c>
      <c r="V23" s="12">
        <f ca="1">+EEFF!V128</f>
        <v>511679887.81290716</v>
      </c>
      <c r="W23" s="12">
        <f ca="1">+EEFF!W128</f>
        <v>556490389.1464963</v>
      </c>
      <c r="X23" s="12">
        <f ca="1">+EEFF!X128</f>
        <v>602814433.65779567</v>
      </c>
      <c r="Y23" s="12">
        <f ca="1">+EEFF!Y128</f>
        <v>650851263.20777166</v>
      </c>
      <c r="Z23" s="77">
        <f ca="1">+EEFF!Z128</f>
        <v>700500414.53436589</v>
      </c>
    </row>
    <row r="24" spans="5:26" x14ac:dyDescent="0.25">
      <c r="E24" s="343" t="s">
        <v>387</v>
      </c>
      <c r="K24" s="326">
        <f>+K22/K23</f>
        <v>7.8163391741668836E-2</v>
      </c>
      <c r="L24" s="326">
        <f t="shared" ref="L24:Z24" si="5">+L22/L23</f>
        <v>0.12244343024351921</v>
      </c>
      <c r="M24" s="326">
        <f t="shared" si="5"/>
        <v>0.1630028681755204</v>
      </c>
      <c r="N24" s="326">
        <f t="shared" si="5"/>
        <v>0.22001207422760705</v>
      </c>
      <c r="O24" s="326">
        <f t="shared" si="5"/>
        <v>0.11686136920425252</v>
      </c>
      <c r="P24" s="326">
        <f t="shared" si="5"/>
        <v>0.11425520172335381</v>
      </c>
      <c r="Q24" s="326">
        <f t="shared" ca="1" si="5"/>
        <v>0.12213577281862106</v>
      </c>
      <c r="R24" s="326">
        <f t="shared" ca="1" si="5"/>
        <v>0.10594280453336813</v>
      </c>
      <c r="S24" s="326">
        <f t="shared" ca="1" si="5"/>
        <v>0.1012541004737789</v>
      </c>
      <c r="T24" s="326">
        <f t="shared" ca="1" si="5"/>
        <v>9.4601271890107155E-2</v>
      </c>
      <c r="U24" s="326">
        <f t="shared" ca="1" si="5"/>
        <v>8.8655522611688464E-2</v>
      </c>
      <c r="V24" s="326">
        <f t="shared" ca="1" si="5"/>
        <v>8.4963116488585858E-2</v>
      </c>
      <c r="W24" s="326">
        <f t="shared" ca="1" si="5"/>
        <v>8.0523405628471212E-2</v>
      </c>
      <c r="X24" s="326">
        <f t="shared" ca="1" si="5"/>
        <v>7.6846276274792388E-2</v>
      </c>
      <c r="Y24" s="326">
        <f t="shared" ca="1" si="5"/>
        <v>7.3806155515812613E-2</v>
      </c>
      <c r="Z24" s="327">
        <f t="shared" ca="1" si="5"/>
        <v>7.0876690857630459E-2</v>
      </c>
    </row>
    <row r="25" spans="5:26" x14ac:dyDescent="0.25">
      <c r="E25" s="76"/>
      <c r="Z25" s="75"/>
    </row>
    <row r="26" spans="5:26" x14ac:dyDescent="0.25">
      <c r="E26" s="76" t="s">
        <v>388</v>
      </c>
      <c r="K26" s="322">
        <f>+EEFF!K54</f>
        <v>16497054</v>
      </c>
      <c r="L26" s="322">
        <f>+EEFF!L54</f>
        <v>27837256</v>
      </c>
      <c r="M26" s="322">
        <f>+EEFF!M54</f>
        <v>40352562</v>
      </c>
      <c r="N26" s="322">
        <f>+EEFF!N54</f>
        <v>50729739</v>
      </c>
      <c r="O26" s="322">
        <f>+EEFF!O54</f>
        <v>30720845</v>
      </c>
      <c r="P26" s="322">
        <f>+EEFF!P54</f>
        <v>31136152.897597052</v>
      </c>
      <c r="Q26" s="322">
        <f ca="1">+EEFF!Q54</f>
        <v>37914427.501661018</v>
      </c>
      <c r="R26" s="322">
        <f ca="1">+EEFF!R54</f>
        <v>36784747.607404582</v>
      </c>
      <c r="S26" s="322">
        <f ca="1">+EEFF!S54</f>
        <v>39117583.019623786</v>
      </c>
      <c r="T26" s="322">
        <f ca="1">+EEFF!T54</f>
        <v>40366071.811717555</v>
      </c>
      <c r="U26" s="322">
        <f ca="1">+EEFF!U54</f>
        <v>41509044.951378584</v>
      </c>
      <c r="V26" s="322">
        <f ca="1">+EEFF!V54</f>
        <v>43473917.913114578</v>
      </c>
      <c r="W26" s="322">
        <f ca="1">+EEFF!W54</f>
        <v>44810501.333589114</v>
      </c>
      <c r="X26" s="322">
        <f ca="1">+EEFF!X54</f>
        <v>46324044.511299476</v>
      </c>
      <c r="Y26" s="322">
        <f ca="1">+EEFF!Y54</f>
        <v>48036829.549975887</v>
      </c>
      <c r="Z26" s="323">
        <f ca="1">+EEFF!Z54</f>
        <v>49649151.326594234</v>
      </c>
    </row>
    <row r="27" spans="5:26" x14ac:dyDescent="0.25">
      <c r="E27" s="76" t="s">
        <v>97</v>
      </c>
      <c r="K27" s="12">
        <f>+EEFF!K111</f>
        <v>483192316.41666663</v>
      </c>
      <c r="L27" s="12">
        <f>+EEFF!L111</f>
        <v>507044366</v>
      </c>
      <c r="M27" s="12">
        <f>+EEFF!M111</f>
        <v>520950888</v>
      </c>
      <c r="N27" s="12">
        <f>+EEFF!N111</f>
        <v>562522631</v>
      </c>
      <c r="O27" s="12">
        <f>+EEFF!O111</f>
        <v>595948210</v>
      </c>
      <c r="P27" s="12">
        <f>+EEFF!P111</f>
        <v>636654720.54869604</v>
      </c>
      <c r="Q27" s="12">
        <f ca="1">+EEFF!Q111</f>
        <v>678242519.09604788</v>
      </c>
      <c r="R27" s="12">
        <f ca="1">+EEFF!R111</f>
        <v>717854658.60614872</v>
      </c>
      <c r="S27" s="12">
        <f ca="1">+EEFF!S111</f>
        <v>760035682.42083597</v>
      </c>
      <c r="T27" s="12">
        <f ca="1">+EEFF!T111</f>
        <v>804072226.61749327</v>
      </c>
      <c r="U27" s="12">
        <f ca="1">+EEFF!U111</f>
        <v>849307544.09529054</v>
      </c>
      <c r="V27" s="12">
        <f ca="1">+EEFF!V111</f>
        <v>896813012.27739823</v>
      </c>
      <c r="W27" s="12">
        <f ca="1">+EEFF!W111</f>
        <v>945472766.26451743</v>
      </c>
      <c r="X27" s="12">
        <f ca="1">+EEFF!X111</f>
        <v>995807686.44042826</v>
      </c>
      <c r="Y27" s="12">
        <f ca="1">+EEFF!Y111</f>
        <v>1048064578.5143026</v>
      </c>
      <c r="Z27" s="77">
        <f ca="1">+EEFF!Z111</f>
        <v>1102039657.9253397</v>
      </c>
    </row>
    <row r="28" spans="5:26" x14ac:dyDescent="0.25">
      <c r="E28" s="343" t="s">
        <v>389</v>
      </c>
      <c r="K28" s="326">
        <f>+K26/K27</f>
        <v>3.4141797043341748E-2</v>
      </c>
      <c r="L28" s="326">
        <f t="shared" ref="L28:Z28" si="6">+L26/L27</f>
        <v>5.4901026155963636E-2</v>
      </c>
      <c r="M28" s="326">
        <f t="shared" si="6"/>
        <v>7.7459436061082215E-2</v>
      </c>
      <c r="N28" s="326">
        <f t="shared" si="6"/>
        <v>9.0182574361172677E-2</v>
      </c>
      <c r="O28" s="326">
        <f t="shared" si="6"/>
        <v>5.1549521392135735E-2</v>
      </c>
      <c r="P28" s="326">
        <f t="shared" si="6"/>
        <v>4.89058698422319E-2</v>
      </c>
      <c r="Q28" s="326">
        <f t="shared" ca="1" si="6"/>
        <v>5.5900988856011025E-2</v>
      </c>
      <c r="R28" s="326">
        <f t="shared" ca="1" si="6"/>
        <v>5.1242611810626351E-2</v>
      </c>
      <c r="S28" s="326">
        <f t="shared" ca="1" si="6"/>
        <v>5.1468087517980717E-2</v>
      </c>
      <c r="T28" s="326">
        <f t="shared" ca="1" si="6"/>
        <v>5.0202047123958399E-2</v>
      </c>
      <c r="U28" s="326">
        <f t="shared" ca="1" si="6"/>
        <v>4.8873985919429624E-2</v>
      </c>
      <c r="V28" s="326">
        <f t="shared" ca="1" si="6"/>
        <v>4.8476011518516438E-2</v>
      </c>
      <c r="W28" s="326">
        <f t="shared" ca="1" si="6"/>
        <v>4.7394809171110872E-2</v>
      </c>
      <c r="X28" s="326">
        <f t="shared" ca="1" si="6"/>
        <v>4.6519067026774448E-2</v>
      </c>
      <c r="Y28" s="326">
        <f t="shared" ca="1" si="6"/>
        <v>4.5833845103391543E-2</v>
      </c>
      <c r="Z28" s="327">
        <f t="shared" ca="1" si="6"/>
        <v>4.5052055041342111E-2</v>
      </c>
    </row>
    <row r="29" spans="5:26" x14ac:dyDescent="0.25">
      <c r="E29" s="76"/>
      <c r="Z29" s="75"/>
    </row>
    <row r="30" spans="5:26" x14ac:dyDescent="0.25">
      <c r="E30" s="76" t="s">
        <v>388</v>
      </c>
      <c r="K30" s="322">
        <f>+EEFF!K54</f>
        <v>16497054</v>
      </c>
      <c r="L30" s="322">
        <f>+EEFF!L54</f>
        <v>27837256</v>
      </c>
      <c r="M30" s="322">
        <f>+EEFF!M54</f>
        <v>40352562</v>
      </c>
      <c r="N30" s="322">
        <f>+EEFF!N54</f>
        <v>50729739</v>
      </c>
      <c r="O30" s="322">
        <f>+EEFF!O54</f>
        <v>30720845</v>
      </c>
      <c r="P30" s="322">
        <f>+EEFF!P54</f>
        <v>31136152.897597052</v>
      </c>
      <c r="Q30" s="322">
        <f ca="1">+EEFF!Q54</f>
        <v>37914427.501661018</v>
      </c>
      <c r="R30" s="322">
        <f ca="1">+EEFF!R54</f>
        <v>36784747.607404582</v>
      </c>
      <c r="S30" s="322">
        <f ca="1">+EEFF!S54</f>
        <v>39117583.019623786</v>
      </c>
      <c r="T30" s="322">
        <f ca="1">+EEFF!T54</f>
        <v>40366071.811717555</v>
      </c>
      <c r="U30" s="322">
        <f ca="1">+EEFF!U54</f>
        <v>41509044.951378584</v>
      </c>
      <c r="V30" s="322">
        <f ca="1">+EEFF!V54</f>
        <v>43473917.913114578</v>
      </c>
      <c r="W30" s="322">
        <f ca="1">+EEFF!W54</f>
        <v>44810501.333589114</v>
      </c>
      <c r="X30" s="322">
        <f ca="1">+EEFF!X54</f>
        <v>46324044.511299476</v>
      </c>
      <c r="Y30" s="322">
        <f ca="1">+EEFF!Y54</f>
        <v>48036829.549975887</v>
      </c>
      <c r="Z30" s="323">
        <f ca="1">+EEFF!Z54</f>
        <v>49649151.326594234</v>
      </c>
    </row>
    <row r="31" spans="5:26" x14ac:dyDescent="0.25">
      <c r="E31" s="76" t="s">
        <v>391</v>
      </c>
      <c r="K31" s="12">
        <f>+EEFF!K39</f>
        <v>358534549</v>
      </c>
      <c r="L31" s="12">
        <f>+EEFF!L39</f>
        <v>383784560</v>
      </c>
      <c r="M31" s="12">
        <f>+EEFF!M39</f>
        <v>437691547</v>
      </c>
      <c r="N31" s="12">
        <f>+EEFF!N39</f>
        <v>530191512</v>
      </c>
      <c r="O31" s="12">
        <f>+EEFF!O39</f>
        <v>554729657</v>
      </c>
      <c r="P31" s="12">
        <f>+EEFF!P39</f>
        <v>579869129.94618535</v>
      </c>
      <c r="Q31" s="12">
        <f>+EEFF!Q39</f>
        <v>586815853.55903232</v>
      </c>
      <c r="R31" s="12">
        <f>+EEFF!R39</f>
        <v>609944719.79373682</v>
      </c>
      <c r="S31" s="12">
        <f>+EEFF!S39</f>
        <v>620771796.10008574</v>
      </c>
      <c r="T31" s="12">
        <f>+EEFF!T39</f>
        <v>641173782.64383876</v>
      </c>
      <c r="U31" s="12">
        <f>+EEFF!U39</f>
        <v>661666636.26773965</v>
      </c>
      <c r="V31" s="12">
        <f>+EEFF!V39</f>
        <v>681345818.84497547</v>
      </c>
      <c r="W31" s="12">
        <f>+EEFF!W39</f>
        <v>700651354.33225882</v>
      </c>
      <c r="X31" s="12">
        <f>+EEFF!X39</f>
        <v>719943942.78876317</v>
      </c>
      <c r="Y31" s="12">
        <f>+EEFF!Y39</f>
        <v>739767756.89273202</v>
      </c>
      <c r="Z31" s="77">
        <f>+EEFF!Z39</f>
        <v>760137424.05868578</v>
      </c>
    </row>
    <row r="32" spans="5:26" x14ac:dyDescent="0.25">
      <c r="E32" s="343" t="s">
        <v>390</v>
      </c>
      <c r="K32" s="344">
        <f>+K30/K31</f>
        <v>4.601245276365263E-2</v>
      </c>
      <c r="L32" s="344">
        <f t="shared" ref="L32:Z32" si="7">+L30/L31</f>
        <v>7.2533548509611745E-2</v>
      </c>
      <c r="M32" s="344">
        <f t="shared" si="7"/>
        <v>9.2194062865920509E-2</v>
      </c>
      <c r="N32" s="344">
        <f t="shared" si="7"/>
        <v>9.5681914651247757E-2</v>
      </c>
      <c r="O32" s="344">
        <f t="shared" si="7"/>
        <v>5.5379849648096245E-2</v>
      </c>
      <c r="P32" s="344">
        <f t="shared" si="7"/>
        <v>5.3695137902041168E-2</v>
      </c>
      <c r="Q32" s="344">
        <f t="shared" ca="1" si="7"/>
        <v>6.461043489488294E-2</v>
      </c>
      <c r="R32" s="344">
        <f t="shared" ca="1" si="7"/>
        <v>6.030833026941191E-2</v>
      </c>
      <c r="S32" s="344">
        <f t="shared" ca="1" si="7"/>
        <v>6.3014433428475125E-2</v>
      </c>
      <c r="T32" s="344">
        <f t="shared" ca="1" si="7"/>
        <v>6.2956522715683513E-2</v>
      </c>
      <c r="U32" s="344">
        <f t="shared" ca="1" si="7"/>
        <v>6.2734075856565E-2</v>
      </c>
      <c r="V32" s="344">
        <f t="shared" ca="1" si="7"/>
        <v>6.3805950973342754E-2</v>
      </c>
      <c r="W32" s="344">
        <f t="shared" ca="1" si="7"/>
        <v>6.3955490925004813E-2</v>
      </c>
      <c r="X32" s="344">
        <f t="shared" ca="1" si="7"/>
        <v>6.4343960353162227E-2</v>
      </c>
      <c r="Y32" s="344">
        <f t="shared" ca="1" si="7"/>
        <v>6.4935013864008309E-2</v>
      </c>
      <c r="Z32" s="345">
        <f t="shared" ca="1" si="7"/>
        <v>6.5316020176321585E-2</v>
      </c>
    </row>
    <row r="33" spans="4:26" x14ac:dyDescent="0.25">
      <c r="E33" s="76"/>
      <c r="Z33" s="75"/>
    </row>
    <row r="34" spans="4:26" x14ac:dyDescent="0.25">
      <c r="E34" s="76" t="s">
        <v>393</v>
      </c>
      <c r="K34" s="322">
        <f>+EEFF!K44</f>
        <v>41789458</v>
      </c>
      <c r="L34" s="322">
        <f>+EEFF!L44</f>
        <v>51676585</v>
      </c>
      <c r="M34" s="322">
        <f>+EEFF!M44</f>
        <v>70331829</v>
      </c>
      <c r="N34" s="322">
        <f>+EEFF!N44</f>
        <v>97501818</v>
      </c>
      <c r="O34" s="322">
        <f>+EEFF!O44</f>
        <v>73926522</v>
      </c>
      <c r="P34" s="322">
        <f>+EEFF!P44</f>
        <v>79833684.217843577</v>
      </c>
      <c r="Q34" s="322">
        <f>+EEFF!Q44</f>
        <v>83832683.000147939</v>
      </c>
      <c r="R34" s="322">
        <f>+EEFF!R44</f>
        <v>82106575.724693596</v>
      </c>
      <c r="S34" s="322">
        <f>+EEFF!S44</f>
        <v>85706756.861572117</v>
      </c>
      <c r="T34" s="322">
        <f>+EEFF!T44</f>
        <v>87638454.756121159</v>
      </c>
      <c r="U34" s="322">
        <f>+EEFF!U44</f>
        <v>89408036.869115502</v>
      </c>
      <c r="V34" s="322">
        <f>+EEFF!V44</f>
        <v>92442232.219856799</v>
      </c>
      <c r="W34" s="322">
        <f>+EEFF!W44</f>
        <v>94509376.559901938</v>
      </c>
      <c r="X34" s="322">
        <f>+EEFF!X44</f>
        <v>96848105.076341808</v>
      </c>
      <c r="Y34" s="322">
        <f>+EEFF!Y44</f>
        <v>99493665.549251392</v>
      </c>
      <c r="Z34" s="323">
        <f>+EEFF!Z44</f>
        <v>101984982.35447386</v>
      </c>
    </row>
    <row r="35" spans="4:26" x14ac:dyDescent="0.25">
      <c r="E35" s="76" t="s">
        <v>391</v>
      </c>
      <c r="K35" s="12">
        <f>+EEFF!K39</f>
        <v>358534549</v>
      </c>
      <c r="L35" s="12">
        <f>+EEFF!L39</f>
        <v>383784560</v>
      </c>
      <c r="M35" s="12">
        <f>+EEFF!M39</f>
        <v>437691547</v>
      </c>
      <c r="N35" s="12">
        <f>+EEFF!N39</f>
        <v>530191512</v>
      </c>
      <c r="O35" s="12">
        <f>+EEFF!O39</f>
        <v>554729657</v>
      </c>
      <c r="P35" s="12">
        <f>+EEFF!P39</f>
        <v>579869129.94618535</v>
      </c>
      <c r="Q35" s="12">
        <f>+EEFF!Q39</f>
        <v>586815853.55903232</v>
      </c>
      <c r="R35" s="12">
        <f>+EEFF!R39</f>
        <v>609944719.79373682</v>
      </c>
      <c r="S35" s="12">
        <f>+EEFF!S39</f>
        <v>620771796.10008574</v>
      </c>
      <c r="T35" s="12">
        <f>+EEFF!T39</f>
        <v>641173782.64383876</v>
      </c>
      <c r="U35" s="12">
        <f>+EEFF!U39</f>
        <v>661666636.26773965</v>
      </c>
      <c r="V35" s="12">
        <f>+EEFF!V39</f>
        <v>681345818.84497547</v>
      </c>
      <c r="W35" s="12">
        <f>+EEFF!W39</f>
        <v>700651354.33225882</v>
      </c>
      <c r="X35" s="12">
        <f>+EEFF!X39</f>
        <v>719943942.78876317</v>
      </c>
      <c r="Y35" s="12">
        <f>+EEFF!Y39</f>
        <v>739767756.89273202</v>
      </c>
      <c r="Z35" s="77">
        <f>+EEFF!Z39</f>
        <v>760137424.05868578</v>
      </c>
    </row>
    <row r="36" spans="4:26" x14ac:dyDescent="0.25">
      <c r="E36" s="343" t="s">
        <v>392</v>
      </c>
      <c r="K36" s="344">
        <f>+K34/K35</f>
        <v>0.11655629315656271</v>
      </c>
      <c r="L36" s="326">
        <f t="shared" ref="L36:Z36" si="8">+L34/L35</f>
        <v>0.1346499843558063</v>
      </c>
      <c r="M36" s="326">
        <f t="shared" si="8"/>
        <v>0.16068811354037871</v>
      </c>
      <c r="N36" s="326">
        <f t="shared" si="8"/>
        <v>0.18389924356239035</v>
      </c>
      <c r="O36" s="326">
        <f t="shared" si="8"/>
        <v>0.13326585493877785</v>
      </c>
      <c r="P36" s="326">
        <f t="shared" si="8"/>
        <v>0.13767534792764796</v>
      </c>
      <c r="Q36" s="326">
        <f t="shared" si="8"/>
        <v>0.14286028997291664</v>
      </c>
      <c r="R36" s="326">
        <f t="shared" si="8"/>
        <v>0.13461314289671911</v>
      </c>
      <c r="S36" s="326">
        <f t="shared" si="8"/>
        <v>0.13806483703031153</v>
      </c>
      <c r="T36" s="326">
        <f t="shared" si="8"/>
        <v>0.1366844015280064</v>
      </c>
      <c r="U36" s="326">
        <f t="shared" si="8"/>
        <v>0.13512550273569643</v>
      </c>
      <c r="V36" s="326">
        <f t="shared" si="8"/>
        <v>0.13567593674613845</v>
      </c>
      <c r="W36" s="326">
        <f t="shared" si="8"/>
        <v>0.1348878810774185</v>
      </c>
      <c r="X36" s="326">
        <f t="shared" si="8"/>
        <v>0.1345217305408426</v>
      </c>
      <c r="Y36" s="326">
        <f t="shared" si="8"/>
        <v>0.13449310898214531</v>
      </c>
      <c r="Z36" s="327">
        <f t="shared" si="8"/>
        <v>0.13416650611666264</v>
      </c>
    </row>
    <row r="37" spans="4:26" x14ac:dyDescent="0.25">
      <c r="E37" s="74"/>
      <c r="P37" s="302"/>
      <c r="Z37" s="75"/>
    </row>
    <row r="38" spans="4:26" x14ac:dyDescent="0.25">
      <c r="E38" s="336" t="s">
        <v>394</v>
      </c>
      <c r="F38" s="337"/>
      <c r="G38" s="337"/>
      <c r="H38" s="337"/>
      <c r="I38" s="337"/>
      <c r="J38" s="337"/>
      <c r="K38" s="337"/>
      <c r="L38" s="337"/>
      <c r="M38" s="337"/>
      <c r="N38" s="337"/>
      <c r="O38" s="337"/>
      <c r="P38" s="338"/>
      <c r="Q38" s="337"/>
      <c r="R38" s="337"/>
      <c r="S38" s="337"/>
      <c r="T38" s="337"/>
      <c r="U38" s="337"/>
      <c r="V38" s="337"/>
      <c r="W38" s="337"/>
      <c r="X38" s="337"/>
      <c r="Y38" s="337"/>
      <c r="Z38" s="339"/>
    </row>
    <row r="39" spans="4:26" s="280" customFormat="1" x14ac:dyDescent="0.25">
      <c r="E39" s="340"/>
      <c r="F39" s="275"/>
      <c r="G39" s="275"/>
      <c r="H39" s="275"/>
      <c r="I39" s="275"/>
      <c r="J39" s="275"/>
      <c r="K39" s="275"/>
      <c r="L39" s="275"/>
      <c r="M39" s="275"/>
      <c r="N39" s="275"/>
      <c r="O39" s="275"/>
      <c r="P39" s="341"/>
      <c r="Q39" s="275"/>
      <c r="R39" s="275"/>
      <c r="S39" s="275"/>
      <c r="T39" s="275"/>
      <c r="U39" s="275"/>
      <c r="V39" s="275"/>
      <c r="W39" s="275"/>
      <c r="X39" s="275"/>
      <c r="Y39" s="275"/>
      <c r="Z39" s="342"/>
    </row>
    <row r="40" spans="4:26" x14ac:dyDescent="0.25">
      <c r="D40" s="309"/>
      <c r="E40" s="76" t="s">
        <v>163</v>
      </c>
      <c r="K40" s="311">
        <f>+EEFF!K40</f>
        <v>286121460</v>
      </c>
      <c r="L40" s="311">
        <f>+EEFF!L40</f>
        <v>298805621</v>
      </c>
      <c r="M40" s="311">
        <f>+EEFF!M40</f>
        <v>328602148</v>
      </c>
      <c r="N40" s="311">
        <f>+EEFF!N40</f>
        <v>392576436</v>
      </c>
      <c r="O40" s="311">
        <f>+EEFF!O40</f>
        <v>437280713</v>
      </c>
      <c r="P40" s="311">
        <f>+EEFF!P40</f>
        <v>448129246.44487631</v>
      </c>
      <c r="Q40" s="311">
        <f>+EEFF!Q40</f>
        <v>448377848.91267872</v>
      </c>
      <c r="R40" s="311">
        <f>+EEFF!R40</f>
        <v>470857353.87187028</v>
      </c>
      <c r="S40" s="311">
        <f>+EEFF!S40</f>
        <v>475840595.66904497</v>
      </c>
      <c r="T40" s="311">
        <f>+EEFF!T40</f>
        <v>492118833.08594519</v>
      </c>
      <c r="U40" s="311">
        <f>+EEFF!U40</f>
        <v>508606798.45035571</v>
      </c>
      <c r="V40" s="311">
        <f>+EEFF!V40</f>
        <v>522986045.0815478</v>
      </c>
      <c r="W40" s="311">
        <f>+EEFF!W40</f>
        <v>538049157.35784817</v>
      </c>
      <c r="X40" s="311">
        <f>+EEFF!X40</f>
        <v>552960232.68547738</v>
      </c>
      <c r="Y40" s="311">
        <f>+EEFF!Y40</f>
        <v>568034418.16572833</v>
      </c>
      <c r="Z40" s="321">
        <f>+EEFF!Z40</f>
        <v>583745578.33112705</v>
      </c>
    </row>
    <row r="41" spans="4:26" x14ac:dyDescent="0.25">
      <c r="D41" s="310"/>
      <c r="E41" s="76" t="s">
        <v>65</v>
      </c>
      <c r="K41" s="322">
        <f>+EEFF!K106</f>
        <v>20513032</v>
      </c>
      <c r="L41" s="322">
        <f>+EEFF!L106</f>
        <v>21027242</v>
      </c>
      <c r="M41" s="322">
        <f>+EEFF!M106</f>
        <v>23347833</v>
      </c>
      <c r="N41" s="322">
        <f>+EEFF!N106</f>
        <v>22746964</v>
      </c>
      <c r="O41" s="322">
        <f>+EEFF!O106</f>
        <v>22023767</v>
      </c>
      <c r="P41" s="322">
        <f>+EEFF!P106</f>
        <v>21059522.297814548</v>
      </c>
      <c r="Q41" s="322">
        <f>+EEFF!Q106</f>
        <v>21826941.296086151</v>
      </c>
      <c r="R41" s="322">
        <f>+EEFF!R106</f>
        <v>22921238.965561137</v>
      </c>
      <c r="S41" s="322">
        <f>+EEFF!S106</f>
        <v>23163822.149442546</v>
      </c>
      <c r="T41" s="322">
        <f>+EEFF!T106</f>
        <v>23956243.392740022</v>
      </c>
      <c r="U41" s="322">
        <f>+EEFF!U106</f>
        <v>24758874.149307523</v>
      </c>
      <c r="V41" s="322">
        <f>+EEFF!V106</f>
        <v>25458852.91244686</v>
      </c>
      <c r="W41" s="322">
        <f>+EEFF!W106</f>
        <v>26192122.114278443</v>
      </c>
      <c r="X41" s="322">
        <f>+EEFF!X106</f>
        <v>26917990.188776176</v>
      </c>
      <c r="Y41" s="322">
        <f>+EEFF!Y106</f>
        <v>27651798.431894425</v>
      </c>
      <c r="Z41" s="323">
        <f>+EEFF!Z106</f>
        <v>28416614.471435998</v>
      </c>
    </row>
    <row r="42" spans="4:26" x14ac:dyDescent="0.25">
      <c r="E42" s="343" t="s">
        <v>395</v>
      </c>
      <c r="F42" s="314"/>
      <c r="G42" s="314"/>
      <c r="H42" s="314"/>
      <c r="I42" s="314"/>
      <c r="J42" s="314"/>
      <c r="K42" s="346">
        <f>365/(K40/K41)</f>
        <v>26.16810595052884</v>
      </c>
      <c r="L42" s="346">
        <f>365/(L40/AVERAGE(K41:L41))</f>
        <v>25.371343348992752</v>
      </c>
      <c r="M42" s="346">
        <f t="shared" ref="M42:Z42" si="9">365/(M40/AVERAGE(L41:M41))</f>
        <v>24.645155963800942</v>
      </c>
      <c r="N42" s="346">
        <f t="shared" si="9"/>
        <v>21.428439613476954</v>
      </c>
      <c r="O42" s="346">
        <f t="shared" si="9"/>
        <v>18.685156158488059</v>
      </c>
      <c r="P42" s="346">
        <f t="shared" si="9"/>
        <v>17.545608458336435</v>
      </c>
      <c r="Q42" s="346">
        <f t="shared" si="9"/>
        <v>17.455767774583212</v>
      </c>
      <c r="R42" s="346">
        <f t="shared" si="9"/>
        <v>17.343985031978303</v>
      </c>
      <c r="S42" s="346">
        <f t="shared" si="9"/>
        <v>17.675086426080867</v>
      </c>
      <c r="T42" s="346">
        <f t="shared" si="9"/>
        <v>17.474259027080333</v>
      </c>
      <c r="U42" s="346">
        <f t="shared" si="9"/>
        <v>17.480122126781726</v>
      </c>
      <c r="V42" s="346">
        <f t="shared" si="9"/>
        <v>17.523861821860166</v>
      </c>
      <c r="W42" s="346">
        <f t="shared" si="9"/>
        <v>17.519408428527804</v>
      </c>
      <c r="X42" s="346">
        <f t="shared" si="9"/>
        <v>17.528557972849008</v>
      </c>
      <c r="Y42" s="346">
        <f t="shared" si="9"/>
        <v>17.532364421563578</v>
      </c>
      <c r="Z42" s="347">
        <f t="shared" si="9"/>
        <v>17.529015610039398</v>
      </c>
    </row>
    <row r="43" spans="4:26" x14ac:dyDescent="0.25">
      <c r="E43" s="76"/>
      <c r="Z43" s="75"/>
    </row>
    <row r="44" spans="4:26" x14ac:dyDescent="0.25">
      <c r="E44" s="76" t="s">
        <v>391</v>
      </c>
      <c r="K44" s="322">
        <f>+EEFF!K39</f>
        <v>358534549</v>
      </c>
      <c r="L44" s="322">
        <f>+EEFF!L39</f>
        <v>383784560</v>
      </c>
      <c r="M44" s="322">
        <f>+EEFF!M39</f>
        <v>437691547</v>
      </c>
      <c r="N44" s="322">
        <f>+EEFF!N39</f>
        <v>530191512</v>
      </c>
      <c r="O44" s="322">
        <f>+EEFF!O39</f>
        <v>554729657</v>
      </c>
      <c r="P44" s="322">
        <f>+EEFF!P39</f>
        <v>579869129.94618535</v>
      </c>
      <c r="Q44" s="322">
        <f>+EEFF!Q39</f>
        <v>586815853.55903232</v>
      </c>
      <c r="R44" s="322">
        <f>+EEFF!R39</f>
        <v>609944719.79373682</v>
      </c>
      <c r="S44" s="322">
        <f>+EEFF!S39</f>
        <v>620771796.10008574</v>
      </c>
      <c r="T44" s="322">
        <f>+EEFF!T39</f>
        <v>641173782.64383876</v>
      </c>
      <c r="U44" s="322">
        <f>+EEFF!U39</f>
        <v>661666636.26773965</v>
      </c>
      <c r="V44" s="322">
        <f>+EEFF!V39</f>
        <v>681345818.84497547</v>
      </c>
      <c r="W44" s="322">
        <f>+EEFF!W39</f>
        <v>700651354.33225882</v>
      </c>
      <c r="X44" s="322">
        <f>+EEFF!X39</f>
        <v>719943942.78876317</v>
      </c>
      <c r="Y44" s="322">
        <f>+EEFF!Y39</f>
        <v>739767756.89273202</v>
      </c>
      <c r="Z44" s="323">
        <f>+EEFF!Z39</f>
        <v>760137424.05868578</v>
      </c>
    </row>
    <row r="45" spans="4:26" x14ac:dyDescent="0.25">
      <c r="E45" s="76" t="s">
        <v>398</v>
      </c>
      <c r="K45" s="12">
        <f>+EEFF!K105</f>
        <v>40272458</v>
      </c>
      <c r="L45" s="12">
        <f>+EEFF!L105</f>
        <v>40867133</v>
      </c>
      <c r="M45" s="12">
        <f>+EEFF!M105</f>
        <v>48011869.000000007</v>
      </c>
      <c r="N45" s="12">
        <f>+EEFF!N105</f>
        <v>59430051.999999993</v>
      </c>
      <c r="O45" s="12">
        <f>+EEFF!O105</f>
        <v>70270880</v>
      </c>
      <c r="P45" s="12">
        <f>+EEFF!P105</f>
        <v>76438958.375259995</v>
      </c>
      <c r="Q45" s="12">
        <f>+EEFF!Q105</f>
        <v>72489093.234582335</v>
      </c>
      <c r="R45" s="12">
        <f>+EEFF!R105</f>
        <v>75346191.472009242</v>
      </c>
      <c r="S45" s="12">
        <f>+EEFF!S105</f>
        <v>76683655.242063835</v>
      </c>
      <c r="T45" s="12">
        <f>+EEFF!T105</f>
        <v>79203903.282008827</v>
      </c>
      <c r="U45" s="12">
        <f>+EEFF!U105</f>
        <v>81735376.090686381</v>
      </c>
      <c r="V45" s="12">
        <f>+EEFF!V105</f>
        <v>84166336.488176927</v>
      </c>
      <c r="W45" s="12">
        <f>+EEFF!W105</f>
        <v>86551140.432026818</v>
      </c>
      <c r="X45" s="12">
        <f>+EEFF!X105</f>
        <v>88934345.035103008</v>
      </c>
      <c r="Y45" s="12">
        <f>+EEFF!Y105</f>
        <v>91383171.698752552</v>
      </c>
      <c r="Z45" s="77">
        <f>+EEFF!Z105</f>
        <v>93899427.340781987</v>
      </c>
    </row>
    <row r="46" spans="4:26" x14ac:dyDescent="0.25">
      <c r="E46" s="343" t="s">
        <v>396</v>
      </c>
      <c r="F46" s="314"/>
      <c r="G46" s="314"/>
      <c r="H46" s="314"/>
      <c r="I46" s="314"/>
      <c r="J46" s="314"/>
      <c r="K46" s="326">
        <f>+K44/K45</f>
        <v>8.9027232705786172</v>
      </c>
      <c r="L46" s="326">
        <f t="shared" ref="L46:Z46" si="10">+L44/L45</f>
        <v>9.3910321529039003</v>
      </c>
      <c r="M46" s="326">
        <f t="shared" si="10"/>
        <v>9.1163196958652026</v>
      </c>
      <c r="N46" s="326">
        <f t="shared" si="10"/>
        <v>8.9212695287562607</v>
      </c>
      <c r="O46" s="326">
        <f t="shared" si="10"/>
        <v>7.8941612372009571</v>
      </c>
      <c r="P46" s="326">
        <f t="shared" si="10"/>
        <v>7.5860417550360557</v>
      </c>
      <c r="Q46" s="326">
        <f t="shared" si="10"/>
        <v>8.0952296045424994</v>
      </c>
      <c r="R46" s="326">
        <f t="shared" si="10"/>
        <v>8.0952296045424994</v>
      </c>
      <c r="S46" s="326">
        <f t="shared" si="10"/>
        <v>8.0952296045424994</v>
      </c>
      <c r="T46" s="326">
        <f t="shared" si="10"/>
        <v>8.0952296045425012</v>
      </c>
      <c r="U46" s="326">
        <f t="shared" si="10"/>
        <v>8.0952296045425012</v>
      </c>
      <c r="V46" s="326">
        <f t="shared" si="10"/>
        <v>8.0952296045424994</v>
      </c>
      <c r="W46" s="326">
        <f t="shared" si="10"/>
        <v>8.0952296045424994</v>
      </c>
      <c r="X46" s="326">
        <f t="shared" si="10"/>
        <v>8.0952296045424994</v>
      </c>
      <c r="Y46" s="326">
        <f t="shared" si="10"/>
        <v>8.0952296045424994</v>
      </c>
      <c r="Z46" s="327">
        <f t="shared" si="10"/>
        <v>8.0952296045424994</v>
      </c>
    </row>
    <row r="47" spans="4:26" x14ac:dyDescent="0.25">
      <c r="E47" s="76"/>
      <c r="Z47" s="75"/>
    </row>
    <row r="48" spans="4:26" x14ac:dyDescent="0.25">
      <c r="E48" s="76" t="s">
        <v>391</v>
      </c>
      <c r="K48" s="322">
        <f>+EEFF!K40</f>
        <v>286121460</v>
      </c>
      <c r="L48" s="322">
        <f>+EEFF!L40</f>
        <v>298805621</v>
      </c>
      <c r="M48" s="322">
        <f>+EEFF!M40</f>
        <v>328602148</v>
      </c>
      <c r="N48" s="322">
        <f>+EEFF!N40</f>
        <v>392576436</v>
      </c>
      <c r="O48" s="322">
        <f>+EEFF!O40</f>
        <v>437280713</v>
      </c>
      <c r="P48" s="322">
        <f>+EEFF!P40</f>
        <v>448129246.44487631</v>
      </c>
      <c r="Q48" s="322">
        <f>+EEFF!Q40</f>
        <v>448377848.91267872</v>
      </c>
      <c r="R48" s="322">
        <f>+EEFF!R40</f>
        <v>470857353.87187028</v>
      </c>
      <c r="S48" s="322">
        <f>+EEFF!S40</f>
        <v>475840595.66904497</v>
      </c>
      <c r="T48" s="322">
        <f>+EEFF!T40</f>
        <v>492118833.08594519</v>
      </c>
      <c r="U48" s="322">
        <f>+EEFF!U40</f>
        <v>508606798.45035571</v>
      </c>
      <c r="V48" s="322">
        <f>+EEFF!V40</f>
        <v>522986045.0815478</v>
      </c>
      <c r="W48" s="322">
        <f>+EEFF!W40</f>
        <v>538049157.35784817</v>
      </c>
      <c r="X48" s="322">
        <f>+EEFF!X40</f>
        <v>552960232.68547738</v>
      </c>
      <c r="Y48" s="322">
        <f>+EEFF!Y40</f>
        <v>568034418.16572833</v>
      </c>
      <c r="Z48" s="323">
        <f>+EEFF!Z40</f>
        <v>583745578.33112705</v>
      </c>
    </row>
    <row r="49" spans="5:26" x14ac:dyDescent="0.25">
      <c r="E49" s="76" t="s">
        <v>399</v>
      </c>
      <c r="K49" s="12">
        <f>+EEFF!K116</f>
        <v>32653211</v>
      </c>
      <c r="L49" s="12">
        <f>+EEFF!L116</f>
        <v>44040466</v>
      </c>
      <c r="M49" s="12">
        <f>+EEFF!M116</f>
        <v>46198965.000000007</v>
      </c>
      <c r="N49" s="12">
        <f>+EEFF!N116</f>
        <v>58954072</v>
      </c>
      <c r="O49" s="12">
        <f>+EEFF!O116</f>
        <v>57897814</v>
      </c>
      <c r="P49" s="12">
        <f>+EEFF!P116</f>
        <v>42416606.113369085</v>
      </c>
      <c r="Q49" s="12">
        <f>+EEFF!Q116</f>
        <v>42440136.987640828</v>
      </c>
      <c r="R49" s="12">
        <f>+EEFF!R116</f>
        <v>45875818.064167343</v>
      </c>
      <c r="S49" s="12">
        <f>+EEFF!S116</f>
        <v>47683116.714189559</v>
      </c>
      <c r="T49" s="12">
        <f>+EEFF!T116</f>
        <v>50681325.9033866</v>
      </c>
      <c r="U49" s="12">
        <f>+EEFF!U116</f>
        <v>53792151.354603261</v>
      </c>
      <c r="V49" s="12">
        <f>+EEFF!V116</f>
        <v>56765693.10573861</v>
      </c>
      <c r="W49" s="12">
        <f>+EEFF!W116</f>
        <v>59895246.994397745</v>
      </c>
      <c r="X49" s="12">
        <f>+EEFF!X116</f>
        <v>63091137.871010952</v>
      </c>
      <c r="Y49" s="12">
        <f>+EEFF!Y116</f>
        <v>66388931.527929701</v>
      </c>
      <c r="Z49" s="77">
        <f>+EEFF!Z116</f>
        <v>69846686.348039716</v>
      </c>
    </row>
    <row r="50" spans="5:26" x14ac:dyDescent="0.25">
      <c r="E50" s="343" t="s">
        <v>397</v>
      </c>
      <c r="K50" s="326">
        <f>+K48/K49</f>
        <v>8.7624295203310947</v>
      </c>
      <c r="L50" s="326">
        <f t="shared" ref="L50:Z50" si="11">+L48/L49</f>
        <v>6.7847969864805702</v>
      </c>
      <c r="M50" s="326">
        <f t="shared" si="11"/>
        <v>7.1127599503581944</v>
      </c>
      <c r="N50" s="326">
        <f t="shared" si="11"/>
        <v>6.6590215515562692</v>
      </c>
      <c r="O50" s="326">
        <f t="shared" si="11"/>
        <v>7.5526290681717274</v>
      </c>
      <c r="P50" s="326">
        <f t="shared" si="11"/>
        <v>10.564948200880046</v>
      </c>
      <c r="Q50" s="326">
        <f t="shared" si="11"/>
        <v>10.564948200880048</v>
      </c>
      <c r="R50" s="326">
        <f t="shared" si="11"/>
        <v>10.263737492664948</v>
      </c>
      <c r="S50" s="326">
        <f t="shared" si="11"/>
        <v>9.9792259495370637</v>
      </c>
      <c r="T50" s="326">
        <f t="shared" si="11"/>
        <v>9.710062322048703</v>
      </c>
      <c r="U50" s="326">
        <f t="shared" si="11"/>
        <v>9.455037317573872</v>
      </c>
      <c r="V50" s="326">
        <f t="shared" si="11"/>
        <v>9.2130654356209671</v>
      </c>
      <c r="W50" s="326">
        <f t="shared" si="11"/>
        <v>8.9831695227531849</v>
      </c>
      <c r="X50" s="326">
        <f t="shared" si="11"/>
        <v>8.7644675836406325</v>
      </c>
      <c r="Y50" s="326">
        <f t="shared" si="11"/>
        <v>8.5561614728918673</v>
      </c>
      <c r="Z50" s="327">
        <f t="shared" si="11"/>
        <v>8.3575271620242031</v>
      </c>
    </row>
    <row r="51" spans="5:26" x14ac:dyDescent="0.25">
      <c r="E51" s="74"/>
      <c r="P51" s="302"/>
      <c r="Z51" s="75"/>
    </row>
    <row r="52" spans="5:26" x14ac:dyDescent="0.25">
      <c r="E52" s="336" t="s">
        <v>400</v>
      </c>
      <c r="F52" s="337"/>
      <c r="G52" s="337"/>
      <c r="H52" s="337"/>
      <c r="I52" s="337"/>
      <c r="J52" s="337"/>
      <c r="K52" s="337"/>
      <c r="L52" s="337"/>
      <c r="M52" s="337"/>
      <c r="N52" s="337"/>
      <c r="O52" s="337"/>
      <c r="P52" s="338"/>
      <c r="Q52" s="337"/>
      <c r="R52" s="337"/>
      <c r="S52" s="337"/>
      <c r="T52" s="337"/>
      <c r="U52" s="337"/>
      <c r="V52" s="337"/>
      <c r="W52" s="337"/>
      <c r="X52" s="337"/>
      <c r="Y52" s="337"/>
      <c r="Z52" s="339"/>
    </row>
    <row r="53" spans="5:26" x14ac:dyDescent="0.25">
      <c r="E53" s="76"/>
      <c r="Z53" s="75"/>
    </row>
    <row r="54" spans="5:26" x14ac:dyDescent="0.25">
      <c r="E54" s="76" t="s">
        <v>402</v>
      </c>
      <c r="K54" s="322">
        <f>+EEFF!K120</f>
        <v>272133742.41666663</v>
      </c>
      <c r="L54" s="322">
        <f>+EEFF!L120</f>
        <v>279696472</v>
      </c>
      <c r="M54" s="322">
        <f>+EEFF!M120</f>
        <v>273393514</v>
      </c>
      <c r="N54" s="322">
        <f>+EEFF!N120</f>
        <v>331945563</v>
      </c>
      <c r="O54" s="322">
        <f>+EEFF!O120</f>
        <v>333065401</v>
      </c>
      <c r="P54" s="322">
        <f>+EEFF!P120</f>
        <v>364140625.54068911</v>
      </c>
      <c r="Q54" s="322">
        <f ca="1">+EEFF!Q120</f>
        <v>367813996.58637989</v>
      </c>
      <c r="R54" s="322">
        <f ca="1">+EEFF!R120</f>
        <v>370641388.48907602</v>
      </c>
      <c r="S54" s="322">
        <f ca="1">+EEFF!S120</f>
        <v>373704829.28413934</v>
      </c>
      <c r="T54" s="322">
        <f ca="1">+EEFF!T120</f>
        <v>377375301.66907918</v>
      </c>
      <c r="U54" s="322">
        <f ca="1">+EEFF!U120</f>
        <v>381101574.19549793</v>
      </c>
      <c r="V54" s="322">
        <f ca="1">+EEFF!V120</f>
        <v>385133124.46449113</v>
      </c>
      <c r="W54" s="322">
        <f ca="1">+EEFF!W120</f>
        <v>388982377.11802113</v>
      </c>
      <c r="X54" s="322">
        <f ca="1">+EEFF!X120</f>
        <v>392993252.78263223</v>
      </c>
      <c r="Y54" s="322">
        <f ca="1">+EEFF!Y120</f>
        <v>397213315.30653059</v>
      </c>
      <c r="Z54" s="323">
        <f ca="1">+EEFF!Z120</f>
        <v>401539243.39097357</v>
      </c>
    </row>
    <row r="55" spans="5:26" x14ac:dyDescent="0.25">
      <c r="E55" s="76" t="s">
        <v>403</v>
      </c>
      <c r="K55" s="12">
        <f>+EEFF!K111</f>
        <v>483192316.41666663</v>
      </c>
      <c r="L55" s="12">
        <f>+EEFF!L111</f>
        <v>507044366</v>
      </c>
      <c r="M55" s="12">
        <f>+EEFF!M111</f>
        <v>520950888</v>
      </c>
      <c r="N55" s="12">
        <f>+EEFF!N111</f>
        <v>562522631</v>
      </c>
      <c r="O55" s="12">
        <f>+EEFF!O111</f>
        <v>595948210</v>
      </c>
      <c r="P55" s="12">
        <f>+EEFF!P111</f>
        <v>636654720.54869604</v>
      </c>
      <c r="Q55" s="12">
        <f ca="1">+EEFF!Q111</f>
        <v>678242519.09604788</v>
      </c>
      <c r="R55" s="12">
        <f ca="1">+EEFF!R111</f>
        <v>717854658.60614872</v>
      </c>
      <c r="S55" s="12">
        <f ca="1">+EEFF!S111</f>
        <v>760035682.42083597</v>
      </c>
      <c r="T55" s="12">
        <f ca="1">+EEFF!T111</f>
        <v>804072226.61749327</v>
      </c>
      <c r="U55" s="12">
        <f ca="1">+EEFF!U111</f>
        <v>849307544.09529054</v>
      </c>
      <c r="V55" s="12">
        <f ca="1">+EEFF!V111</f>
        <v>896813012.27739823</v>
      </c>
      <c r="W55" s="12">
        <f ca="1">+EEFF!W111</f>
        <v>945472766.26451743</v>
      </c>
      <c r="X55" s="12">
        <f ca="1">+EEFF!X111</f>
        <v>995807686.44042826</v>
      </c>
      <c r="Y55" s="12">
        <f ca="1">+EEFF!Y111</f>
        <v>1048064578.5143026</v>
      </c>
      <c r="Z55" s="77">
        <f ca="1">+EEFF!Z111</f>
        <v>1102039657.9253397</v>
      </c>
    </row>
    <row r="56" spans="5:26" x14ac:dyDescent="0.25">
      <c r="E56" s="343" t="s">
        <v>404</v>
      </c>
      <c r="K56" s="326">
        <f>+K54/K55</f>
        <v>0.56319964778165088</v>
      </c>
      <c r="L56" s="326">
        <f t="shared" ref="L56:Z56" si="12">+L54/L55</f>
        <v>0.55162129934799431</v>
      </c>
      <c r="M56" s="326">
        <f t="shared" si="12"/>
        <v>0.52479709757208437</v>
      </c>
      <c r="N56" s="326">
        <f t="shared" si="12"/>
        <v>0.59010170383704974</v>
      </c>
      <c r="O56" s="326">
        <f t="shared" si="12"/>
        <v>0.5588831301297138</v>
      </c>
      <c r="P56" s="326">
        <f t="shared" si="12"/>
        <v>0.57195935848375912</v>
      </c>
      <c r="Q56" s="326">
        <f t="shared" ca="1" si="12"/>
        <v>0.54230453890829089</v>
      </c>
      <c r="R56" s="326">
        <f t="shared" ca="1" si="12"/>
        <v>0.516318148869782</v>
      </c>
      <c r="S56" s="326">
        <f t="shared" ca="1" si="12"/>
        <v>0.49169379534106783</v>
      </c>
      <c r="T56" s="326">
        <f t="shared" ca="1" si="12"/>
        <v>0.46933010390943536</v>
      </c>
      <c r="U56" s="326">
        <f t="shared" ca="1" si="12"/>
        <v>0.44872034499759383</v>
      </c>
      <c r="V56" s="326">
        <f t="shared" ca="1" si="12"/>
        <v>0.4294464054290098</v>
      </c>
      <c r="W56" s="326">
        <f t="shared" ca="1" si="12"/>
        <v>0.41141573929713221</v>
      </c>
      <c r="X56" s="326">
        <f t="shared" ca="1" si="12"/>
        <v>0.39464773985367513</v>
      </c>
      <c r="Y56" s="326">
        <f t="shared" ca="1" si="12"/>
        <v>0.37899698496595069</v>
      </c>
      <c r="Z56" s="327">
        <f t="shared" ca="1" si="12"/>
        <v>0.36436006681183952</v>
      </c>
    </row>
    <row r="57" spans="5:26" x14ac:dyDescent="0.25">
      <c r="E57" s="76"/>
      <c r="Z57" s="75"/>
    </row>
    <row r="58" spans="5:26" x14ac:dyDescent="0.25">
      <c r="E58" s="76" t="s">
        <v>405</v>
      </c>
      <c r="K58" s="322">
        <f>+EEFF!K115</f>
        <v>215042346</v>
      </c>
      <c r="L58" s="322">
        <f>+EEFF!L115</f>
        <v>177378405</v>
      </c>
      <c r="M58" s="322">
        <f>+EEFF!M115</f>
        <v>156558446</v>
      </c>
      <c r="N58" s="322">
        <f>+EEFF!N115</f>
        <v>177238321</v>
      </c>
      <c r="O58" s="322">
        <f>+EEFF!O115</f>
        <v>195434205.00000003</v>
      </c>
      <c r="P58" s="322">
        <f>+EEFF!P115</f>
        <v>221095298.20383003</v>
      </c>
      <c r="Q58" s="322">
        <f ca="1">+EEFF!Q115</f>
        <v>221095298.20383003</v>
      </c>
      <c r="R58" s="322">
        <f ca="1">+EEFF!R115</f>
        <v>221095298.20383003</v>
      </c>
      <c r="S58" s="322">
        <f ca="1">+EEFF!S115</f>
        <v>221095298.20383003</v>
      </c>
      <c r="T58" s="322">
        <f ca="1">+EEFF!T115</f>
        <v>221095298.20383003</v>
      </c>
      <c r="U58" s="322">
        <f ca="1">+EEFF!U115</f>
        <v>221095298.20383003</v>
      </c>
      <c r="V58" s="322">
        <f ca="1">+EEFF!V115</f>
        <v>221095298.20383003</v>
      </c>
      <c r="W58" s="322">
        <f ca="1">+EEFF!W115</f>
        <v>221095298.20383003</v>
      </c>
      <c r="X58" s="322">
        <f ca="1">+EEFF!X115</f>
        <v>221095298.20383003</v>
      </c>
      <c r="Y58" s="322">
        <f ca="1">+EEFF!Y115</f>
        <v>221095298.20383003</v>
      </c>
      <c r="Z58" s="323">
        <f ca="1">+EEFF!Z115</f>
        <v>221095298.20383003</v>
      </c>
    </row>
    <row r="59" spans="5:26" x14ac:dyDescent="0.25">
      <c r="E59" s="76" t="s">
        <v>406</v>
      </c>
      <c r="K59" s="12">
        <f>+EEFF!K59</f>
        <v>68929900</v>
      </c>
      <c r="L59" s="12">
        <f>+EEFF!L59</f>
        <v>86680031.134038493</v>
      </c>
      <c r="M59" s="12">
        <f>+EEFF!M59</f>
        <v>102634088</v>
      </c>
      <c r="N59" s="12">
        <f>+EEFF!N59</f>
        <v>132525991</v>
      </c>
      <c r="O59" s="12">
        <f>+EEFF!O59</f>
        <v>105562792</v>
      </c>
      <c r="P59" s="12">
        <f>+EEFF!P59</f>
        <v>114405800.07384357</v>
      </c>
      <c r="Q59" s="12">
        <f>+EEFF!Q59</f>
        <v>120202548.88065994</v>
      </c>
      <c r="R59" s="12">
        <f>+EEFF!R59</f>
        <v>120058622.05937123</v>
      </c>
      <c r="S59" s="12">
        <f>+EEFF!S59</f>
        <v>125153188.17142594</v>
      </c>
      <c r="T59" s="12">
        <f>+EEFF!T59</f>
        <v>128544901.4439384</v>
      </c>
      <c r="U59" s="12">
        <f>+EEFF!U59</f>
        <v>131803308.86368001</v>
      </c>
      <c r="V59" s="12">
        <f>+EEFF!V59</f>
        <v>136346600.38100174</v>
      </c>
      <c r="W59" s="12">
        <f>+EEFF!W59</f>
        <v>139862588.87036467</v>
      </c>
      <c r="X59" s="12">
        <f>+EEFF!X59</f>
        <v>143561913.75611842</v>
      </c>
      <c r="Y59" s="12">
        <f>+EEFF!Y59</f>
        <v>147608888.48942131</v>
      </c>
      <c r="Z59" s="77">
        <f>+EEFF!Z59</f>
        <v>151543661.98284885</v>
      </c>
    </row>
    <row r="60" spans="5:26" x14ac:dyDescent="0.25">
      <c r="E60" s="348" t="s">
        <v>401</v>
      </c>
      <c r="F60" s="21"/>
      <c r="G60" s="21"/>
      <c r="H60" s="21"/>
      <c r="I60" s="21"/>
      <c r="J60" s="21"/>
      <c r="K60" s="349">
        <f>+K58/K59</f>
        <v>3.1197251990790642</v>
      </c>
      <c r="L60" s="349">
        <f t="shared" ref="L60:Z60" si="13">+L58/L59</f>
        <v>2.0463583443539517</v>
      </c>
      <c r="M60" s="349">
        <f t="shared" si="13"/>
        <v>1.5254039768931351</v>
      </c>
      <c r="N60" s="349">
        <f t="shared" si="13"/>
        <v>1.3373853661656452</v>
      </c>
      <c r="O60" s="349">
        <f t="shared" si="13"/>
        <v>1.8513550210002028</v>
      </c>
      <c r="P60" s="349">
        <f t="shared" si="13"/>
        <v>1.9325532277307917</v>
      </c>
      <c r="Q60" s="349">
        <f t="shared" ca="1" si="13"/>
        <v>1.8393561556114664</v>
      </c>
      <c r="R60" s="349">
        <f t="shared" ca="1" si="13"/>
        <v>1.8415611841229884</v>
      </c>
      <c r="S60" s="349">
        <f t="shared" ca="1" si="13"/>
        <v>1.7665974110143277</v>
      </c>
      <c r="T60" s="349">
        <f t="shared" ca="1" si="13"/>
        <v>1.7199849680561243</v>
      </c>
      <c r="U60" s="349">
        <f t="shared" ca="1" si="13"/>
        <v>1.6774639431283316</v>
      </c>
      <c r="V60" s="349">
        <f t="shared" ca="1" si="13"/>
        <v>1.6215681035391405</v>
      </c>
      <c r="W60" s="349">
        <f t="shared" ca="1" si="13"/>
        <v>1.5808037016157197</v>
      </c>
      <c r="X60" s="349">
        <f t="shared" ca="1" si="13"/>
        <v>1.5400693151766183</v>
      </c>
      <c r="Y60" s="349">
        <f t="shared" ca="1" si="13"/>
        <v>1.4978454242589549</v>
      </c>
      <c r="Z60" s="350">
        <f t="shared" ca="1" si="13"/>
        <v>1.4589544380209896</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83028-3B79-42FA-9D30-1AA16A605FEB}">
  <dimension ref="B2:Q124"/>
  <sheetViews>
    <sheetView zoomScale="70" zoomScaleNormal="70" workbookViewId="0">
      <selection activeCell="M180" sqref="M180"/>
    </sheetView>
  </sheetViews>
  <sheetFormatPr baseColWidth="10" defaultRowHeight="15" x14ac:dyDescent="0.25"/>
  <cols>
    <col min="1" max="1" width="2.42578125" customWidth="1"/>
    <col min="2" max="2" width="14.85546875" bestFit="1" customWidth="1"/>
    <col min="3" max="3" width="12" bestFit="1" customWidth="1"/>
  </cols>
  <sheetData>
    <row r="2" spans="2:17" x14ac:dyDescent="0.25">
      <c r="B2" s="70" t="s">
        <v>408</v>
      </c>
      <c r="C2" s="72">
        <v>2019</v>
      </c>
      <c r="D2" s="72">
        <v>2020</v>
      </c>
      <c r="E2" s="72">
        <v>2021</v>
      </c>
      <c r="F2" s="72">
        <v>2022</v>
      </c>
      <c r="G2" s="72">
        <v>2023</v>
      </c>
      <c r="H2" s="72">
        <v>2024</v>
      </c>
      <c r="I2" s="72">
        <v>2025</v>
      </c>
      <c r="J2" s="72">
        <v>2026</v>
      </c>
      <c r="K2" s="72">
        <v>2027</v>
      </c>
      <c r="L2" s="72">
        <v>2028</v>
      </c>
      <c r="M2" s="73">
        <f>+EVA!V9</f>
        <v>2030</v>
      </c>
      <c r="N2" s="73">
        <f>+EVA!W9</f>
        <v>2031</v>
      </c>
      <c r="O2" s="73">
        <f>+EVA!X9</f>
        <v>2032</v>
      </c>
      <c r="P2" s="73">
        <f>+EVA!Y9</f>
        <v>2033</v>
      </c>
      <c r="Q2" s="73">
        <f>+EVA!Z9</f>
        <v>2034</v>
      </c>
    </row>
    <row r="3" spans="2:17" x14ac:dyDescent="0.25">
      <c r="B3" t="s">
        <v>352</v>
      </c>
      <c r="C3" s="206">
        <f>+EVA!K15/1000</f>
        <v>29573.896958775858</v>
      </c>
      <c r="D3">
        <f>+EVA!L15/1000</f>
        <v>33905.974330613477</v>
      </c>
      <c r="E3">
        <f>+EVA!M15/1000</f>
        <v>36042.27654639438</v>
      </c>
      <c r="F3">
        <f>+EVA!N15/1000</f>
        <v>54082.290810565108</v>
      </c>
      <c r="G3">
        <f>+EVA!O15/1000</f>
        <v>41855.083417722002</v>
      </c>
      <c r="H3">
        <f>+EVA!P15/1000</f>
        <v>46577.869218891967</v>
      </c>
      <c r="I3">
        <f ca="1">+EVA!Q15/1000</f>
        <v>45258.841336810721</v>
      </c>
      <c r="J3">
        <f ca="1">+EVA!R15/1000</f>
        <v>40335.244580658808</v>
      </c>
      <c r="K3">
        <f ca="1">+EVA!S15/1000</f>
        <v>38632.641612948893</v>
      </c>
      <c r="L3">
        <f ca="1">+EVA!T15/1000</f>
        <v>35716.495822189812</v>
      </c>
      <c r="M3">
        <f ca="1">+EVA!U15/1000</f>
        <v>32576.850880730548</v>
      </c>
      <c r="N3">
        <f ca="1">+EVA!V15/1000</f>
        <v>30056.139016869136</v>
      </c>
      <c r="O3">
        <f ca="1">+EVA!W15/1000</f>
        <v>26768.710884215237</v>
      </c>
      <c r="P3">
        <f ca="1">+EVA!X15/1000</f>
        <v>23501.390932149305</v>
      </c>
      <c r="Q3">
        <f ca="1">+EVA!Y15/1000</f>
        <v>20256.498986493953</v>
      </c>
    </row>
    <row r="22" spans="2:17" x14ac:dyDescent="0.25">
      <c r="B22" s="70"/>
      <c r="C22" s="72">
        <v>2019</v>
      </c>
      <c r="D22" s="72">
        <v>2020</v>
      </c>
      <c r="E22" s="72">
        <v>2021</v>
      </c>
      <c r="F22" s="72">
        <v>2022</v>
      </c>
      <c r="G22" s="72">
        <v>2023</v>
      </c>
      <c r="H22" s="72">
        <v>2024</v>
      </c>
      <c r="I22" s="72">
        <v>2025</v>
      </c>
      <c r="J22" s="72">
        <v>2026</v>
      </c>
      <c r="K22" s="72">
        <v>2027</v>
      </c>
      <c r="L22" s="72">
        <f>+L2</f>
        <v>2028</v>
      </c>
      <c r="M22" s="72">
        <f t="shared" ref="M22:P22" si="0">+M2</f>
        <v>2030</v>
      </c>
      <c r="N22" s="72">
        <f t="shared" si="0"/>
        <v>2031</v>
      </c>
      <c r="O22" s="72">
        <f t="shared" si="0"/>
        <v>2032</v>
      </c>
      <c r="P22" s="72">
        <f t="shared" si="0"/>
        <v>2033</v>
      </c>
      <c r="Q22" s="72">
        <f>+Q2</f>
        <v>2034</v>
      </c>
    </row>
    <row r="23" spans="2:17" x14ac:dyDescent="0.25">
      <c r="B23" s="70" t="s">
        <v>374</v>
      </c>
      <c r="C23" s="210">
        <f>+'Z-SCORE ALTMAN'!K34</f>
        <v>1.5111193076995173</v>
      </c>
      <c r="D23" s="210">
        <f>+'Z-SCORE ALTMAN'!L34</f>
        <v>1.5793101853073679</v>
      </c>
      <c r="E23" s="210">
        <f>+'Z-SCORE ALTMAN'!M34</f>
        <v>1.8239177175665615</v>
      </c>
      <c r="F23" s="210">
        <f>+'Z-SCORE ALTMAN'!N34</f>
        <v>1.9310585412779913</v>
      </c>
      <c r="G23" s="210">
        <f>+'Z-SCORE ALTMAN'!O34</f>
        <v>1.8150789234875662</v>
      </c>
      <c r="H23" s="210">
        <f>+'Z-SCORE ALTMAN'!P34</f>
        <v>1.7819881136841595</v>
      </c>
      <c r="I23" s="210">
        <f ca="1">+'Z-SCORE ALTMAN'!Q34</f>
        <v>1.7743177289068979</v>
      </c>
      <c r="J23" s="210">
        <f ca="1">+'Z-SCORE ALTMAN'!R34</f>
        <v>1.8080849707014073</v>
      </c>
      <c r="K23" s="210">
        <f ca="1">+'Z-SCORE ALTMAN'!S34</f>
        <v>1.8395400565014652</v>
      </c>
      <c r="L23" s="210">
        <f ca="1">+'Z-SCORE ALTMAN'!T34</f>
        <v>1.8777516190518169</v>
      </c>
      <c r="M23" s="210">
        <f ca="1">+'Z-SCORE ALTMAN'!U34</f>
        <v>1.914869521741045</v>
      </c>
      <c r="N23" s="210">
        <f ca="1">+'Z-SCORE ALTMAN'!V34</f>
        <v>1.9543397228450035</v>
      </c>
      <c r="O23" s="210">
        <f ca="1">+'Z-SCORE ALTMAN'!W34</f>
        <v>1.9913267377928887</v>
      </c>
      <c r="P23" s="210">
        <f ca="1">+'Z-SCORE ALTMAN'!X34</f>
        <v>2.0291104889643665</v>
      </c>
      <c r="Q23" s="210">
        <f ca="1">+'Z-SCORE ALTMAN'!Y34</f>
        <v>2.0681456829411466</v>
      </c>
    </row>
    <row r="24" spans="2:17" x14ac:dyDescent="0.25">
      <c r="B24" t="s">
        <v>409</v>
      </c>
      <c r="C24">
        <v>1.23</v>
      </c>
      <c r="D24">
        <v>1.23</v>
      </c>
      <c r="E24">
        <v>1.23</v>
      </c>
      <c r="F24">
        <v>1.23</v>
      </c>
      <c r="G24">
        <v>1.23</v>
      </c>
      <c r="H24">
        <v>1.23</v>
      </c>
      <c r="I24">
        <v>1.23</v>
      </c>
      <c r="J24">
        <v>1.23</v>
      </c>
      <c r="K24">
        <v>1.23</v>
      </c>
      <c r="L24">
        <v>1.23</v>
      </c>
      <c r="M24">
        <v>1.23</v>
      </c>
      <c r="N24">
        <v>1.23</v>
      </c>
      <c r="O24">
        <v>1.23</v>
      </c>
      <c r="P24">
        <v>1.23</v>
      </c>
      <c r="Q24">
        <v>1.23</v>
      </c>
    </row>
    <row r="25" spans="2:17" x14ac:dyDescent="0.25">
      <c r="B25" t="s">
        <v>410</v>
      </c>
      <c r="C25">
        <v>1.67</v>
      </c>
      <c r="D25">
        <v>1.67</v>
      </c>
      <c r="E25">
        <v>1.67</v>
      </c>
      <c r="F25">
        <v>1.67</v>
      </c>
      <c r="G25">
        <v>1.67</v>
      </c>
      <c r="H25">
        <v>1.67</v>
      </c>
      <c r="I25">
        <v>1.67</v>
      </c>
      <c r="J25">
        <v>1.67</v>
      </c>
      <c r="K25">
        <v>1.67</v>
      </c>
      <c r="L25">
        <v>1.67</v>
      </c>
      <c r="M25">
        <v>1.67</v>
      </c>
      <c r="N25">
        <v>1.67</v>
      </c>
      <c r="O25">
        <v>1.67</v>
      </c>
      <c r="P25">
        <v>1.67</v>
      </c>
      <c r="Q25">
        <v>1.67</v>
      </c>
    </row>
    <row r="26" spans="2:17" x14ac:dyDescent="0.25">
      <c r="B26" t="s">
        <v>411</v>
      </c>
      <c r="C26">
        <v>1.1000000000000001</v>
      </c>
      <c r="D26">
        <v>1.1000000000000001</v>
      </c>
      <c r="E26">
        <v>1.1000000000000001</v>
      </c>
      <c r="F26">
        <v>1.1000000000000001</v>
      </c>
      <c r="G26">
        <v>1.1000000000000001</v>
      </c>
      <c r="H26">
        <v>1.1000000000000001</v>
      </c>
      <c r="I26">
        <v>1.1000000000000001</v>
      </c>
      <c r="J26">
        <v>1.1000000000000001</v>
      </c>
      <c r="K26">
        <v>1.1000000000000001</v>
      </c>
      <c r="L26">
        <v>1.1000000000000001</v>
      </c>
      <c r="M26">
        <v>1.1000000000000001</v>
      </c>
      <c r="N26">
        <v>1.1000000000000001</v>
      </c>
      <c r="O26">
        <v>1.1000000000000001</v>
      </c>
      <c r="P26">
        <v>1.1000000000000001</v>
      </c>
      <c r="Q26">
        <v>1.1000000000000001</v>
      </c>
    </row>
    <row r="124" s="369" customFormat="1" x14ac:dyDescent="0.25"/>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5FEEC-D0F7-42B7-8652-C190D88AC7D0}">
  <dimension ref="B2:T26"/>
  <sheetViews>
    <sheetView zoomScaleNormal="100" workbookViewId="0">
      <selection activeCell="F2" sqref="F2:P4"/>
    </sheetView>
  </sheetViews>
  <sheetFormatPr baseColWidth="10" defaultRowHeight="15" x14ac:dyDescent="0.25"/>
  <cols>
    <col min="3" max="3" width="15.7109375" bestFit="1" customWidth="1"/>
    <col min="6" max="6" width="16.5703125" bestFit="1" customWidth="1"/>
    <col min="7" max="16" width="12.85546875" customWidth="1"/>
    <col min="17" max="17" width="50.5703125" bestFit="1" customWidth="1"/>
    <col min="18" max="20" width="19.85546875" customWidth="1"/>
  </cols>
  <sheetData>
    <row r="2" spans="2:16" x14ac:dyDescent="0.25">
      <c r="B2" s="353" t="s">
        <v>412</v>
      </c>
      <c r="C2" s="353" t="s">
        <v>361</v>
      </c>
      <c r="D2" s="353" t="s">
        <v>374</v>
      </c>
      <c r="F2" s="487" t="s">
        <v>412</v>
      </c>
      <c r="G2" s="488">
        <v>2025</v>
      </c>
      <c r="H2" s="488">
        <v>2026</v>
      </c>
      <c r="I2" s="488">
        <v>2027</v>
      </c>
      <c r="J2" s="488">
        <v>2028</v>
      </c>
      <c r="K2" s="488">
        <v>2029</v>
      </c>
      <c r="L2" s="488">
        <v>2030</v>
      </c>
      <c r="M2" s="488">
        <v>2031</v>
      </c>
      <c r="N2" s="488">
        <v>2032</v>
      </c>
      <c r="O2" s="488">
        <v>2033</v>
      </c>
      <c r="P2" s="488">
        <v>2034</v>
      </c>
    </row>
    <row r="3" spans="2:16" x14ac:dyDescent="0.25">
      <c r="B3" s="353">
        <v>2019</v>
      </c>
      <c r="C3" s="351">
        <f>+EVA!K$15</f>
        <v>29573896.958775859</v>
      </c>
      <c r="D3" s="352">
        <f>+'Z-SCORE ALTMAN'!L$34</f>
        <v>1.5793101853073679</v>
      </c>
      <c r="F3" s="441" t="s">
        <v>361</v>
      </c>
      <c r="G3" s="489">
        <v>45258841.336810723</v>
      </c>
      <c r="H3" s="489">
        <v>40335244.580658808</v>
      </c>
      <c r="I3" s="489">
        <v>38632641.612948895</v>
      </c>
      <c r="J3" s="489">
        <v>35716495.822189815</v>
      </c>
      <c r="K3" s="489">
        <v>32576850.880730547</v>
      </c>
      <c r="L3" s="489">
        <v>30056139.016869135</v>
      </c>
      <c r="M3" s="489">
        <v>26768710.884215236</v>
      </c>
      <c r="N3" s="489">
        <v>23501390.932149306</v>
      </c>
      <c r="O3" s="489">
        <v>20256498.986493953</v>
      </c>
      <c r="P3" s="489">
        <v>20256498.986493953</v>
      </c>
    </row>
    <row r="4" spans="2:16" x14ac:dyDescent="0.25">
      <c r="B4" s="353">
        <f>+B3+1</f>
        <v>2020</v>
      </c>
      <c r="C4" s="351">
        <f>+EVA!L$15</f>
        <v>33905974.330613479</v>
      </c>
      <c r="D4" s="352">
        <f>+'Z-SCORE ALTMAN'!M$34</f>
        <v>1.8239177175665615</v>
      </c>
      <c r="F4" s="487" t="s">
        <v>374</v>
      </c>
      <c r="G4" s="490">
        <v>1.8080849707014073</v>
      </c>
      <c r="H4" s="490">
        <v>1.8395400565014652</v>
      </c>
      <c r="I4" s="490">
        <v>1.8777516190518169</v>
      </c>
      <c r="J4" s="490">
        <v>1.914869521741045</v>
      </c>
      <c r="K4" s="490">
        <v>1.9543397228450035</v>
      </c>
      <c r="L4" s="490">
        <v>1.9913267377928887</v>
      </c>
      <c r="M4" s="490">
        <v>2.0291104889643665</v>
      </c>
      <c r="N4" s="490">
        <v>2.0681456829411466</v>
      </c>
      <c r="O4" s="490">
        <v>2.1074268951197483</v>
      </c>
      <c r="P4" s="490">
        <v>2.1074268951197483</v>
      </c>
    </row>
    <row r="5" spans="2:16" x14ac:dyDescent="0.25">
      <c r="B5" s="353">
        <f t="shared" ref="B5:B18" si="0">+B4+1</f>
        <v>2021</v>
      </c>
      <c r="C5" s="351">
        <f>+EVA!M$15</f>
        <v>36042276.546394378</v>
      </c>
      <c r="D5" s="352">
        <f>+'Z-SCORE ALTMAN'!N$34</f>
        <v>1.9310585412779913</v>
      </c>
    </row>
    <row r="6" spans="2:16" x14ac:dyDescent="0.25">
      <c r="B6" s="353">
        <f t="shared" si="0"/>
        <v>2022</v>
      </c>
      <c r="C6" s="351">
        <f>+EVA!N$15</f>
        <v>54082290.810565107</v>
      </c>
      <c r="D6" s="352">
        <f>+'Z-SCORE ALTMAN'!O$34</f>
        <v>1.8150789234875662</v>
      </c>
    </row>
    <row r="7" spans="2:16" x14ac:dyDescent="0.25">
      <c r="B7" s="353">
        <f t="shared" si="0"/>
        <v>2023</v>
      </c>
      <c r="C7" s="351">
        <f>+EVA!O$15</f>
        <v>41855083.417722002</v>
      </c>
      <c r="D7" s="352">
        <f>+'Z-SCORE ALTMAN'!P$34</f>
        <v>1.7819881136841595</v>
      </c>
    </row>
    <row r="8" spans="2:16" x14ac:dyDescent="0.25">
      <c r="B8" s="353">
        <f t="shared" si="0"/>
        <v>2024</v>
      </c>
      <c r="C8" s="351">
        <f>+EVA!P$15</f>
        <v>46577869.218891963</v>
      </c>
      <c r="D8" s="352">
        <f ca="1">+'Z-SCORE ALTMAN'!Q$34</f>
        <v>1.7743177289068979</v>
      </c>
    </row>
    <row r="9" spans="2:16" x14ac:dyDescent="0.25">
      <c r="B9" s="353">
        <f t="shared" si="0"/>
        <v>2025</v>
      </c>
      <c r="C9" s="351">
        <f ca="1">+EVA!Q$15</f>
        <v>45258841.336810723</v>
      </c>
      <c r="D9" s="352">
        <f ca="1">+'Z-SCORE ALTMAN'!R$34</f>
        <v>1.8080849707014073</v>
      </c>
    </row>
    <row r="10" spans="2:16" x14ac:dyDescent="0.25">
      <c r="B10" s="353">
        <f t="shared" si="0"/>
        <v>2026</v>
      </c>
      <c r="C10" s="351">
        <f ca="1">+EVA!R$15</f>
        <v>40335244.580658808</v>
      </c>
      <c r="D10" s="352">
        <f ca="1">+'Z-SCORE ALTMAN'!S$34</f>
        <v>1.8395400565014652</v>
      </c>
    </row>
    <row r="11" spans="2:16" x14ac:dyDescent="0.25">
      <c r="B11" s="353">
        <f t="shared" si="0"/>
        <v>2027</v>
      </c>
      <c r="C11" s="351">
        <f ca="1">+EVA!S$15</f>
        <v>38632641.612948895</v>
      </c>
      <c r="D11" s="352">
        <f ca="1">+'Z-SCORE ALTMAN'!T$34</f>
        <v>1.8777516190518169</v>
      </c>
    </row>
    <row r="12" spans="2:16" x14ac:dyDescent="0.25">
      <c r="B12" s="353">
        <f t="shared" si="0"/>
        <v>2028</v>
      </c>
      <c r="C12" s="351">
        <f ca="1">+EVA!T$15</f>
        <v>35716495.822189815</v>
      </c>
      <c r="D12" s="352">
        <f ca="1">+'Z-SCORE ALTMAN'!U$34</f>
        <v>1.914869521741045</v>
      </c>
    </row>
    <row r="13" spans="2:16" x14ac:dyDescent="0.25">
      <c r="B13" s="353">
        <f t="shared" si="0"/>
        <v>2029</v>
      </c>
      <c r="C13" s="351">
        <f ca="1">+EVA!U$15</f>
        <v>32576850.880730547</v>
      </c>
      <c r="D13" s="352">
        <f ca="1">+'Z-SCORE ALTMAN'!V$34</f>
        <v>1.9543397228450035</v>
      </c>
    </row>
    <row r="14" spans="2:16" x14ac:dyDescent="0.25">
      <c r="B14" s="353">
        <f t="shared" si="0"/>
        <v>2030</v>
      </c>
      <c r="C14" s="351">
        <f ca="1">+EVA!V$15</f>
        <v>30056139.016869135</v>
      </c>
      <c r="D14" s="352">
        <f ca="1">+'Z-SCORE ALTMAN'!W$34</f>
        <v>1.9913267377928887</v>
      </c>
    </row>
    <row r="15" spans="2:16" x14ac:dyDescent="0.25">
      <c r="B15" s="353">
        <f t="shared" si="0"/>
        <v>2031</v>
      </c>
      <c r="C15" s="351">
        <f ca="1">+EVA!W$15</f>
        <v>26768710.884215236</v>
      </c>
      <c r="D15" s="352">
        <f ca="1">+'Z-SCORE ALTMAN'!X$34</f>
        <v>2.0291104889643665</v>
      </c>
    </row>
    <row r="16" spans="2:16" x14ac:dyDescent="0.25">
      <c r="B16" s="353">
        <f t="shared" si="0"/>
        <v>2032</v>
      </c>
      <c r="C16" s="351">
        <f ca="1">+EVA!X$15</f>
        <v>23501390.932149306</v>
      </c>
      <c r="D16" s="352">
        <f ca="1">+'Z-SCORE ALTMAN'!Y$34</f>
        <v>2.0681456829411466</v>
      </c>
    </row>
    <row r="17" spans="2:20" x14ac:dyDescent="0.25">
      <c r="B17" s="353">
        <f>+B16+1</f>
        <v>2033</v>
      </c>
      <c r="C17" s="351">
        <f ca="1">+EVA!Y$15</f>
        <v>20256498.986493953</v>
      </c>
      <c r="D17" s="352">
        <f ca="1">+'Z-SCORE ALTMAN'!Z$34</f>
        <v>2.1074268951197483</v>
      </c>
    </row>
    <row r="18" spans="2:20" x14ac:dyDescent="0.25">
      <c r="B18" s="353">
        <f t="shared" si="0"/>
        <v>2034</v>
      </c>
      <c r="C18" s="351">
        <f ca="1">+EVA!Y$15</f>
        <v>20256498.986493953</v>
      </c>
      <c r="D18" s="352">
        <f ca="1">+'Z-SCORE ALTMAN'!Z$34</f>
        <v>2.1074268951197483</v>
      </c>
    </row>
    <row r="21" spans="2:20" x14ac:dyDescent="0.25">
      <c r="Q21" s="370"/>
      <c r="R21" s="370"/>
      <c r="S21" s="370"/>
      <c r="T21" s="370"/>
    </row>
    <row r="22" spans="2:20" ht="18" customHeight="1" x14ac:dyDescent="0.25">
      <c r="Q22" s="395" t="s">
        <v>515</v>
      </c>
      <c r="R22" s="395" t="s">
        <v>533</v>
      </c>
      <c r="S22" s="395" t="s">
        <v>534</v>
      </c>
      <c r="T22" s="396" t="s">
        <v>535</v>
      </c>
    </row>
    <row r="23" spans="2:20" ht="18" customHeight="1" x14ac:dyDescent="0.25">
      <c r="Q23" s="36" t="s">
        <v>510</v>
      </c>
      <c r="R23" s="40">
        <v>16</v>
      </c>
      <c r="S23" s="40">
        <v>18</v>
      </c>
      <c r="T23" s="40">
        <v>20</v>
      </c>
    </row>
    <row r="24" spans="2:20" ht="18" customHeight="1" x14ac:dyDescent="0.25">
      <c r="Q24" s="36" t="s">
        <v>511</v>
      </c>
      <c r="R24" s="40" t="s">
        <v>516</v>
      </c>
      <c r="S24" s="40" t="s">
        <v>512</v>
      </c>
      <c r="T24" s="40" t="s">
        <v>517</v>
      </c>
    </row>
    <row r="25" spans="2:20" ht="18" customHeight="1" x14ac:dyDescent="0.25">
      <c r="Q25" s="36" t="s">
        <v>513</v>
      </c>
      <c r="R25" s="40">
        <f>+S25-10</f>
        <v>24</v>
      </c>
      <c r="S25" s="40">
        <v>34</v>
      </c>
      <c r="T25" s="40">
        <f>+S25+10</f>
        <v>44</v>
      </c>
    </row>
    <row r="26" spans="2:20" ht="18" customHeight="1" x14ac:dyDescent="0.25">
      <c r="Q26" s="398" t="s">
        <v>514</v>
      </c>
      <c r="R26" s="397">
        <f t="shared" ref="R26" si="1">+S26-10</f>
        <v>34</v>
      </c>
      <c r="S26" s="397">
        <v>44</v>
      </c>
      <c r="T26" s="397">
        <f>+S26+10</f>
        <v>54</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10BD9-EEE0-42C8-BF72-7C9154125939}">
  <dimension ref="B2:AV95"/>
  <sheetViews>
    <sheetView zoomScale="55" zoomScaleNormal="55" workbookViewId="0">
      <selection activeCell="F39" sqref="F39:W42"/>
    </sheetView>
  </sheetViews>
  <sheetFormatPr baseColWidth="10" defaultRowHeight="15.75" outlineLevelCol="1" x14ac:dyDescent="0.25"/>
  <cols>
    <col min="1" max="2" width="11.42578125" style="360"/>
    <col min="3" max="3" width="15.7109375" style="360" bestFit="1" customWidth="1"/>
    <col min="4" max="5" width="11.42578125" style="360"/>
    <col min="6" max="6" width="19.140625" customWidth="1"/>
    <col min="7" max="7" width="29.7109375" bestFit="1" customWidth="1"/>
    <col min="8" max="13" width="12.85546875" hidden="1" customWidth="1" outlineLevel="1"/>
    <col min="14" max="14" width="8.42578125" customWidth="1" collapsed="1"/>
    <col min="15" max="16" width="8.42578125" customWidth="1"/>
    <col min="17" max="23" width="8.42578125" style="360" customWidth="1"/>
    <col min="24" max="30" width="11.42578125" style="360"/>
    <col min="31" max="31" width="18.85546875" style="360" bestFit="1" customWidth="1"/>
    <col min="32" max="32" width="15.5703125" style="360" bestFit="1" customWidth="1"/>
    <col min="33" max="33" width="17.7109375" style="360" bestFit="1" customWidth="1"/>
    <col min="34" max="35" width="11.42578125" style="360"/>
    <col min="36" max="39" width="20.140625" style="360" customWidth="1"/>
    <col min="40" max="41" width="11.42578125" style="360"/>
    <col min="42" max="44" width="18.5703125" style="360" customWidth="1"/>
    <col min="45" max="46" width="11.42578125" style="360"/>
    <col min="47" max="48" width="29.7109375" style="360" customWidth="1"/>
    <col min="49" max="16384" width="11.42578125" style="360"/>
  </cols>
  <sheetData>
    <row r="2" spans="2:29" x14ac:dyDescent="0.25">
      <c r="B2" s="359" t="s">
        <v>412</v>
      </c>
      <c r="C2" s="359" t="s">
        <v>361</v>
      </c>
      <c r="D2" s="359" t="s">
        <v>374</v>
      </c>
      <c r="E2" s="384"/>
      <c r="F2" s="379" t="s">
        <v>412</v>
      </c>
      <c r="G2" s="380">
        <v>2025</v>
      </c>
      <c r="H2" s="380">
        <v>2026</v>
      </c>
      <c r="I2" s="380">
        <v>2027</v>
      </c>
      <c r="J2" s="380">
        <v>2028</v>
      </c>
      <c r="K2" s="380">
        <v>2029</v>
      </c>
      <c r="L2" s="380">
        <v>2030</v>
      </c>
      <c r="M2" s="380">
        <v>2031</v>
      </c>
      <c r="N2" s="380">
        <v>2032</v>
      </c>
      <c r="O2" s="380">
        <v>2033</v>
      </c>
      <c r="P2" s="380">
        <v>2034</v>
      </c>
      <c r="Q2" s="384"/>
      <c r="R2" s="384"/>
      <c r="S2" s="384"/>
      <c r="T2" s="384"/>
      <c r="U2" s="384"/>
      <c r="V2" s="384"/>
      <c r="W2" s="384"/>
      <c r="X2" s="384"/>
      <c r="Y2" s="384"/>
      <c r="Z2" s="384"/>
      <c r="AA2" s="384"/>
      <c r="AB2" s="384"/>
      <c r="AC2" s="384"/>
    </row>
    <row r="3" spans="2:29" x14ac:dyDescent="0.25">
      <c r="B3" s="359">
        <v>2019</v>
      </c>
      <c r="C3" s="361">
        <f>+EVA!K$15</f>
        <v>29573896.958775859</v>
      </c>
      <c r="D3" s="362">
        <f>+'Z-SCORE ALTMAN'!L$34</f>
        <v>1.5793101853073679</v>
      </c>
      <c r="E3" s="385"/>
      <c r="F3" s="381" t="s">
        <v>361</v>
      </c>
      <c r="G3" s="382">
        <v>45258841.336810723</v>
      </c>
      <c r="H3" s="382">
        <v>40335244.580658808</v>
      </c>
      <c r="I3" s="382">
        <v>38632641.612948895</v>
      </c>
      <c r="J3" s="382">
        <v>35716495.822189815</v>
      </c>
      <c r="K3" s="382">
        <v>32576850.880730547</v>
      </c>
      <c r="L3" s="382">
        <v>30056139.016869135</v>
      </c>
      <c r="M3" s="382">
        <v>26768710.884215236</v>
      </c>
      <c r="N3" s="382">
        <v>23501390.932149306</v>
      </c>
      <c r="O3" s="382">
        <v>20256498.986493953</v>
      </c>
      <c r="P3" s="382">
        <v>20256498.986493953</v>
      </c>
      <c r="Q3" s="385"/>
      <c r="R3" s="385"/>
      <c r="S3" s="385"/>
      <c r="T3" s="385"/>
      <c r="U3" s="385"/>
      <c r="V3" s="385"/>
      <c r="W3" s="385"/>
      <c r="X3" s="385"/>
      <c r="Y3" s="385"/>
      <c r="Z3" s="385"/>
      <c r="AA3" s="385"/>
      <c r="AB3" s="385"/>
      <c r="AC3" s="385"/>
    </row>
    <row r="4" spans="2:29" x14ac:dyDescent="0.25">
      <c r="B4" s="359">
        <f>+B3+1</f>
        <v>2020</v>
      </c>
      <c r="C4" s="361">
        <f>+EVA!L$15</f>
        <v>33905974.330613479</v>
      </c>
      <c r="D4" s="362">
        <f>+'Z-SCORE ALTMAN'!M$34</f>
        <v>1.8239177175665615</v>
      </c>
      <c r="E4" s="385"/>
      <c r="F4" s="379" t="s">
        <v>374</v>
      </c>
      <c r="G4" s="383">
        <v>1.8080849707014073</v>
      </c>
      <c r="H4" s="383">
        <v>1.8395400565014652</v>
      </c>
      <c r="I4" s="383">
        <v>1.8777516190518169</v>
      </c>
      <c r="J4" s="383">
        <v>1.914869521741045</v>
      </c>
      <c r="K4" s="383">
        <v>1.9543397228450035</v>
      </c>
      <c r="L4" s="383">
        <v>1.9913267377928887</v>
      </c>
      <c r="M4" s="383">
        <v>2.0291104889643665</v>
      </c>
      <c r="N4" s="383">
        <v>2.0681456829411466</v>
      </c>
      <c r="O4" s="383">
        <v>2.1074268951197483</v>
      </c>
      <c r="P4" s="383">
        <v>2.1074268951197483</v>
      </c>
      <c r="Q4" s="385"/>
      <c r="R4" s="385"/>
      <c r="S4" s="385"/>
      <c r="T4" s="385"/>
      <c r="U4" s="385"/>
      <c r="V4" s="385"/>
      <c r="W4" s="385"/>
      <c r="X4" s="385"/>
      <c r="Y4" s="385"/>
      <c r="Z4" s="385"/>
      <c r="AA4" s="385"/>
      <c r="AB4" s="385"/>
      <c r="AC4" s="385"/>
    </row>
    <row r="5" spans="2:29" x14ac:dyDescent="0.25">
      <c r="B5" s="359">
        <f t="shared" ref="B5:B18" si="0">+B4+1</f>
        <v>2021</v>
      </c>
      <c r="C5" s="361">
        <f>+EVA!M$15</f>
        <v>36042276.546394378</v>
      </c>
      <c r="D5" s="362">
        <f>+'Z-SCORE ALTMAN'!N$34</f>
        <v>1.9310585412779913</v>
      </c>
      <c r="E5" s="385"/>
      <c r="Q5" s="385"/>
      <c r="R5" s="385"/>
      <c r="S5" s="385"/>
      <c r="T5" s="385"/>
      <c r="U5" s="385"/>
      <c r="V5" s="385"/>
      <c r="W5" s="385"/>
      <c r="X5" s="385"/>
      <c r="Y5" s="385"/>
      <c r="Z5" s="385"/>
      <c r="AA5" s="385"/>
      <c r="AB5" s="385"/>
      <c r="AC5" s="385"/>
    </row>
    <row r="6" spans="2:29" x14ac:dyDescent="0.25">
      <c r="B6" s="359">
        <f t="shared" si="0"/>
        <v>2022</v>
      </c>
      <c r="C6" s="361">
        <f>+EVA!N$15</f>
        <v>54082290.810565107</v>
      </c>
      <c r="D6" s="362">
        <f>+'Z-SCORE ALTMAN'!O$34</f>
        <v>1.8150789234875662</v>
      </c>
      <c r="E6" s="385"/>
      <c r="Q6" s="385"/>
      <c r="R6" s="385"/>
      <c r="S6" s="385"/>
      <c r="T6" s="385"/>
      <c r="U6" s="385"/>
      <c r="V6" s="385"/>
      <c r="W6" s="385"/>
      <c r="X6" s="385"/>
      <c r="Y6" s="385"/>
      <c r="Z6" s="385"/>
      <c r="AA6" s="385"/>
      <c r="AB6" s="385"/>
      <c r="AC6" s="385"/>
    </row>
    <row r="7" spans="2:29" x14ac:dyDescent="0.25">
      <c r="B7" s="359">
        <f t="shared" si="0"/>
        <v>2023</v>
      </c>
      <c r="C7" s="361">
        <f>+EVA!O$15</f>
        <v>41855083.417722002</v>
      </c>
      <c r="D7" s="362">
        <f>+'Z-SCORE ALTMAN'!P$34</f>
        <v>1.7819881136841595</v>
      </c>
      <c r="E7" s="385"/>
      <c r="Q7" s="385"/>
      <c r="R7" s="385"/>
      <c r="S7" s="385"/>
      <c r="T7" s="385"/>
      <c r="U7" s="385"/>
      <c r="V7" s="385"/>
      <c r="W7" s="385"/>
      <c r="X7" s="385"/>
      <c r="Y7" s="385"/>
      <c r="Z7" s="385"/>
      <c r="AA7" s="385"/>
      <c r="AB7" s="385"/>
      <c r="AC7" s="385"/>
    </row>
    <row r="8" spans="2:29" x14ac:dyDescent="0.25">
      <c r="B8" s="359">
        <f t="shared" si="0"/>
        <v>2024</v>
      </c>
      <c r="C8" s="361">
        <f>+EVA!P$15</f>
        <v>46577869.218891963</v>
      </c>
      <c r="D8" s="362">
        <f ca="1">+'Z-SCORE ALTMAN'!Q$34</f>
        <v>1.7743177289068979</v>
      </c>
      <c r="E8" s="385"/>
      <c r="Q8" s="385"/>
      <c r="R8" s="385"/>
      <c r="S8" s="385"/>
      <c r="T8" s="385"/>
      <c r="U8" s="385"/>
      <c r="V8" s="385"/>
      <c r="W8" s="385"/>
      <c r="X8" s="385"/>
      <c r="Y8" s="385"/>
      <c r="Z8" s="385"/>
      <c r="AA8" s="385"/>
      <c r="AB8" s="385"/>
      <c r="AC8" s="385"/>
    </row>
    <row r="9" spans="2:29" x14ac:dyDescent="0.25">
      <c r="B9" s="359">
        <f t="shared" si="0"/>
        <v>2025</v>
      </c>
      <c r="C9" s="361">
        <f ca="1">+EVA!Q$15</f>
        <v>45258841.336810723</v>
      </c>
      <c r="D9" s="362">
        <f ca="1">+'Z-SCORE ALTMAN'!R$34</f>
        <v>1.8080849707014073</v>
      </c>
      <c r="E9" s="385"/>
      <c r="Q9" s="385"/>
      <c r="R9" s="385"/>
      <c r="S9" s="385"/>
      <c r="T9" s="385"/>
      <c r="U9" s="385"/>
      <c r="V9" s="385"/>
      <c r="W9" s="385"/>
      <c r="X9" s="385"/>
      <c r="Y9" s="385"/>
      <c r="Z9" s="385"/>
      <c r="AA9" s="385"/>
      <c r="AB9" s="385"/>
      <c r="AC9" s="385"/>
    </row>
    <row r="10" spans="2:29" x14ac:dyDescent="0.25">
      <c r="B10" s="359">
        <f t="shared" si="0"/>
        <v>2026</v>
      </c>
      <c r="C10" s="361">
        <f ca="1">+EVA!R$15</f>
        <v>40335244.580658808</v>
      </c>
      <c r="D10" s="362">
        <f ca="1">+'Z-SCORE ALTMAN'!S$34</f>
        <v>1.8395400565014652</v>
      </c>
      <c r="E10" s="385"/>
      <c r="Q10" s="385"/>
      <c r="R10" s="385"/>
      <c r="S10" s="385"/>
      <c r="T10" s="385"/>
      <c r="U10" s="385"/>
      <c r="V10" s="385"/>
      <c r="W10" s="385"/>
      <c r="X10" s="385"/>
      <c r="Y10" s="385"/>
      <c r="Z10" s="385"/>
      <c r="AA10" s="385"/>
      <c r="AB10" s="385"/>
      <c r="AC10" s="385"/>
    </row>
    <row r="11" spans="2:29" x14ac:dyDescent="0.25">
      <c r="B11" s="359">
        <f t="shared" si="0"/>
        <v>2027</v>
      </c>
      <c r="C11" s="361">
        <f ca="1">+EVA!S$15</f>
        <v>38632641.612948895</v>
      </c>
      <c r="D11" s="362">
        <f ca="1">+'Z-SCORE ALTMAN'!T$34</f>
        <v>1.8777516190518169</v>
      </c>
      <c r="E11" s="385"/>
      <c r="Q11" s="385"/>
      <c r="R11" s="385"/>
      <c r="S11" s="385"/>
      <c r="T11" s="385"/>
      <c r="U11" s="385"/>
      <c r="V11" s="385"/>
      <c r="W11" s="385"/>
      <c r="X11" s="385"/>
      <c r="Y11" s="385"/>
      <c r="Z11" s="385"/>
      <c r="AA11" s="385"/>
      <c r="AB11" s="385"/>
      <c r="AC11" s="385"/>
    </row>
    <row r="12" spans="2:29" x14ac:dyDescent="0.25">
      <c r="B12" s="359">
        <f t="shared" si="0"/>
        <v>2028</v>
      </c>
      <c r="C12" s="361">
        <f ca="1">+EVA!T$15</f>
        <v>35716495.822189815</v>
      </c>
      <c r="D12" s="362">
        <f ca="1">+'Z-SCORE ALTMAN'!U$34</f>
        <v>1.914869521741045</v>
      </c>
      <c r="E12" s="385"/>
      <c r="Q12" s="385"/>
      <c r="R12" s="385"/>
      <c r="S12" s="385"/>
      <c r="T12" s="385"/>
      <c r="U12" s="385"/>
      <c r="V12" s="385"/>
      <c r="W12" s="385"/>
      <c r="X12" s="385"/>
      <c r="Y12" s="385"/>
      <c r="Z12" s="385"/>
      <c r="AA12" s="385"/>
      <c r="AB12" s="385"/>
      <c r="AC12" s="385"/>
    </row>
    <row r="13" spans="2:29" x14ac:dyDescent="0.25">
      <c r="B13" s="359">
        <f t="shared" si="0"/>
        <v>2029</v>
      </c>
      <c r="C13" s="361">
        <f ca="1">+EVA!U$15</f>
        <v>32576850.880730547</v>
      </c>
      <c r="D13" s="362">
        <f ca="1">+'Z-SCORE ALTMAN'!V$34</f>
        <v>1.9543397228450035</v>
      </c>
      <c r="E13" s="385"/>
      <c r="Q13" s="385"/>
      <c r="R13" s="385"/>
      <c r="S13" s="385"/>
      <c r="T13" s="385"/>
      <c r="U13" s="385"/>
      <c r="V13" s="385"/>
      <c r="W13" s="385"/>
      <c r="X13" s="385"/>
      <c r="Y13" s="385"/>
      <c r="Z13" s="385"/>
      <c r="AA13" s="385"/>
      <c r="AB13" s="385"/>
      <c r="AC13" s="385"/>
    </row>
    <row r="14" spans="2:29" x14ac:dyDescent="0.25">
      <c r="B14" s="359">
        <f t="shared" si="0"/>
        <v>2030</v>
      </c>
      <c r="C14" s="361">
        <f ca="1">+EVA!V$15</f>
        <v>30056139.016869135</v>
      </c>
      <c r="D14" s="362">
        <f ca="1">+'Z-SCORE ALTMAN'!W$34</f>
        <v>1.9913267377928887</v>
      </c>
      <c r="E14" s="385"/>
      <c r="Q14" s="385"/>
      <c r="R14" s="385"/>
      <c r="S14" s="385"/>
      <c r="T14" s="385"/>
      <c r="U14" s="385"/>
      <c r="V14" s="385"/>
      <c r="W14" s="385"/>
      <c r="X14" s="385"/>
      <c r="Y14" s="385"/>
      <c r="Z14" s="385"/>
      <c r="AA14" s="385"/>
      <c r="AB14" s="385"/>
      <c r="AC14" s="385"/>
    </row>
    <row r="15" spans="2:29" x14ac:dyDescent="0.25">
      <c r="B15" s="359">
        <f t="shared" si="0"/>
        <v>2031</v>
      </c>
      <c r="C15" s="361">
        <f ca="1">+EVA!W$15</f>
        <v>26768710.884215236</v>
      </c>
      <c r="D15" s="362">
        <f ca="1">+'Z-SCORE ALTMAN'!X$34</f>
        <v>2.0291104889643665</v>
      </c>
      <c r="E15" s="385"/>
      <c r="Q15" s="385"/>
      <c r="R15" s="385"/>
      <c r="S15" s="385"/>
      <c r="T15" s="385"/>
      <c r="U15" s="385"/>
      <c r="V15" s="385"/>
      <c r="W15" s="385"/>
      <c r="X15" s="385"/>
      <c r="Y15" s="385"/>
      <c r="Z15" s="385"/>
      <c r="AA15" s="385"/>
      <c r="AB15" s="385"/>
      <c r="AC15" s="385"/>
    </row>
    <row r="16" spans="2:29" x14ac:dyDescent="0.25">
      <c r="B16" s="359">
        <f t="shared" si="0"/>
        <v>2032</v>
      </c>
      <c r="C16" s="361">
        <f ca="1">+EVA!X$15</f>
        <v>23501390.932149306</v>
      </c>
      <c r="D16" s="362">
        <f ca="1">+'Z-SCORE ALTMAN'!Y$34</f>
        <v>2.0681456829411466</v>
      </c>
      <c r="E16" s="385"/>
      <c r="Q16" s="385"/>
      <c r="R16" s="385"/>
      <c r="S16" s="385"/>
      <c r="T16" s="385"/>
      <c r="U16" s="385"/>
      <c r="V16" s="385"/>
      <c r="W16" s="385"/>
      <c r="X16" s="385"/>
      <c r="Y16" s="385"/>
      <c r="Z16" s="385"/>
      <c r="AA16" s="385"/>
      <c r="AB16" s="385"/>
      <c r="AC16" s="385"/>
    </row>
    <row r="17" spans="2:33" x14ac:dyDescent="0.25">
      <c r="B17" s="359">
        <f>+B16+1</f>
        <v>2033</v>
      </c>
      <c r="C17" s="361">
        <f ca="1">+EVA!Y$15</f>
        <v>20256498.986493953</v>
      </c>
      <c r="D17" s="362">
        <f ca="1">+'Z-SCORE ALTMAN'!Z$34</f>
        <v>2.1074268951197483</v>
      </c>
      <c r="E17" s="385"/>
      <c r="Q17" s="385"/>
      <c r="R17" s="385"/>
      <c r="S17" s="385"/>
      <c r="T17" s="385"/>
      <c r="U17" s="385"/>
      <c r="V17" s="385"/>
      <c r="W17" s="385"/>
      <c r="X17" s="385"/>
      <c r="Y17" s="385"/>
      <c r="Z17" s="385"/>
      <c r="AA17" s="385"/>
      <c r="AB17" s="385"/>
      <c r="AC17" s="385"/>
    </row>
    <row r="18" spans="2:33" x14ac:dyDescent="0.25">
      <c r="B18" s="359">
        <f t="shared" si="0"/>
        <v>2034</v>
      </c>
      <c r="C18" s="361">
        <f ca="1">+EVA!Y$15</f>
        <v>20256498.986493953</v>
      </c>
      <c r="D18" s="362">
        <f ca="1">+'Z-SCORE ALTMAN'!Z$34</f>
        <v>2.1074268951197483</v>
      </c>
      <c r="E18" s="385"/>
      <c r="Q18" s="385"/>
      <c r="R18" s="385"/>
      <c r="S18" s="385"/>
      <c r="T18" s="385"/>
      <c r="U18" s="385"/>
      <c r="V18" s="385"/>
      <c r="W18" s="385"/>
      <c r="X18" s="385"/>
      <c r="Y18" s="385"/>
      <c r="Z18" s="385"/>
      <c r="AA18" s="385"/>
      <c r="AB18" s="385"/>
      <c r="AC18" s="385"/>
    </row>
    <row r="20" spans="2:33" x14ac:dyDescent="0.25">
      <c r="F20" s="389"/>
      <c r="G20" s="386" t="s">
        <v>412</v>
      </c>
      <c r="H20" s="386">
        <v>2019</v>
      </c>
      <c r="I20" s="386">
        <f t="shared" ref="I20:W20" si="1">+H20+1</f>
        <v>2020</v>
      </c>
      <c r="J20" s="386">
        <f t="shared" si="1"/>
        <v>2021</v>
      </c>
      <c r="K20" s="386">
        <f t="shared" si="1"/>
        <v>2022</v>
      </c>
      <c r="L20" s="386">
        <f t="shared" si="1"/>
        <v>2023</v>
      </c>
      <c r="M20" s="386">
        <f t="shared" si="1"/>
        <v>2024</v>
      </c>
      <c r="N20" s="386">
        <f t="shared" si="1"/>
        <v>2025</v>
      </c>
      <c r="O20" s="386">
        <f t="shared" si="1"/>
        <v>2026</v>
      </c>
      <c r="P20" s="386">
        <f t="shared" si="1"/>
        <v>2027</v>
      </c>
      <c r="Q20" s="386">
        <f t="shared" si="1"/>
        <v>2028</v>
      </c>
      <c r="R20" s="386">
        <f t="shared" si="1"/>
        <v>2029</v>
      </c>
      <c r="S20" s="386">
        <f t="shared" si="1"/>
        <v>2030</v>
      </c>
      <c r="T20" s="386">
        <f t="shared" si="1"/>
        <v>2031</v>
      </c>
      <c r="U20" s="386">
        <f t="shared" si="1"/>
        <v>2032</v>
      </c>
      <c r="V20" s="386">
        <f t="shared" si="1"/>
        <v>2033</v>
      </c>
      <c r="W20" s="386">
        <f t="shared" si="1"/>
        <v>2034</v>
      </c>
    </row>
    <row r="21" spans="2:33" x14ac:dyDescent="0.25">
      <c r="F21" s="504" t="s">
        <v>529</v>
      </c>
      <c r="G21" s="386" t="s">
        <v>380</v>
      </c>
      <c r="H21" s="387">
        <f>+'INDICADORES FINAN.TRADICIONALES'!$K$10</f>
        <v>1.795527715011622</v>
      </c>
      <c r="I21" s="387">
        <f>+'INDICADORES FINAN.TRADICIONALES'!$L$10</f>
        <v>1.4195825657443037</v>
      </c>
      <c r="J21" s="387">
        <f>+'INDICADORES FINAN.TRADICIONALES'!$M$10</f>
        <v>1.4586176413674234</v>
      </c>
      <c r="K21" s="387">
        <f>+'INDICADORES FINAN.TRADICIONALES'!$N$10</f>
        <v>1.4088025697145479</v>
      </c>
      <c r="L21" s="387">
        <f>+'INDICADORES FINAN.TRADICIONALES'!$O$10</f>
        <v>1.5429786354384407</v>
      </c>
      <c r="M21" s="387">
        <f>+'INDICADORES FINAN.TRADICIONALES'!$P$10</f>
        <v>2.6619050104175446</v>
      </c>
      <c r="N21" s="387">
        <f ca="1">+'INDICADORES FINAN.TRADICIONALES'!$Q$10</f>
        <v>3.4451037530607782</v>
      </c>
      <c r="O21" s="387">
        <f ca="1">+'INDICADORES FINAN.TRADICIONALES'!$R$10</f>
        <v>3.8949830527183287</v>
      </c>
      <c r="P21" s="387">
        <f ca="1">+'INDICADORES FINAN.TRADICIONALES'!$S$10</f>
        <v>4.4866187764355239</v>
      </c>
      <c r="Q21" s="387">
        <f ca="1">+'INDICADORES FINAN.TRADICIONALES'!$T$10</f>
        <v>4.9618404811402197</v>
      </c>
      <c r="R21" s="387">
        <f ca="1">+'INDICADORES FINAN.TRADICIONALES'!$U$10</f>
        <v>5.3981630685217565</v>
      </c>
      <c r="S21" s="387">
        <f ca="1">+'INDICADORES FINAN.TRADICIONALES'!$V$10</f>
        <v>5.8421617104381243</v>
      </c>
      <c r="T21" s="387">
        <f ca="1">+'INDICADORES FINAN.TRADICIONALES'!$W$10</f>
        <v>6.248492502303943</v>
      </c>
      <c r="U21" s="387">
        <f ca="1">+'INDICADORES FINAN.TRADICIONALES'!$X$10</f>
        <v>6.6349937430190105</v>
      </c>
      <c r="V21" s="387">
        <f ca="1">+'INDICADORES FINAN.TRADICIONALES'!$Y$10</f>
        <v>7.0032927248892651</v>
      </c>
      <c r="W21" s="387">
        <f ca="1">+'INDICADORES FINAN.TRADICIONALES'!$Y$10</f>
        <v>7.0032927248892651</v>
      </c>
      <c r="AD21" s="363"/>
      <c r="AE21" s="503" t="s">
        <v>379</v>
      </c>
      <c r="AF21" s="503"/>
      <c r="AG21" s="503"/>
    </row>
    <row r="22" spans="2:33" x14ac:dyDescent="0.25">
      <c r="F22" s="505"/>
      <c r="G22" s="388" t="s">
        <v>383</v>
      </c>
      <c r="H22" s="387">
        <f>+'INDICADORES FINAN.TRADICIONALES'!$K$14</f>
        <v>1.1979608712648682</v>
      </c>
      <c r="I22" s="387">
        <f>+'INDICADORES FINAN.TRADICIONALES'!$L$14</f>
        <v>0.96206461092241424</v>
      </c>
      <c r="J22" s="387">
        <f>+'INDICADORES FINAN.TRADICIONALES'!$M$14</f>
        <v>0.98955794282782739</v>
      </c>
      <c r="K22" s="387">
        <f>+'INDICADORES FINAN.TRADICIONALES'!$N$14</f>
        <v>1.0355210120007741</v>
      </c>
      <c r="L22" s="387">
        <f>+'INDICADORES FINAN.TRADICIONALES'!$O$14</f>
        <v>1.1791664473071592</v>
      </c>
      <c r="M22" s="387">
        <f>+'INDICADORES FINAN.TRADICIONALES'!$P$14</f>
        <v>2.2046811631590582</v>
      </c>
      <c r="N22" s="387">
        <f ca="1">+'INDICADORES FINAN.TRADICIONALES'!$Q$14</f>
        <v>2.9714604262087834</v>
      </c>
      <c r="O22" s="387">
        <f ca="1">+'INDICADORES FINAN.TRADICIONALES'!$R$14</f>
        <v>3.4321031169545297</v>
      </c>
      <c r="P22" s="387">
        <f ca="1">+'INDICADORES FINAN.TRADICIONALES'!$S$14</f>
        <v>4.0353115028209414</v>
      </c>
      <c r="Q22" s="387">
        <f ca="1">+'INDICADORES FINAN.TRADICIONALES'!$T$14</f>
        <v>4.5208544217262157</v>
      </c>
      <c r="R22" s="387">
        <f ca="1">+'INDICADORES FINAN.TRADICIONALES'!$U$14</f>
        <v>4.9670873252545054</v>
      </c>
      <c r="S22" s="387">
        <f ca="1">+'INDICADORES FINAN.TRADICIONALES'!$V$14</f>
        <v>5.4207177522263086</v>
      </c>
      <c r="T22" s="387">
        <f ca="1">+'INDICADORES FINAN.TRADICIONALES'!$W$14</f>
        <v>5.8362660307064163</v>
      </c>
      <c r="U22" s="387">
        <f ca="1">+'INDICADORES FINAN.TRADICIONALES'!$X$14</f>
        <v>6.2316317492906528</v>
      </c>
      <c r="V22" s="387">
        <f ca="1">+'INDICADORES FINAN.TRADICIONALES'!$Y$14</f>
        <v>6.6084468021870801</v>
      </c>
      <c r="W22" s="387">
        <f ca="1">+'INDICADORES FINAN.TRADICIONALES'!$Y$14</f>
        <v>6.6084468021870801</v>
      </c>
      <c r="AD22" s="359" t="s">
        <v>412</v>
      </c>
      <c r="AE22" s="359" t="s">
        <v>380</v>
      </c>
      <c r="AF22" s="359" t="s">
        <v>383</v>
      </c>
      <c r="AG22" s="359" t="s">
        <v>384</v>
      </c>
    </row>
    <row r="23" spans="2:33" x14ac:dyDescent="0.25">
      <c r="F23" s="506"/>
      <c r="G23" s="388" t="s">
        <v>384</v>
      </c>
      <c r="H23" s="387">
        <f>+'INDICADORES FINAN.TRADICIONALES'!$K$18</f>
        <v>2.4780542926098055E-2</v>
      </c>
      <c r="I23" s="387">
        <f>+'INDICADORES FINAN.TRADICIONALES'!$L$18</f>
        <v>7.2863492221533613E-2</v>
      </c>
      <c r="J23" s="387">
        <f>+'INDICADORES FINAN.TRADICIONALES'!$M$18</f>
        <v>2.4995929750957008E-2</v>
      </c>
      <c r="K23" s="387">
        <f>+'INDICADORES FINAN.TRADICIONALES'!$N$18</f>
        <v>6.0263725552763873E-2</v>
      </c>
      <c r="L23" s="387">
        <f>+'INDICADORES FINAN.TRADICIONALES'!$O$18</f>
        <v>1.8356735929868216E-2</v>
      </c>
      <c r="M23" s="387">
        <f>+'INDICADORES FINAN.TRADICIONALES'!$P$18</f>
        <v>0.54511291016052843</v>
      </c>
      <c r="N23" s="387">
        <f ca="1">+'INDICADORES FINAN.TRADICIONALES'!$Q$18</f>
        <v>1.3984514180126375</v>
      </c>
      <c r="O23" s="387">
        <f ca="1">+'INDICADORES FINAN.TRADICIONALES'!$R$18</f>
        <v>1.9105343954289786</v>
      </c>
      <c r="P23" s="387">
        <f ca="1">+'INDICADORES FINAN.TRADICIONALES'!$S$18</f>
        <v>2.5412622412257733</v>
      </c>
      <c r="Q23" s="387">
        <f ca="1">+'INDICADORES FINAN.TRADICIONALES'!$T$18</f>
        <v>3.0628705205806024</v>
      </c>
      <c r="R23" s="387">
        <f ca="1">+'INDICADORES FINAN.TRADICIONALES'!$U$18</f>
        <v>3.5439960414165292</v>
      </c>
      <c r="S23" s="387">
        <f ca="1">+'INDICADORES FINAN.TRADICIONALES'!$V$18</f>
        <v>4.0274344758842391</v>
      </c>
      <c r="T23" s="387">
        <f ca="1">+'INDICADORES FINAN.TRADICIONALES'!$W$18</f>
        <v>4.4740750987396423</v>
      </c>
      <c r="U23" s="387">
        <f ca="1">+'INDICADORES FINAN.TRADICIONALES'!$X$18</f>
        <v>4.8989640994137877</v>
      </c>
      <c r="V23" s="387">
        <f ca="1">+'INDICADORES FINAN.TRADICIONALES'!$Y$18</f>
        <v>5.3035670187720623</v>
      </c>
      <c r="W23" s="387">
        <f ca="1">+'INDICADORES FINAN.TRADICIONALES'!$Y$18</f>
        <v>5.3035670187720623</v>
      </c>
      <c r="AD23" s="359">
        <v>2019</v>
      </c>
      <c r="AE23" s="364">
        <f>+'INDICADORES FINAN.TRADICIONALES'!$K$10</f>
        <v>1.795527715011622</v>
      </c>
      <c r="AF23" s="364">
        <f>+'INDICADORES FINAN.TRADICIONALES'!$K$14</f>
        <v>1.1979608712648682</v>
      </c>
      <c r="AG23" s="364">
        <f>+'INDICADORES FINAN.TRADICIONALES'!$K$18</f>
        <v>2.4780542926098055E-2</v>
      </c>
    </row>
    <row r="24" spans="2:33" x14ac:dyDescent="0.25">
      <c r="AD24" s="359">
        <f>+AD23+1</f>
        <v>2020</v>
      </c>
      <c r="AE24" s="364">
        <f>+'INDICADORES FINAN.TRADICIONALES'!$L$10</f>
        <v>1.4195825657443037</v>
      </c>
      <c r="AF24" s="364">
        <f>+'INDICADORES FINAN.TRADICIONALES'!$L$14</f>
        <v>0.96206461092241424</v>
      </c>
      <c r="AG24" s="364">
        <f>+'INDICADORES FINAN.TRADICIONALES'!$L$18</f>
        <v>7.2863492221533613E-2</v>
      </c>
    </row>
    <row r="25" spans="2:33" x14ac:dyDescent="0.25">
      <c r="AD25" s="359">
        <f t="shared" ref="AD25:AD38" si="2">+AD24+1</f>
        <v>2021</v>
      </c>
      <c r="AE25" s="364">
        <f>+'INDICADORES FINAN.TRADICIONALES'!$M$10</f>
        <v>1.4586176413674234</v>
      </c>
      <c r="AF25" s="364">
        <f>+'INDICADORES FINAN.TRADICIONALES'!$M$14</f>
        <v>0.98955794282782739</v>
      </c>
      <c r="AG25" s="364">
        <f>+'INDICADORES FINAN.TRADICIONALES'!$M$18</f>
        <v>2.4995929750957008E-2</v>
      </c>
    </row>
    <row r="26" spans="2:33" x14ac:dyDescent="0.25">
      <c r="F26" s="389"/>
      <c r="G26" s="386" t="s">
        <v>412</v>
      </c>
      <c r="H26" s="386">
        <v>2019</v>
      </c>
      <c r="I26" s="386">
        <v>2020</v>
      </c>
      <c r="J26" s="386">
        <v>2021</v>
      </c>
      <c r="K26" s="386">
        <v>2022</v>
      </c>
      <c r="L26" s="386">
        <v>2023</v>
      </c>
      <c r="M26" s="386">
        <v>2024</v>
      </c>
      <c r="N26" s="386">
        <v>2025</v>
      </c>
      <c r="O26" s="386">
        <v>2026</v>
      </c>
      <c r="P26" s="386">
        <v>2027</v>
      </c>
      <c r="Q26" s="386">
        <v>2028</v>
      </c>
      <c r="R26" s="386">
        <v>2029</v>
      </c>
      <c r="S26" s="386">
        <v>2030</v>
      </c>
      <c r="T26" s="386">
        <v>2031</v>
      </c>
      <c r="U26" s="386">
        <v>2032</v>
      </c>
      <c r="V26" s="386">
        <v>2033</v>
      </c>
      <c r="W26" s="386">
        <v>2034</v>
      </c>
      <c r="AD26" s="359">
        <f t="shared" si="2"/>
        <v>2022</v>
      </c>
      <c r="AE26" s="364">
        <f>+'INDICADORES FINAN.TRADICIONALES'!$N$10</f>
        <v>1.4088025697145479</v>
      </c>
      <c r="AF26" s="364">
        <f>+'INDICADORES FINAN.TRADICIONALES'!$N$14</f>
        <v>1.0355210120007741</v>
      </c>
      <c r="AG26" s="364">
        <f>+'INDICADORES FINAN.TRADICIONALES'!$N$18</f>
        <v>6.0263725552763873E-2</v>
      </c>
    </row>
    <row r="27" spans="2:33" x14ac:dyDescent="0.25">
      <c r="F27" s="505" t="s">
        <v>530</v>
      </c>
      <c r="G27" s="386" t="s">
        <v>387</v>
      </c>
      <c r="H27" s="387">
        <v>7.8163391741668836E-2</v>
      </c>
      <c r="I27" s="387">
        <v>0.12244343024351921</v>
      </c>
      <c r="J27" s="387">
        <v>0.1630028681755204</v>
      </c>
      <c r="K27" s="387">
        <v>0.22001207422760705</v>
      </c>
      <c r="L27" s="387">
        <v>0.11686136920425252</v>
      </c>
      <c r="M27" s="387">
        <v>0.11425520172335381</v>
      </c>
      <c r="N27" s="387">
        <v>0.12213577281862106</v>
      </c>
      <c r="O27" s="387">
        <v>0.10594280453336813</v>
      </c>
      <c r="P27" s="387">
        <v>0.1012541004737789</v>
      </c>
      <c r="Q27" s="387">
        <v>9.4601271890107155E-2</v>
      </c>
      <c r="R27" s="387">
        <v>8.8655522611688464E-2</v>
      </c>
      <c r="S27" s="387">
        <v>8.4963116488585858E-2</v>
      </c>
      <c r="T27" s="387">
        <v>8.0523405628471212E-2</v>
      </c>
      <c r="U27" s="387">
        <v>7.6846276274792388E-2</v>
      </c>
      <c r="V27" s="387">
        <v>7.3806155515812613E-2</v>
      </c>
      <c r="W27" s="387">
        <v>7.3806155515812613E-2</v>
      </c>
      <c r="AD27" s="359">
        <f t="shared" si="2"/>
        <v>2023</v>
      </c>
      <c r="AE27" s="364">
        <f>+'INDICADORES FINAN.TRADICIONALES'!$O$10</f>
        <v>1.5429786354384407</v>
      </c>
      <c r="AF27" s="364">
        <f>+'INDICADORES FINAN.TRADICIONALES'!$O$14</f>
        <v>1.1791664473071592</v>
      </c>
      <c r="AG27" s="364">
        <f>+'INDICADORES FINAN.TRADICIONALES'!$O$18</f>
        <v>1.8356735929868216E-2</v>
      </c>
    </row>
    <row r="28" spans="2:33" x14ac:dyDescent="0.25">
      <c r="F28" s="505"/>
      <c r="G28" s="388" t="s">
        <v>389</v>
      </c>
      <c r="H28" s="387">
        <v>3.4141797043341748E-2</v>
      </c>
      <c r="I28" s="387">
        <v>5.4901026155963636E-2</v>
      </c>
      <c r="J28" s="387">
        <v>7.7459436061082215E-2</v>
      </c>
      <c r="K28" s="387">
        <v>9.0182574361172677E-2</v>
      </c>
      <c r="L28" s="387">
        <v>5.1549521392135735E-2</v>
      </c>
      <c r="M28" s="387">
        <v>4.89058698422319E-2</v>
      </c>
      <c r="N28" s="387">
        <v>5.5900988856011025E-2</v>
      </c>
      <c r="O28" s="387">
        <v>5.1242611810626351E-2</v>
      </c>
      <c r="P28" s="387">
        <v>5.1468087517980717E-2</v>
      </c>
      <c r="Q28" s="387">
        <v>5.0202047123958399E-2</v>
      </c>
      <c r="R28" s="387">
        <v>4.8873985919429624E-2</v>
      </c>
      <c r="S28" s="387">
        <v>4.8476011518516438E-2</v>
      </c>
      <c r="T28" s="387">
        <v>4.7394809171110872E-2</v>
      </c>
      <c r="U28" s="387">
        <v>4.6519067026774448E-2</v>
      </c>
      <c r="V28" s="387">
        <v>4.5833845103391543E-2</v>
      </c>
      <c r="W28" s="387">
        <v>4.5833845103391543E-2</v>
      </c>
      <c r="AD28" s="359">
        <f t="shared" si="2"/>
        <v>2024</v>
      </c>
      <c r="AE28" s="364">
        <f>+'INDICADORES FINAN.TRADICIONALES'!$P$10</f>
        <v>2.6619050104175446</v>
      </c>
      <c r="AF28" s="364">
        <f>+'INDICADORES FINAN.TRADICIONALES'!$P$14</f>
        <v>2.2046811631590582</v>
      </c>
      <c r="AG28" s="364">
        <f>+'INDICADORES FINAN.TRADICIONALES'!$P$18</f>
        <v>0.54511291016052843</v>
      </c>
    </row>
    <row r="29" spans="2:33" x14ac:dyDescent="0.25">
      <c r="F29" s="505"/>
      <c r="G29" s="388" t="s">
        <v>390</v>
      </c>
      <c r="H29" s="387">
        <v>4.601245276365263E-2</v>
      </c>
      <c r="I29" s="387">
        <v>7.2533548509611745E-2</v>
      </c>
      <c r="J29" s="387">
        <v>9.2194062865920509E-2</v>
      </c>
      <c r="K29" s="387">
        <v>9.5681914651247757E-2</v>
      </c>
      <c r="L29" s="387">
        <v>5.5379849648096245E-2</v>
      </c>
      <c r="M29" s="387">
        <v>5.3695137902041168E-2</v>
      </c>
      <c r="N29" s="390">
        <v>6.461043489488294E-2</v>
      </c>
      <c r="O29" s="390">
        <v>6.030833026941191E-2</v>
      </c>
      <c r="P29" s="390">
        <v>6.3014433428475125E-2</v>
      </c>
      <c r="Q29" s="390">
        <v>6.2956522715683513E-2</v>
      </c>
      <c r="R29" s="390">
        <v>6.2734075856565E-2</v>
      </c>
      <c r="S29" s="390">
        <v>6.3805950973342754E-2</v>
      </c>
      <c r="T29" s="390">
        <v>6.3955490925004813E-2</v>
      </c>
      <c r="U29" s="390">
        <v>6.4343960353162227E-2</v>
      </c>
      <c r="V29" s="390">
        <v>6.4935013864008309E-2</v>
      </c>
      <c r="W29" s="390">
        <v>6.4935013864008309E-2</v>
      </c>
      <c r="AD29" s="359">
        <f t="shared" si="2"/>
        <v>2025</v>
      </c>
      <c r="AE29" s="364">
        <f ca="1">+'INDICADORES FINAN.TRADICIONALES'!$Q$10</f>
        <v>3.4451037530607782</v>
      </c>
      <c r="AF29" s="364">
        <f ca="1">+'INDICADORES FINAN.TRADICIONALES'!$Q$14</f>
        <v>2.9714604262087834</v>
      </c>
      <c r="AG29" s="364">
        <f ca="1">+'INDICADORES FINAN.TRADICIONALES'!$Q$18</f>
        <v>1.3984514180126375</v>
      </c>
    </row>
    <row r="30" spans="2:33" x14ac:dyDescent="0.25">
      <c r="F30" s="506"/>
      <c r="G30" s="388" t="s">
        <v>392</v>
      </c>
      <c r="H30" s="387">
        <v>0.11655629315656271</v>
      </c>
      <c r="I30" s="387">
        <v>0.1346499843558063</v>
      </c>
      <c r="J30" s="387">
        <v>0.16068811354037871</v>
      </c>
      <c r="K30" s="387">
        <v>0.18389924356239035</v>
      </c>
      <c r="L30" s="387">
        <v>0.13326585493877785</v>
      </c>
      <c r="M30" s="387">
        <v>0.13767534792764796</v>
      </c>
      <c r="N30" s="390">
        <v>0.14286028997291664</v>
      </c>
      <c r="O30" s="390">
        <v>0.13461314289671911</v>
      </c>
      <c r="P30" s="390">
        <v>0.13806483703031153</v>
      </c>
      <c r="Q30" s="390">
        <v>0.1366844015280064</v>
      </c>
      <c r="R30" s="390">
        <v>0.13512550273569643</v>
      </c>
      <c r="S30" s="390">
        <v>0.13567593674613845</v>
      </c>
      <c r="T30" s="390">
        <v>0.1348878810774185</v>
      </c>
      <c r="U30" s="390">
        <v>0.1345217305408426</v>
      </c>
      <c r="V30" s="390">
        <v>0.13449310898214531</v>
      </c>
      <c r="W30" s="390">
        <v>0.13449310898214531</v>
      </c>
      <c r="AD30" s="359">
        <f t="shared" si="2"/>
        <v>2026</v>
      </c>
      <c r="AE30" s="364">
        <f ca="1">+'INDICADORES FINAN.TRADICIONALES'!$R$10</f>
        <v>3.8949830527183287</v>
      </c>
      <c r="AF30" s="364">
        <f ca="1">+'INDICADORES FINAN.TRADICIONALES'!$R$14</f>
        <v>3.4321031169545297</v>
      </c>
      <c r="AG30" s="364">
        <f ca="1">+'INDICADORES FINAN.TRADICIONALES'!$R$18</f>
        <v>1.9105343954289786</v>
      </c>
    </row>
    <row r="31" spans="2:33" x14ac:dyDescent="0.25">
      <c r="AD31" s="359">
        <f t="shared" si="2"/>
        <v>2027</v>
      </c>
      <c r="AE31" s="364">
        <f ca="1">+'INDICADORES FINAN.TRADICIONALES'!$S$10</f>
        <v>4.4866187764355239</v>
      </c>
      <c r="AF31" s="364">
        <f ca="1">+'INDICADORES FINAN.TRADICIONALES'!$S$14</f>
        <v>4.0353115028209414</v>
      </c>
      <c r="AG31" s="364">
        <f ca="1">+'INDICADORES FINAN.TRADICIONALES'!$S$18</f>
        <v>2.5412622412257733</v>
      </c>
    </row>
    <row r="32" spans="2:33" x14ac:dyDescent="0.25">
      <c r="AD32" s="359">
        <f t="shared" si="2"/>
        <v>2028</v>
      </c>
      <c r="AE32" s="364">
        <f ca="1">+'INDICADORES FINAN.TRADICIONALES'!$T$10</f>
        <v>4.9618404811402197</v>
      </c>
      <c r="AF32" s="364">
        <f ca="1">+'INDICADORES FINAN.TRADICIONALES'!$T$14</f>
        <v>4.5208544217262157</v>
      </c>
      <c r="AG32" s="364">
        <f ca="1">+'INDICADORES FINAN.TRADICIONALES'!$T$18</f>
        <v>3.0628705205806024</v>
      </c>
    </row>
    <row r="33" spans="6:39" x14ac:dyDescent="0.25">
      <c r="F33" s="393"/>
      <c r="G33" s="392" t="s">
        <v>412</v>
      </c>
      <c r="H33" s="386">
        <v>2019</v>
      </c>
      <c r="I33" s="386">
        <v>2020</v>
      </c>
      <c r="J33" s="386">
        <v>2021</v>
      </c>
      <c r="K33" s="386">
        <v>2022</v>
      </c>
      <c r="L33" s="386">
        <v>2023</v>
      </c>
      <c r="M33" s="386">
        <v>2024</v>
      </c>
      <c r="N33" s="386">
        <v>2025</v>
      </c>
      <c r="O33" s="386">
        <v>2026</v>
      </c>
      <c r="P33" s="386">
        <v>2027</v>
      </c>
      <c r="Q33" s="386">
        <v>2028</v>
      </c>
      <c r="R33" s="386">
        <v>2029</v>
      </c>
      <c r="S33" s="386">
        <v>2030</v>
      </c>
      <c r="T33" s="386">
        <v>2031</v>
      </c>
      <c r="U33" s="386">
        <v>2032</v>
      </c>
      <c r="V33" s="386">
        <v>2033</v>
      </c>
      <c r="W33" s="386">
        <v>2034</v>
      </c>
      <c r="AD33" s="359">
        <f t="shared" si="2"/>
        <v>2029</v>
      </c>
      <c r="AE33" s="364">
        <f ca="1">+'INDICADORES FINAN.TRADICIONALES'!$U$10</f>
        <v>5.3981630685217565</v>
      </c>
      <c r="AF33" s="364">
        <f ca="1">+'INDICADORES FINAN.TRADICIONALES'!$U$14</f>
        <v>4.9670873252545054</v>
      </c>
      <c r="AG33" s="364">
        <f ca="1">+'INDICADORES FINAN.TRADICIONALES'!$U$18</f>
        <v>3.5439960414165292</v>
      </c>
    </row>
    <row r="34" spans="6:39" x14ac:dyDescent="0.25">
      <c r="F34" s="504" t="s">
        <v>531</v>
      </c>
      <c r="G34" s="391" t="s">
        <v>404</v>
      </c>
      <c r="H34" s="387">
        <v>0.56319964778165088</v>
      </c>
      <c r="I34" s="387">
        <v>0.55162129934799431</v>
      </c>
      <c r="J34" s="387">
        <v>0.52479709757208437</v>
      </c>
      <c r="K34" s="387">
        <v>0.59010170383704974</v>
      </c>
      <c r="L34" s="387">
        <v>0.5588831301297138</v>
      </c>
      <c r="M34" s="387">
        <v>0.57195935848375912</v>
      </c>
      <c r="N34" s="387">
        <v>0.54230453890829089</v>
      </c>
      <c r="O34" s="387">
        <v>0.516318148869782</v>
      </c>
      <c r="P34" s="387">
        <v>0.49169379534106783</v>
      </c>
      <c r="Q34" s="387">
        <v>0.46933010390943536</v>
      </c>
      <c r="R34" s="387">
        <v>0.44872034499759383</v>
      </c>
      <c r="S34" s="387">
        <v>0.4294464054290098</v>
      </c>
      <c r="T34" s="387">
        <v>0.41141573929713221</v>
      </c>
      <c r="U34" s="387">
        <v>0.39464773985367513</v>
      </c>
      <c r="V34" s="387">
        <v>0.37899698496595069</v>
      </c>
      <c r="W34" s="387">
        <v>0.37899698496595069</v>
      </c>
      <c r="AD34" s="359">
        <f t="shared" si="2"/>
        <v>2030</v>
      </c>
      <c r="AE34" s="364">
        <f ca="1">+'INDICADORES FINAN.TRADICIONALES'!$V$10</f>
        <v>5.8421617104381243</v>
      </c>
      <c r="AF34" s="364">
        <f ca="1">+'INDICADORES FINAN.TRADICIONALES'!$V$14</f>
        <v>5.4207177522263086</v>
      </c>
      <c r="AG34" s="364">
        <f ca="1">+'INDICADORES FINAN.TRADICIONALES'!$V$18</f>
        <v>4.0274344758842391</v>
      </c>
    </row>
    <row r="35" spans="6:39" x14ac:dyDescent="0.25">
      <c r="F35" s="506"/>
      <c r="G35" s="391" t="s">
        <v>401</v>
      </c>
      <c r="H35" s="387">
        <v>3.1197251990790642</v>
      </c>
      <c r="I35" s="387">
        <v>2.0463583443539517</v>
      </c>
      <c r="J35" s="387">
        <v>1.5254039768931351</v>
      </c>
      <c r="K35" s="387">
        <v>1.3373853661656452</v>
      </c>
      <c r="L35" s="387">
        <v>1.8513550210002028</v>
      </c>
      <c r="M35" s="387">
        <v>1.9325532277307917</v>
      </c>
      <c r="N35" s="387">
        <v>1.8393561556114664</v>
      </c>
      <c r="O35" s="387">
        <v>1.8415611841229884</v>
      </c>
      <c r="P35" s="387">
        <v>1.7665974110143277</v>
      </c>
      <c r="Q35" s="387">
        <v>1.7199849680561243</v>
      </c>
      <c r="R35" s="387">
        <v>1.6774639431283316</v>
      </c>
      <c r="S35" s="387">
        <v>1.6215681035391405</v>
      </c>
      <c r="T35" s="387">
        <v>1.5808037016157197</v>
      </c>
      <c r="U35" s="387">
        <v>1.5400693151766183</v>
      </c>
      <c r="V35" s="387">
        <v>1.4978454242589549</v>
      </c>
      <c r="W35" s="387">
        <v>1.4978454242589549</v>
      </c>
      <c r="AD35" s="359">
        <f t="shared" si="2"/>
        <v>2031</v>
      </c>
      <c r="AE35" s="364">
        <f ca="1">+'INDICADORES FINAN.TRADICIONALES'!$W$10</f>
        <v>6.248492502303943</v>
      </c>
      <c r="AF35" s="364">
        <f ca="1">+'INDICADORES FINAN.TRADICIONALES'!$W$14</f>
        <v>5.8362660307064163</v>
      </c>
      <c r="AG35" s="364">
        <f ca="1">+'INDICADORES FINAN.TRADICIONALES'!$W$18</f>
        <v>4.4740750987396423</v>
      </c>
    </row>
    <row r="36" spans="6:39" x14ac:dyDescent="0.25">
      <c r="AD36" s="359">
        <f t="shared" si="2"/>
        <v>2032</v>
      </c>
      <c r="AE36" s="364">
        <f ca="1">+'INDICADORES FINAN.TRADICIONALES'!$X$10</f>
        <v>6.6349937430190105</v>
      </c>
      <c r="AF36" s="364">
        <f ca="1">+'INDICADORES FINAN.TRADICIONALES'!$X$14</f>
        <v>6.2316317492906528</v>
      </c>
      <c r="AG36" s="364">
        <f ca="1">+'INDICADORES FINAN.TRADICIONALES'!$X$18</f>
        <v>4.8989640994137877</v>
      </c>
    </row>
    <row r="37" spans="6:39" x14ac:dyDescent="0.25">
      <c r="AD37" s="359">
        <f>+AD36+1</f>
        <v>2033</v>
      </c>
      <c r="AE37" s="364">
        <f ca="1">+'INDICADORES FINAN.TRADICIONALES'!$Y$10</f>
        <v>7.0032927248892651</v>
      </c>
      <c r="AF37" s="364">
        <f ca="1">+'INDICADORES FINAN.TRADICIONALES'!$Y$14</f>
        <v>6.6084468021870801</v>
      </c>
      <c r="AG37" s="364">
        <f ca="1">+'INDICADORES FINAN.TRADICIONALES'!$Y$18</f>
        <v>5.3035670187720623</v>
      </c>
    </row>
    <row r="38" spans="6:39" x14ac:dyDescent="0.25">
      <c r="AD38" s="359">
        <f t="shared" si="2"/>
        <v>2034</v>
      </c>
      <c r="AE38" s="364">
        <f ca="1">+'INDICADORES FINAN.TRADICIONALES'!$Y$10</f>
        <v>7.0032927248892651</v>
      </c>
      <c r="AF38" s="364">
        <f ca="1">+'INDICADORES FINAN.TRADICIONALES'!$Y$14</f>
        <v>6.6084468021870801</v>
      </c>
      <c r="AG38" s="364">
        <f ca="1">+'INDICADORES FINAN.TRADICIONALES'!$Y$18</f>
        <v>5.3035670187720623</v>
      </c>
    </row>
    <row r="39" spans="6:39" x14ac:dyDescent="0.25">
      <c r="F39" s="389"/>
      <c r="G39" s="392" t="s">
        <v>412</v>
      </c>
      <c r="H39" s="386">
        <v>2019</v>
      </c>
      <c r="I39" s="386">
        <v>2020</v>
      </c>
      <c r="J39" s="386">
        <v>2021</v>
      </c>
      <c r="K39" s="386">
        <v>2022</v>
      </c>
      <c r="L39" s="386">
        <v>2023</v>
      </c>
      <c r="M39" s="386">
        <v>2024</v>
      </c>
      <c r="N39" s="386">
        <v>2025</v>
      </c>
      <c r="O39" s="386">
        <v>2026</v>
      </c>
      <c r="P39" s="386">
        <v>2027</v>
      </c>
      <c r="Q39" s="386">
        <v>2028</v>
      </c>
      <c r="R39" s="386">
        <v>2029</v>
      </c>
      <c r="S39" s="386">
        <v>2030</v>
      </c>
      <c r="T39" s="386">
        <v>2031</v>
      </c>
      <c r="U39" s="386">
        <v>2032</v>
      </c>
      <c r="V39" s="386">
        <v>2033</v>
      </c>
      <c r="W39" s="386">
        <v>2034</v>
      </c>
    </row>
    <row r="40" spans="6:39" x14ac:dyDescent="0.25">
      <c r="F40" s="504" t="s">
        <v>532</v>
      </c>
      <c r="G40" s="394" t="s">
        <v>436</v>
      </c>
      <c r="H40" s="387">
        <v>26.16810595052884</v>
      </c>
      <c r="I40" s="387">
        <v>25.371343348992752</v>
      </c>
      <c r="J40" s="387">
        <v>24.645155963800942</v>
      </c>
      <c r="K40" s="387">
        <v>21.428439613476954</v>
      </c>
      <c r="L40" s="387">
        <v>18.685156158488059</v>
      </c>
      <c r="M40" s="387">
        <v>17.545608458336435</v>
      </c>
      <c r="N40" s="387">
        <v>17.455767774583212</v>
      </c>
      <c r="O40" s="387">
        <v>17.343985031978303</v>
      </c>
      <c r="P40" s="387">
        <v>17.675086426080867</v>
      </c>
      <c r="Q40" s="387">
        <v>17.474259027080333</v>
      </c>
      <c r="R40" s="387">
        <v>17.480122126781726</v>
      </c>
      <c r="S40" s="387">
        <v>17.523861821860166</v>
      </c>
      <c r="T40" s="387">
        <v>17.519408428527804</v>
      </c>
      <c r="U40" s="387">
        <v>17.528557972849008</v>
      </c>
      <c r="V40" s="387">
        <v>17.532364421563578</v>
      </c>
      <c r="W40" s="387">
        <v>17.532364421563578</v>
      </c>
      <c r="AI40" s="363"/>
      <c r="AJ40" s="503" t="s">
        <v>386</v>
      </c>
      <c r="AK40" s="503"/>
      <c r="AL40" s="503"/>
      <c r="AM40" s="503"/>
    </row>
    <row r="41" spans="6:39" x14ac:dyDescent="0.25">
      <c r="F41" s="505"/>
      <c r="G41" s="391" t="s">
        <v>437</v>
      </c>
      <c r="H41" s="387">
        <v>8.9027232705786172</v>
      </c>
      <c r="I41" s="387">
        <v>9.3910321529039003</v>
      </c>
      <c r="J41" s="387">
        <v>9.1163196958652026</v>
      </c>
      <c r="K41" s="387">
        <v>8.9212695287562607</v>
      </c>
      <c r="L41" s="387">
        <v>7.8941612372009571</v>
      </c>
      <c r="M41" s="387">
        <v>7.5860417550360557</v>
      </c>
      <c r="N41" s="387">
        <v>8.0952296045424994</v>
      </c>
      <c r="O41" s="387">
        <v>8.0952296045424994</v>
      </c>
      <c r="P41" s="387">
        <v>8.0952296045424994</v>
      </c>
      <c r="Q41" s="387">
        <v>8.0952296045425012</v>
      </c>
      <c r="R41" s="387">
        <v>8.0952296045425012</v>
      </c>
      <c r="S41" s="387">
        <v>8.0952296045424994</v>
      </c>
      <c r="T41" s="387">
        <v>8.0952296045424994</v>
      </c>
      <c r="U41" s="387">
        <v>8.0952296045424994</v>
      </c>
      <c r="V41" s="387">
        <v>8.0952296045424994</v>
      </c>
      <c r="W41" s="387">
        <v>8.0952296045424994</v>
      </c>
      <c r="AI41" s="359" t="s">
        <v>412</v>
      </c>
      <c r="AJ41" s="359" t="str">
        <f>+'INDICADORES FINAN.TRADICIONALES'!E24</f>
        <v>ROE</v>
      </c>
      <c r="AK41" s="359" t="str">
        <f>+'INDICADORES FINAN.TRADICIONALES'!E28</f>
        <v>ROA</v>
      </c>
      <c r="AL41" s="359" t="str">
        <f>+'INDICADORES FINAN.TRADICIONALES'!E32</f>
        <v>Margen neto</v>
      </c>
      <c r="AM41" s="359" t="str">
        <f>+'INDICADORES FINAN.TRADICIONALES'!E36</f>
        <v>Margen operativo</v>
      </c>
    </row>
    <row r="42" spans="6:39" x14ac:dyDescent="0.25">
      <c r="F42" s="506"/>
      <c r="G42" s="391" t="s">
        <v>438</v>
      </c>
      <c r="H42" s="387">
        <v>8.7624295203310947</v>
      </c>
      <c r="I42" s="387">
        <v>6.7847969864805702</v>
      </c>
      <c r="J42" s="387">
        <v>7.1127599503581944</v>
      </c>
      <c r="K42" s="387">
        <v>6.6590215515562692</v>
      </c>
      <c r="L42" s="387">
        <v>7.5526290681717274</v>
      </c>
      <c r="M42" s="387">
        <v>10.564948200880046</v>
      </c>
      <c r="N42" s="387">
        <v>10.564948200880048</v>
      </c>
      <c r="O42" s="387">
        <v>10.263737492664948</v>
      </c>
      <c r="P42" s="387">
        <v>9.9792259495370637</v>
      </c>
      <c r="Q42" s="387">
        <v>9.710062322048703</v>
      </c>
      <c r="R42" s="387">
        <v>9.455037317573872</v>
      </c>
      <c r="S42" s="387">
        <v>9.2130654356209671</v>
      </c>
      <c r="T42" s="387">
        <v>8.9831695227531849</v>
      </c>
      <c r="U42" s="387">
        <v>8.7644675836406325</v>
      </c>
      <c r="V42" s="387">
        <v>8.5561614728918673</v>
      </c>
      <c r="W42" s="387">
        <v>8.5561614728918673</v>
      </c>
      <c r="AI42" s="359">
        <v>2019</v>
      </c>
      <c r="AJ42" s="364">
        <f>+'INDICADORES FINAN.TRADICIONALES'!$K$24</f>
        <v>7.8163391741668836E-2</v>
      </c>
      <c r="AK42" s="364">
        <f>+'INDICADORES FINAN.TRADICIONALES'!$K$28</f>
        <v>3.4141797043341748E-2</v>
      </c>
      <c r="AL42" s="365">
        <f>+'INDICADORES FINAN.TRADICIONALES'!$K$32</f>
        <v>4.601245276365263E-2</v>
      </c>
      <c r="AM42" s="366">
        <f>+'INDICADORES FINAN.TRADICIONALES'!$K$36</f>
        <v>0.11655629315656271</v>
      </c>
    </row>
    <row r="43" spans="6:39" x14ac:dyDescent="0.25">
      <c r="AI43" s="359">
        <f>+AI42+1</f>
        <v>2020</v>
      </c>
      <c r="AJ43" s="364">
        <f>+'INDICADORES FINAN.TRADICIONALES'!$L$24</f>
        <v>0.12244343024351921</v>
      </c>
      <c r="AK43" s="364">
        <f>+'INDICADORES FINAN.TRADICIONALES'!$L$28</f>
        <v>5.4901026155963636E-2</v>
      </c>
      <c r="AL43" s="365">
        <f>+'INDICADORES FINAN.TRADICIONALES'!$L$32</f>
        <v>7.2533548509611745E-2</v>
      </c>
      <c r="AM43" s="367">
        <f>+'INDICADORES FINAN.TRADICIONALES'!$L$36</f>
        <v>0.1346499843558063</v>
      </c>
    </row>
    <row r="44" spans="6:39" x14ac:dyDescent="0.25">
      <c r="AI44" s="359">
        <f t="shared" ref="AI44:AI57" si="3">+AI43+1</f>
        <v>2021</v>
      </c>
      <c r="AJ44" s="364">
        <f>+'INDICADORES FINAN.TRADICIONALES'!$M$24</f>
        <v>0.1630028681755204</v>
      </c>
      <c r="AK44" s="364">
        <f>+'INDICADORES FINAN.TRADICIONALES'!$M$28</f>
        <v>7.7459436061082215E-2</v>
      </c>
      <c r="AL44" s="365">
        <f>+'INDICADORES FINAN.TRADICIONALES'!$M$32</f>
        <v>9.2194062865920509E-2</v>
      </c>
      <c r="AM44" s="367">
        <f>+'INDICADORES FINAN.TRADICIONALES'!$M$36</f>
        <v>0.16068811354037871</v>
      </c>
    </row>
    <row r="45" spans="6:39" x14ac:dyDescent="0.25">
      <c r="AI45" s="359">
        <f t="shared" si="3"/>
        <v>2022</v>
      </c>
      <c r="AJ45" s="364">
        <f>+'INDICADORES FINAN.TRADICIONALES'!$N$24</f>
        <v>0.22001207422760705</v>
      </c>
      <c r="AK45" s="364">
        <f>+'INDICADORES FINAN.TRADICIONALES'!$N$28</f>
        <v>9.0182574361172677E-2</v>
      </c>
      <c r="AL45" s="365">
        <f>+'INDICADORES FINAN.TRADICIONALES'!$N$32</f>
        <v>9.5681914651247757E-2</v>
      </c>
      <c r="AM45" s="367">
        <f>+'INDICADORES FINAN.TRADICIONALES'!$N$36</f>
        <v>0.18389924356239035</v>
      </c>
    </row>
    <row r="46" spans="6:39" x14ac:dyDescent="0.25">
      <c r="AI46" s="359">
        <f t="shared" si="3"/>
        <v>2023</v>
      </c>
      <c r="AJ46" s="364">
        <f>+'INDICADORES FINAN.TRADICIONALES'!$O$24</f>
        <v>0.11686136920425252</v>
      </c>
      <c r="AK46" s="364">
        <f>+'INDICADORES FINAN.TRADICIONALES'!$O$28</f>
        <v>5.1549521392135735E-2</v>
      </c>
      <c r="AL46" s="365">
        <f>+'INDICADORES FINAN.TRADICIONALES'!$O$32</f>
        <v>5.5379849648096245E-2</v>
      </c>
      <c r="AM46" s="367">
        <f>+'INDICADORES FINAN.TRADICIONALES'!$O$36</f>
        <v>0.13326585493877785</v>
      </c>
    </row>
    <row r="47" spans="6:39" x14ac:dyDescent="0.25">
      <c r="AI47" s="359">
        <f t="shared" si="3"/>
        <v>2024</v>
      </c>
      <c r="AJ47" s="364">
        <f>+'INDICADORES FINAN.TRADICIONALES'!$P$24</f>
        <v>0.11425520172335381</v>
      </c>
      <c r="AK47" s="364">
        <f>+'INDICADORES FINAN.TRADICIONALES'!$P$28</f>
        <v>4.89058698422319E-2</v>
      </c>
      <c r="AL47" s="365">
        <f>+'INDICADORES FINAN.TRADICIONALES'!$P$32</f>
        <v>5.3695137902041168E-2</v>
      </c>
      <c r="AM47" s="367">
        <f>+'INDICADORES FINAN.TRADICIONALES'!$P$36</f>
        <v>0.13767534792764796</v>
      </c>
    </row>
    <row r="48" spans="6:39" x14ac:dyDescent="0.25">
      <c r="AI48" s="359">
        <f t="shared" si="3"/>
        <v>2025</v>
      </c>
      <c r="AJ48" s="364">
        <f ca="1">+'INDICADORES FINAN.TRADICIONALES'!$Q$24</f>
        <v>0.12213577281862106</v>
      </c>
      <c r="AK48" s="364">
        <f ca="1">+'INDICADORES FINAN.TRADICIONALES'!$Q$28</f>
        <v>5.5900988856011025E-2</v>
      </c>
      <c r="AL48" s="365">
        <f ca="1">+'INDICADORES FINAN.TRADICIONALES'!$Q$32</f>
        <v>6.461043489488294E-2</v>
      </c>
      <c r="AM48" s="367">
        <f>+'INDICADORES FINAN.TRADICIONALES'!$Q$36</f>
        <v>0.14286028997291664</v>
      </c>
    </row>
    <row r="49" spans="35:44" x14ac:dyDescent="0.25">
      <c r="AI49" s="359">
        <f t="shared" si="3"/>
        <v>2026</v>
      </c>
      <c r="AJ49" s="364">
        <f ca="1">+'INDICADORES FINAN.TRADICIONALES'!$R$24</f>
        <v>0.10594280453336813</v>
      </c>
      <c r="AK49" s="364">
        <f ca="1">+'INDICADORES FINAN.TRADICIONALES'!$R$28</f>
        <v>5.1242611810626351E-2</v>
      </c>
      <c r="AL49" s="365">
        <f ca="1">+'INDICADORES FINAN.TRADICIONALES'!$R$32</f>
        <v>6.030833026941191E-2</v>
      </c>
      <c r="AM49" s="367">
        <f>+'INDICADORES FINAN.TRADICIONALES'!$R$36</f>
        <v>0.13461314289671911</v>
      </c>
    </row>
    <row r="50" spans="35:44" x14ac:dyDescent="0.25">
      <c r="AI50" s="359">
        <f t="shared" si="3"/>
        <v>2027</v>
      </c>
      <c r="AJ50" s="364">
        <f ca="1">+'INDICADORES FINAN.TRADICIONALES'!$S$24</f>
        <v>0.1012541004737789</v>
      </c>
      <c r="AK50" s="364">
        <f ca="1">+'INDICADORES FINAN.TRADICIONALES'!$S$28</f>
        <v>5.1468087517980717E-2</v>
      </c>
      <c r="AL50" s="365">
        <f ca="1">+'INDICADORES FINAN.TRADICIONALES'!$S$32</f>
        <v>6.3014433428475125E-2</v>
      </c>
      <c r="AM50" s="367">
        <f>+'INDICADORES FINAN.TRADICIONALES'!$S$36</f>
        <v>0.13806483703031153</v>
      </c>
    </row>
    <row r="51" spans="35:44" x14ac:dyDescent="0.25">
      <c r="AI51" s="359">
        <f t="shared" si="3"/>
        <v>2028</v>
      </c>
      <c r="AJ51" s="364">
        <f ca="1">+'INDICADORES FINAN.TRADICIONALES'!$T$24</f>
        <v>9.4601271890107155E-2</v>
      </c>
      <c r="AK51" s="364">
        <f ca="1">+'INDICADORES FINAN.TRADICIONALES'!$T$28</f>
        <v>5.0202047123958399E-2</v>
      </c>
      <c r="AL51" s="365">
        <f ca="1">+'INDICADORES FINAN.TRADICIONALES'!$T$32</f>
        <v>6.2956522715683513E-2</v>
      </c>
      <c r="AM51" s="367">
        <f>+'INDICADORES FINAN.TRADICIONALES'!$T$36</f>
        <v>0.1366844015280064</v>
      </c>
    </row>
    <row r="52" spans="35:44" x14ac:dyDescent="0.25">
      <c r="AI52" s="359">
        <f t="shared" si="3"/>
        <v>2029</v>
      </c>
      <c r="AJ52" s="364">
        <f ca="1">+'INDICADORES FINAN.TRADICIONALES'!$U$24</f>
        <v>8.8655522611688464E-2</v>
      </c>
      <c r="AK52" s="364">
        <f ca="1">+'INDICADORES FINAN.TRADICIONALES'!$U$28</f>
        <v>4.8873985919429624E-2</v>
      </c>
      <c r="AL52" s="365">
        <f ca="1">+'INDICADORES FINAN.TRADICIONALES'!$U$32</f>
        <v>6.2734075856565E-2</v>
      </c>
      <c r="AM52" s="367">
        <f>+'INDICADORES FINAN.TRADICIONALES'!$U$36</f>
        <v>0.13512550273569643</v>
      </c>
    </row>
    <row r="53" spans="35:44" x14ac:dyDescent="0.25">
      <c r="AI53" s="359">
        <f t="shared" si="3"/>
        <v>2030</v>
      </c>
      <c r="AJ53" s="364">
        <f ca="1">+'INDICADORES FINAN.TRADICIONALES'!$V$24</f>
        <v>8.4963116488585858E-2</v>
      </c>
      <c r="AK53" s="364">
        <f ca="1">+'INDICADORES FINAN.TRADICIONALES'!$V$28</f>
        <v>4.8476011518516438E-2</v>
      </c>
      <c r="AL53" s="365">
        <f ca="1">+'INDICADORES FINAN.TRADICIONALES'!$V$32</f>
        <v>6.3805950973342754E-2</v>
      </c>
      <c r="AM53" s="367">
        <f>+'INDICADORES FINAN.TRADICIONALES'!$V$36</f>
        <v>0.13567593674613845</v>
      </c>
    </row>
    <row r="54" spans="35:44" x14ac:dyDescent="0.25">
      <c r="AI54" s="359">
        <f t="shared" si="3"/>
        <v>2031</v>
      </c>
      <c r="AJ54" s="364">
        <f ca="1">+'INDICADORES FINAN.TRADICIONALES'!$W$24</f>
        <v>8.0523405628471212E-2</v>
      </c>
      <c r="AK54" s="364">
        <f ca="1">+'INDICADORES FINAN.TRADICIONALES'!$W$28</f>
        <v>4.7394809171110872E-2</v>
      </c>
      <c r="AL54" s="365">
        <f ca="1">+'INDICADORES FINAN.TRADICIONALES'!$W$32</f>
        <v>6.3955490925004813E-2</v>
      </c>
      <c r="AM54" s="367">
        <f>+'INDICADORES FINAN.TRADICIONALES'!$W$36</f>
        <v>0.1348878810774185</v>
      </c>
    </row>
    <row r="55" spans="35:44" x14ac:dyDescent="0.25">
      <c r="AI55" s="359">
        <f t="shared" si="3"/>
        <v>2032</v>
      </c>
      <c r="AJ55" s="364">
        <f ca="1">+'INDICADORES FINAN.TRADICIONALES'!$X$24</f>
        <v>7.6846276274792388E-2</v>
      </c>
      <c r="AK55" s="364">
        <f ca="1">+'INDICADORES FINAN.TRADICIONALES'!$X$28</f>
        <v>4.6519067026774448E-2</v>
      </c>
      <c r="AL55" s="365">
        <f ca="1">+'INDICADORES FINAN.TRADICIONALES'!$X$32</f>
        <v>6.4343960353162227E-2</v>
      </c>
      <c r="AM55" s="367">
        <f>+'INDICADORES FINAN.TRADICIONALES'!$X$36</f>
        <v>0.1345217305408426</v>
      </c>
    </row>
    <row r="56" spans="35:44" x14ac:dyDescent="0.25">
      <c r="AI56" s="359">
        <f>+AI55+1</f>
        <v>2033</v>
      </c>
      <c r="AJ56" s="364">
        <f ca="1">+'INDICADORES FINAN.TRADICIONALES'!$Y$24</f>
        <v>7.3806155515812613E-2</v>
      </c>
      <c r="AK56" s="364">
        <f ca="1">+'INDICADORES FINAN.TRADICIONALES'!$Y$28</f>
        <v>4.5833845103391543E-2</v>
      </c>
      <c r="AL56" s="365">
        <f ca="1">+'INDICADORES FINAN.TRADICIONALES'!$Y$32</f>
        <v>6.4935013864008309E-2</v>
      </c>
      <c r="AM56" s="367">
        <f>+'INDICADORES FINAN.TRADICIONALES'!$Y$36</f>
        <v>0.13449310898214531</v>
      </c>
    </row>
    <row r="57" spans="35:44" x14ac:dyDescent="0.25">
      <c r="AI57" s="359">
        <f t="shared" si="3"/>
        <v>2034</v>
      </c>
      <c r="AJ57" s="364">
        <f ca="1">+'INDICADORES FINAN.TRADICIONALES'!$Y$24</f>
        <v>7.3806155515812613E-2</v>
      </c>
      <c r="AK57" s="364">
        <f ca="1">+'INDICADORES FINAN.TRADICIONALES'!$Y$28</f>
        <v>4.5833845103391543E-2</v>
      </c>
      <c r="AL57" s="365">
        <f ca="1">+'INDICADORES FINAN.TRADICIONALES'!$Y$32</f>
        <v>6.4935013864008309E-2</v>
      </c>
      <c r="AM57" s="367">
        <f>+'INDICADORES FINAN.TRADICIONALES'!$Y$36</f>
        <v>0.13449310898214531</v>
      </c>
    </row>
    <row r="59" spans="35:44" x14ac:dyDescent="0.25">
      <c r="AO59" s="363"/>
      <c r="AP59" s="503" t="s">
        <v>394</v>
      </c>
      <c r="AQ59" s="503"/>
      <c r="AR59" s="503"/>
    </row>
    <row r="60" spans="35:44" x14ac:dyDescent="0.25">
      <c r="AO60" s="359" t="s">
        <v>412</v>
      </c>
      <c r="AP60" s="359" t="s">
        <v>436</v>
      </c>
      <c r="AQ60" s="359" t="s">
        <v>437</v>
      </c>
      <c r="AR60" s="359" t="s">
        <v>438</v>
      </c>
    </row>
    <row r="61" spans="35:44" x14ac:dyDescent="0.25">
      <c r="AO61" s="359">
        <v>2019</v>
      </c>
      <c r="AP61" s="364">
        <f>+'INDICADORES FINAN.TRADICIONALES'!$K$42</f>
        <v>26.16810595052884</v>
      </c>
      <c r="AQ61" s="364">
        <f>+'INDICADORES FINAN.TRADICIONALES'!$K$46</f>
        <v>8.9027232705786172</v>
      </c>
      <c r="AR61" s="364">
        <f>+'INDICADORES FINAN.TRADICIONALES'!$K$50</f>
        <v>8.7624295203310947</v>
      </c>
    </row>
    <row r="62" spans="35:44" x14ac:dyDescent="0.25">
      <c r="AO62" s="359">
        <f>+AO61+1</f>
        <v>2020</v>
      </c>
      <c r="AP62" s="364">
        <f>+'INDICADORES FINAN.TRADICIONALES'!$L$42</f>
        <v>25.371343348992752</v>
      </c>
      <c r="AQ62" s="364">
        <f>+'INDICADORES FINAN.TRADICIONALES'!$L$46</f>
        <v>9.3910321529039003</v>
      </c>
      <c r="AR62" s="364">
        <f>+'INDICADORES FINAN.TRADICIONALES'!$L$50</f>
        <v>6.7847969864805702</v>
      </c>
    </row>
    <row r="63" spans="35:44" x14ac:dyDescent="0.25">
      <c r="AO63" s="359">
        <f t="shared" ref="AO63:AO76" si="4">+AO62+1</f>
        <v>2021</v>
      </c>
      <c r="AP63" s="364">
        <f>+'INDICADORES FINAN.TRADICIONALES'!$M$42</f>
        <v>24.645155963800942</v>
      </c>
      <c r="AQ63" s="364">
        <f>+'INDICADORES FINAN.TRADICIONALES'!$M$46</f>
        <v>9.1163196958652026</v>
      </c>
      <c r="AR63" s="364">
        <f>+'INDICADORES FINAN.TRADICIONALES'!$M$50</f>
        <v>7.1127599503581944</v>
      </c>
    </row>
    <row r="64" spans="35:44" x14ac:dyDescent="0.25">
      <c r="AO64" s="359">
        <f t="shared" si="4"/>
        <v>2022</v>
      </c>
      <c r="AP64" s="364">
        <f>+'INDICADORES FINAN.TRADICIONALES'!$N$42</f>
        <v>21.428439613476954</v>
      </c>
      <c r="AQ64" s="364">
        <f>+'INDICADORES FINAN.TRADICIONALES'!$N$46</f>
        <v>8.9212695287562607</v>
      </c>
      <c r="AR64" s="364">
        <f>+'INDICADORES FINAN.TRADICIONALES'!$N$50</f>
        <v>6.6590215515562692</v>
      </c>
    </row>
    <row r="65" spans="41:48" x14ac:dyDescent="0.25">
      <c r="AO65" s="359">
        <f t="shared" si="4"/>
        <v>2023</v>
      </c>
      <c r="AP65" s="364">
        <f>+'INDICADORES FINAN.TRADICIONALES'!$O$42</f>
        <v>18.685156158488059</v>
      </c>
      <c r="AQ65" s="364">
        <f>+'INDICADORES FINAN.TRADICIONALES'!$O$46</f>
        <v>7.8941612372009571</v>
      </c>
      <c r="AR65" s="364">
        <f>+'INDICADORES FINAN.TRADICIONALES'!$O$50</f>
        <v>7.5526290681717274</v>
      </c>
    </row>
    <row r="66" spans="41:48" x14ac:dyDescent="0.25">
      <c r="AO66" s="359">
        <f t="shared" si="4"/>
        <v>2024</v>
      </c>
      <c r="AP66" s="364">
        <f>+'INDICADORES FINAN.TRADICIONALES'!$P$42</f>
        <v>17.545608458336435</v>
      </c>
      <c r="AQ66" s="364">
        <f>+'INDICADORES FINAN.TRADICIONALES'!$P$46</f>
        <v>7.5860417550360557</v>
      </c>
      <c r="AR66" s="364">
        <f>+'INDICADORES FINAN.TRADICIONALES'!$P$50</f>
        <v>10.564948200880046</v>
      </c>
    </row>
    <row r="67" spans="41:48" x14ac:dyDescent="0.25">
      <c r="AO67" s="359">
        <f t="shared" si="4"/>
        <v>2025</v>
      </c>
      <c r="AP67" s="364">
        <f>+'INDICADORES FINAN.TRADICIONALES'!$Q$42</f>
        <v>17.455767774583212</v>
      </c>
      <c r="AQ67" s="364">
        <f>+'INDICADORES FINAN.TRADICIONALES'!$Q$46</f>
        <v>8.0952296045424994</v>
      </c>
      <c r="AR67" s="364">
        <f>+'INDICADORES FINAN.TRADICIONALES'!$Q$50</f>
        <v>10.564948200880048</v>
      </c>
    </row>
    <row r="68" spans="41:48" x14ac:dyDescent="0.25">
      <c r="AO68" s="359">
        <f t="shared" si="4"/>
        <v>2026</v>
      </c>
      <c r="AP68" s="364">
        <f>+'INDICADORES FINAN.TRADICIONALES'!$R$42</f>
        <v>17.343985031978303</v>
      </c>
      <c r="AQ68" s="364">
        <f>+'INDICADORES FINAN.TRADICIONALES'!$R$46</f>
        <v>8.0952296045424994</v>
      </c>
      <c r="AR68" s="364">
        <f>+'INDICADORES FINAN.TRADICIONALES'!$R$50</f>
        <v>10.263737492664948</v>
      </c>
    </row>
    <row r="69" spans="41:48" x14ac:dyDescent="0.25">
      <c r="AO69" s="359">
        <f t="shared" si="4"/>
        <v>2027</v>
      </c>
      <c r="AP69" s="364">
        <f>+'INDICADORES FINAN.TRADICIONALES'!$S$42</f>
        <v>17.675086426080867</v>
      </c>
      <c r="AQ69" s="364">
        <f>+'INDICADORES FINAN.TRADICIONALES'!$S$46</f>
        <v>8.0952296045424994</v>
      </c>
      <c r="AR69" s="364">
        <f>+'INDICADORES FINAN.TRADICIONALES'!$S$50</f>
        <v>9.9792259495370637</v>
      </c>
    </row>
    <row r="70" spans="41:48" x14ac:dyDescent="0.25">
      <c r="AO70" s="359">
        <f t="shared" si="4"/>
        <v>2028</v>
      </c>
      <c r="AP70" s="364">
        <f>+'INDICADORES FINAN.TRADICIONALES'!$T$42</f>
        <v>17.474259027080333</v>
      </c>
      <c r="AQ70" s="364">
        <f>+'INDICADORES FINAN.TRADICIONALES'!$T$46</f>
        <v>8.0952296045425012</v>
      </c>
      <c r="AR70" s="364">
        <f>+'INDICADORES FINAN.TRADICIONALES'!$T$50</f>
        <v>9.710062322048703</v>
      </c>
    </row>
    <row r="71" spans="41:48" x14ac:dyDescent="0.25">
      <c r="AO71" s="359">
        <f t="shared" si="4"/>
        <v>2029</v>
      </c>
      <c r="AP71" s="364">
        <f>+'INDICADORES FINAN.TRADICIONALES'!$U$42</f>
        <v>17.480122126781726</v>
      </c>
      <c r="AQ71" s="364">
        <f>+'INDICADORES FINAN.TRADICIONALES'!$U$46</f>
        <v>8.0952296045425012</v>
      </c>
      <c r="AR71" s="364">
        <f>+'INDICADORES FINAN.TRADICIONALES'!$U$50</f>
        <v>9.455037317573872</v>
      </c>
    </row>
    <row r="72" spans="41:48" x14ac:dyDescent="0.25">
      <c r="AO72" s="359">
        <f t="shared" si="4"/>
        <v>2030</v>
      </c>
      <c r="AP72" s="364">
        <f>+'INDICADORES FINAN.TRADICIONALES'!$V$42</f>
        <v>17.523861821860166</v>
      </c>
      <c r="AQ72" s="364">
        <f>+'INDICADORES FINAN.TRADICIONALES'!$V$46</f>
        <v>8.0952296045424994</v>
      </c>
      <c r="AR72" s="364">
        <f>+'INDICADORES FINAN.TRADICIONALES'!$V$50</f>
        <v>9.2130654356209671</v>
      </c>
    </row>
    <row r="73" spans="41:48" x14ac:dyDescent="0.25">
      <c r="AO73" s="359">
        <f t="shared" si="4"/>
        <v>2031</v>
      </c>
      <c r="AP73" s="364">
        <f>+'INDICADORES FINAN.TRADICIONALES'!$W$42</f>
        <v>17.519408428527804</v>
      </c>
      <c r="AQ73" s="364">
        <f>+'INDICADORES FINAN.TRADICIONALES'!$W$46</f>
        <v>8.0952296045424994</v>
      </c>
      <c r="AR73" s="364">
        <f>+'INDICADORES FINAN.TRADICIONALES'!$W$50</f>
        <v>8.9831695227531849</v>
      </c>
    </row>
    <row r="74" spans="41:48" x14ac:dyDescent="0.25">
      <c r="AO74" s="359">
        <f t="shared" si="4"/>
        <v>2032</v>
      </c>
      <c r="AP74" s="364">
        <f>+'INDICADORES FINAN.TRADICIONALES'!$X$42</f>
        <v>17.528557972849008</v>
      </c>
      <c r="AQ74" s="364">
        <f>+'INDICADORES FINAN.TRADICIONALES'!$X$46</f>
        <v>8.0952296045424994</v>
      </c>
      <c r="AR74" s="364">
        <f>+'INDICADORES FINAN.TRADICIONALES'!$X$50</f>
        <v>8.7644675836406325</v>
      </c>
    </row>
    <row r="75" spans="41:48" x14ac:dyDescent="0.25">
      <c r="AO75" s="359">
        <f>+AO74+1</f>
        <v>2033</v>
      </c>
      <c r="AP75" s="364">
        <f>+'INDICADORES FINAN.TRADICIONALES'!$Y$42</f>
        <v>17.532364421563578</v>
      </c>
      <c r="AQ75" s="364">
        <f>+'INDICADORES FINAN.TRADICIONALES'!$Y$46</f>
        <v>8.0952296045424994</v>
      </c>
      <c r="AR75" s="364">
        <f>+'INDICADORES FINAN.TRADICIONALES'!$Y$50</f>
        <v>8.5561614728918673</v>
      </c>
    </row>
    <row r="76" spans="41:48" x14ac:dyDescent="0.25">
      <c r="AO76" s="359">
        <f t="shared" si="4"/>
        <v>2034</v>
      </c>
      <c r="AP76" s="364">
        <f>+'INDICADORES FINAN.TRADICIONALES'!$Y$42</f>
        <v>17.532364421563578</v>
      </c>
      <c r="AQ76" s="364">
        <f>+'INDICADORES FINAN.TRADICIONALES'!$Y$46</f>
        <v>8.0952296045424994</v>
      </c>
      <c r="AR76" s="364">
        <f>+'INDICADORES FINAN.TRADICIONALES'!$Y$50</f>
        <v>8.5561614728918673</v>
      </c>
    </row>
    <row r="78" spans="41:48" x14ac:dyDescent="0.25">
      <c r="AT78" s="363"/>
      <c r="AU78" s="503" t="s">
        <v>400</v>
      </c>
      <c r="AV78" s="503"/>
    </row>
    <row r="79" spans="41:48" x14ac:dyDescent="0.25">
      <c r="AT79" s="359" t="s">
        <v>412</v>
      </c>
      <c r="AU79" s="359" t="s">
        <v>404</v>
      </c>
      <c r="AV79" s="359" t="str">
        <f>+'INDICADORES FINAN.TRADICIONALES'!E60</f>
        <v>Deuda/Ebitda</v>
      </c>
    </row>
    <row r="80" spans="41:48" x14ac:dyDescent="0.25">
      <c r="AT80" s="359">
        <v>2019</v>
      </c>
      <c r="AU80" s="364">
        <f>+'INDICADORES FINAN.TRADICIONALES'!$K$56</f>
        <v>0.56319964778165088</v>
      </c>
      <c r="AV80" s="364">
        <f>+'INDICADORES FINAN.TRADICIONALES'!$K$60</f>
        <v>3.1197251990790642</v>
      </c>
    </row>
    <row r="81" spans="46:48" x14ac:dyDescent="0.25">
      <c r="AT81" s="359">
        <f>+AT80+1</f>
        <v>2020</v>
      </c>
      <c r="AU81" s="364">
        <f>+'INDICADORES FINAN.TRADICIONALES'!$L$56</f>
        <v>0.55162129934799431</v>
      </c>
      <c r="AV81" s="364">
        <f>+'INDICADORES FINAN.TRADICIONALES'!$L$60</f>
        <v>2.0463583443539517</v>
      </c>
    </row>
    <row r="82" spans="46:48" x14ac:dyDescent="0.25">
      <c r="AT82" s="359">
        <f t="shared" ref="AT82:AT95" si="5">+AT81+1</f>
        <v>2021</v>
      </c>
      <c r="AU82" s="364">
        <f>+'INDICADORES FINAN.TRADICIONALES'!$M$56</f>
        <v>0.52479709757208437</v>
      </c>
      <c r="AV82" s="364">
        <f>+'INDICADORES FINAN.TRADICIONALES'!$M$60</f>
        <v>1.5254039768931351</v>
      </c>
    </row>
    <row r="83" spans="46:48" x14ac:dyDescent="0.25">
      <c r="AT83" s="359">
        <f t="shared" si="5"/>
        <v>2022</v>
      </c>
      <c r="AU83" s="364">
        <f>+'INDICADORES FINAN.TRADICIONALES'!$N$56</f>
        <v>0.59010170383704974</v>
      </c>
      <c r="AV83" s="364">
        <f>+'INDICADORES FINAN.TRADICIONALES'!$N$60</f>
        <v>1.3373853661656452</v>
      </c>
    </row>
    <row r="84" spans="46:48" x14ac:dyDescent="0.25">
      <c r="AT84" s="359">
        <f t="shared" si="5"/>
        <v>2023</v>
      </c>
      <c r="AU84" s="364">
        <f>+'INDICADORES FINAN.TRADICIONALES'!$O$56</f>
        <v>0.5588831301297138</v>
      </c>
      <c r="AV84" s="364">
        <f>+'INDICADORES FINAN.TRADICIONALES'!$O$60</f>
        <v>1.8513550210002028</v>
      </c>
    </row>
    <row r="85" spans="46:48" x14ac:dyDescent="0.25">
      <c r="AT85" s="359">
        <f t="shared" si="5"/>
        <v>2024</v>
      </c>
      <c r="AU85" s="364">
        <f>+'INDICADORES FINAN.TRADICIONALES'!$P$56</f>
        <v>0.57195935848375912</v>
      </c>
      <c r="AV85" s="364">
        <f>+'INDICADORES FINAN.TRADICIONALES'!$P$60</f>
        <v>1.9325532277307917</v>
      </c>
    </row>
    <row r="86" spans="46:48" x14ac:dyDescent="0.25">
      <c r="AT86" s="359">
        <f t="shared" si="5"/>
        <v>2025</v>
      </c>
      <c r="AU86" s="364">
        <f ca="1">+'INDICADORES FINAN.TRADICIONALES'!$Q$56</f>
        <v>0.54230453890829089</v>
      </c>
      <c r="AV86" s="364">
        <f ca="1">+'INDICADORES FINAN.TRADICIONALES'!$Q$60</f>
        <v>1.8393561556114664</v>
      </c>
    </row>
    <row r="87" spans="46:48" x14ac:dyDescent="0.25">
      <c r="AT87" s="359">
        <f t="shared" si="5"/>
        <v>2026</v>
      </c>
      <c r="AU87" s="364">
        <f ca="1">+'INDICADORES FINAN.TRADICIONALES'!$R$56</f>
        <v>0.516318148869782</v>
      </c>
      <c r="AV87" s="364">
        <f ca="1">+'INDICADORES FINAN.TRADICIONALES'!$R$60</f>
        <v>1.8415611841229884</v>
      </c>
    </row>
    <row r="88" spans="46:48" x14ac:dyDescent="0.25">
      <c r="AT88" s="359">
        <f t="shared" si="5"/>
        <v>2027</v>
      </c>
      <c r="AU88" s="364">
        <f ca="1">+'INDICADORES FINAN.TRADICIONALES'!$S$56</f>
        <v>0.49169379534106783</v>
      </c>
      <c r="AV88" s="364">
        <f ca="1">+'INDICADORES FINAN.TRADICIONALES'!$S$60</f>
        <v>1.7665974110143277</v>
      </c>
    </row>
    <row r="89" spans="46:48" x14ac:dyDescent="0.25">
      <c r="AT89" s="359">
        <f t="shared" si="5"/>
        <v>2028</v>
      </c>
      <c r="AU89" s="364">
        <f ca="1">+'INDICADORES FINAN.TRADICIONALES'!$T$56</f>
        <v>0.46933010390943536</v>
      </c>
      <c r="AV89" s="364">
        <f ca="1">+'INDICADORES FINAN.TRADICIONALES'!$T$60</f>
        <v>1.7199849680561243</v>
      </c>
    </row>
    <row r="90" spans="46:48" x14ac:dyDescent="0.25">
      <c r="AT90" s="359">
        <f t="shared" si="5"/>
        <v>2029</v>
      </c>
      <c r="AU90" s="364">
        <f ca="1">+'INDICADORES FINAN.TRADICIONALES'!$U$56</f>
        <v>0.44872034499759383</v>
      </c>
      <c r="AV90" s="364">
        <f ca="1">+'INDICADORES FINAN.TRADICIONALES'!$U$60</f>
        <v>1.6774639431283316</v>
      </c>
    </row>
    <row r="91" spans="46:48" x14ac:dyDescent="0.25">
      <c r="AT91" s="359">
        <f t="shared" si="5"/>
        <v>2030</v>
      </c>
      <c r="AU91" s="364">
        <f ca="1">+'INDICADORES FINAN.TRADICIONALES'!$V$56</f>
        <v>0.4294464054290098</v>
      </c>
      <c r="AV91" s="364">
        <f ca="1">+'INDICADORES FINAN.TRADICIONALES'!$V$60</f>
        <v>1.6215681035391405</v>
      </c>
    </row>
    <row r="92" spans="46:48" x14ac:dyDescent="0.25">
      <c r="AT92" s="359">
        <f t="shared" si="5"/>
        <v>2031</v>
      </c>
      <c r="AU92" s="364">
        <f ca="1">+'INDICADORES FINAN.TRADICIONALES'!$W$56</f>
        <v>0.41141573929713221</v>
      </c>
      <c r="AV92" s="364">
        <f ca="1">+'INDICADORES FINAN.TRADICIONALES'!$W$60</f>
        <v>1.5808037016157197</v>
      </c>
    </row>
    <row r="93" spans="46:48" x14ac:dyDescent="0.25">
      <c r="AT93" s="359">
        <f t="shared" si="5"/>
        <v>2032</v>
      </c>
      <c r="AU93" s="364">
        <f ca="1">+'INDICADORES FINAN.TRADICIONALES'!$X$56</f>
        <v>0.39464773985367513</v>
      </c>
      <c r="AV93" s="364">
        <f ca="1">+'INDICADORES FINAN.TRADICIONALES'!$X$60</f>
        <v>1.5400693151766183</v>
      </c>
    </row>
    <row r="94" spans="46:48" x14ac:dyDescent="0.25">
      <c r="AT94" s="359">
        <f>+AT93+1</f>
        <v>2033</v>
      </c>
      <c r="AU94" s="364">
        <f ca="1">+'INDICADORES FINAN.TRADICIONALES'!$Y$56</f>
        <v>0.37899698496595069</v>
      </c>
      <c r="AV94" s="364">
        <f ca="1">+'INDICADORES FINAN.TRADICIONALES'!$Y$60</f>
        <v>1.4978454242589549</v>
      </c>
    </row>
    <row r="95" spans="46:48" x14ac:dyDescent="0.25">
      <c r="AT95" s="359">
        <f t="shared" si="5"/>
        <v>2034</v>
      </c>
      <c r="AU95" s="364">
        <f ca="1">+'INDICADORES FINAN.TRADICIONALES'!$Y$56</f>
        <v>0.37899698496595069</v>
      </c>
      <c r="AV95" s="364">
        <f ca="1">+'INDICADORES FINAN.TRADICIONALES'!$Y$60</f>
        <v>1.4978454242589549</v>
      </c>
    </row>
  </sheetData>
  <mergeCells count="8">
    <mergeCell ref="AP59:AR59"/>
    <mergeCell ref="AU78:AV78"/>
    <mergeCell ref="F21:F23"/>
    <mergeCell ref="F27:F30"/>
    <mergeCell ref="F34:F35"/>
    <mergeCell ref="F40:F42"/>
    <mergeCell ref="AE21:AG21"/>
    <mergeCell ref="AJ40:AM4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E1:Z57"/>
  <sheetViews>
    <sheetView showGridLines="0" zoomScale="90" zoomScaleNormal="90" workbookViewId="0">
      <pane xSplit="6" ySplit="2" topLeftCell="G29" activePane="bottomRight" state="frozen"/>
      <selection pane="topRight" activeCell="G1" sqref="G1"/>
      <selection pane="bottomLeft" activeCell="A3" sqref="A3"/>
      <selection pane="bottomRight" activeCell="K9" sqref="K9"/>
    </sheetView>
  </sheetViews>
  <sheetFormatPr baseColWidth="10" defaultColWidth="11.42578125" defaultRowHeight="12.75" outlineLevelRow="1" outlineLevelCol="1" x14ac:dyDescent="0.25"/>
  <cols>
    <col min="1" max="3" width="2.140625" style="1" customWidth="1"/>
    <col min="4" max="4" width="5.85546875" style="1" bestFit="1" customWidth="1"/>
    <col min="5" max="5" width="30.140625" style="1" customWidth="1"/>
    <col min="6" max="6" width="6.7109375" style="1" customWidth="1"/>
    <col min="7" max="8" width="11.42578125" style="1" customWidth="1" outlineLevel="1"/>
    <col min="9" max="9" width="13" style="1" customWidth="1" outlineLevel="1"/>
    <col min="10" max="10" width="13.140625" style="1" customWidth="1" outlineLevel="1"/>
    <col min="11" max="11" width="13.5703125" style="1" customWidth="1" outlineLevel="1"/>
    <col min="12" max="12" width="13" style="1" customWidth="1" outlineLevel="1"/>
    <col min="13" max="13" width="14.28515625" style="1" customWidth="1" outlineLevel="1" collapsed="1"/>
    <col min="14" max="14" width="14.28515625" style="1" customWidth="1" outlineLevel="1"/>
    <col min="15" max="15" width="12.5703125" style="1" customWidth="1" outlineLevel="1"/>
    <col min="16" max="16" width="13" style="1" customWidth="1" outlineLevel="1"/>
    <col min="17" max="22" width="13" style="1" bestFit="1" customWidth="1"/>
    <col min="23" max="27" width="13.5703125" style="1" customWidth="1"/>
    <col min="28" max="16384" width="11.42578125" style="1"/>
  </cols>
  <sheetData>
    <row r="1" spans="5:26" x14ac:dyDescent="0.25">
      <c r="K1" s="2">
        <v>0</v>
      </c>
      <c r="L1" s="2">
        <v>0</v>
      </c>
      <c r="M1" s="2">
        <v>0</v>
      </c>
      <c r="N1" s="2">
        <v>0</v>
      </c>
      <c r="O1" s="2">
        <v>0</v>
      </c>
      <c r="P1" s="2">
        <v>0</v>
      </c>
      <c r="Q1" s="2">
        <f t="shared" ref="P1:Z2" si="0">P1+1</f>
        <v>1</v>
      </c>
      <c r="R1" s="2">
        <f t="shared" si="0"/>
        <v>2</v>
      </c>
      <c r="S1" s="2">
        <f t="shared" si="0"/>
        <v>3</v>
      </c>
      <c r="T1" s="2">
        <f t="shared" si="0"/>
        <v>4</v>
      </c>
      <c r="U1" s="2">
        <f t="shared" si="0"/>
        <v>5</v>
      </c>
      <c r="V1" s="2">
        <f t="shared" si="0"/>
        <v>6</v>
      </c>
      <c r="W1" s="2">
        <f t="shared" si="0"/>
        <v>7</v>
      </c>
      <c r="X1" s="2">
        <f t="shared" si="0"/>
        <v>8</v>
      </c>
      <c r="Y1" s="2">
        <f t="shared" si="0"/>
        <v>9</v>
      </c>
      <c r="Z1" s="2">
        <f t="shared" si="0"/>
        <v>10</v>
      </c>
    </row>
    <row r="2" spans="5:26" x14ac:dyDescent="0.25">
      <c r="G2" s="6">
        <v>2015</v>
      </c>
      <c r="H2" s="6">
        <v>2016</v>
      </c>
      <c r="I2" s="6">
        <v>2017</v>
      </c>
      <c r="J2" s="6">
        <v>2018</v>
      </c>
      <c r="K2" s="6">
        <v>2019</v>
      </c>
      <c r="L2" s="6">
        <v>2020</v>
      </c>
      <c r="M2" s="6">
        <v>2021</v>
      </c>
      <c r="N2" s="6">
        <v>2022</v>
      </c>
      <c r="O2" s="6">
        <f>N2+1</f>
        <v>2023</v>
      </c>
      <c r="P2" s="6">
        <f t="shared" si="0"/>
        <v>2024</v>
      </c>
      <c r="Q2" s="6">
        <f t="shared" si="0"/>
        <v>2025</v>
      </c>
      <c r="R2" s="6">
        <f t="shared" si="0"/>
        <v>2026</v>
      </c>
      <c r="S2" s="6">
        <f t="shared" si="0"/>
        <v>2027</v>
      </c>
      <c r="T2" s="6">
        <f t="shared" si="0"/>
        <v>2028</v>
      </c>
      <c r="U2" s="6">
        <f t="shared" si="0"/>
        <v>2029</v>
      </c>
      <c r="V2" s="6">
        <f t="shared" si="0"/>
        <v>2030</v>
      </c>
      <c r="W2" s="6">
        <f t="shared" si="0"/>
        <v>2031</v>
      </c>
      <c r="X2" s="6">
        <f t="shared" si="0"/>
        <v>2032</v>
      </c>
      <c r="Y2" s="6">
        <f t="shared" si="0"/>
        <v>2033</v>
      </c>
      <c r="Z2" s="6">
        <f t="shared" si="0"/>
        <v>2034</v>
      </c>
    </row>
    <row r="3" spans="5:26" x14ac:dyDescent="0.25">
      <c r="W3" s="27"/>
      <c r="X3" s="27"/>
      <c r="Y3" s="27"/>
    </row>
    <row r="4" spans="5:26" x14ac:dyDescent="0.25">
      <c r="E4" s="70" t="s">
        <v>135</v>
      </c>
      <c r="F4" s="71"/>
      <c r="G4" s="71"/>
      <c r="H4" s="71"/>
      <c r="I4" s="71"/>
      <c r="J4" s="71"/>
      <c r="K4" s="72">
        <f>K$2</f>
        <v>2019</v>
      </c>
      <c r="L4" s="72">
        <f t="shared" ref="L4:Z4" si="1">L$2</f>
        <v>2020</v>
      </c>
      <c r="M4" s="72">
        <f t="shared" si="1"/>
        <v>2021</v>
      </c>
      <c r="N4" s="72">
        <f t="shared" si="1"/>
        <v>2022</v>
      </c>
      <c r="O4" s="72">
        <f t="shared" si="1"/>
        <v>2023</v>
      </c>
      <c r="P4" s="72">
        <f t="shared" si="1"/>
        <v>2024</v>
      </c>
      <c r="Q4" s="72">
        <f t="shared" si="1"/>
        <v>2025</v>
      </c>
      <c r="R4" s="72">
        <f t="shared" si="1"/>
        <v>2026</v>
      </c>
      <c r="S4" s="72">
        <f t="shared" si="1"/>
        <v>2027</v>
      </c>
      <c r="T4" s="72">
        <f t="shared" si="1"/>
        <v>2028</v>
      </c>
      <c r="U4" s="72">
        <f t="shared" si="1"/>
        <v>2029</v>
      </c>
      <c r="V4" s="72">
        <f t="shared" si="1"/>
        <v>2030</v>
      </c>
      <c r="W4" s="72">
        <f t="shared" si="1"/>
        <v>2031</v>
      </c>
      <c r="X4" s="72">
        <f t="shared" si="1"/>
        <v>2032</v>
      </c>
      <c r="Y4" s="72">
        <f t="shared" si="1"/>
        <v>2033</v>
      </c>
      <c r="Z4" s="73">
        <f t="shared" si="1"/>
        <v>2034</v>
      </c>
    </row>
    <row r="5" spans="5:26" x14ac:dyDescent="0.25">
      <c r="E5" s="74"/>
      <c r="Z5" s="75"/>
    </row>
    <row r="6" spans="5:26" x14ac:dyDescent="0.25">
      <c r="E6" s="89" t="s">
        <v>47</v>
      </c>
      <c r="F6" s="7"/>
      <c r="G6" s="90"/>
      <c r="H6" s="90"/>
      <c r="I6" s="90"/>
      <c r="J6" s="192">
        <f>EEFF!J44</f>
        <v>14946867</v>
      </c>
      <c r="K6" s="193">
        <f>EEFF!K44</f>
        <v>41789458</v>
      </c>
      <c r="L6" s="193">
        <f>EEFF!L44</f>
        <v>51676585</v>
      </c>
      <c r="M6" s="193">
        <f>EEFF!M44</f>
        <v>70331829</v>
      </c>
      <c r="N6" s="193">
        <f>EEFF!N44</f>
        <v>97501818</v>
      </c>
      <c r="O6" s="193">
        <f>EEFF!O44</f>
        <v>73926522</v>
      </c>
      <c r="P6" s="193">
        <f>EEFF!P44</f>
        <v>79833684.217843577</v>
      </c>
      <c r="Q6" s="193">
        <f>EEFF!Q44</f>
        <v>83832683.000147939</v>
      </c>
      <c r="R6" s="193">
        <f>EEFF!R44</f>
        <v>82106575.724693596</v>
      </c>
      <c r="S6" s="193">
        <f>EEFF!S44</f>
        <v>85706756.861572117</v>
      </c>
      <c r="T6" s="193">
        <f>EEFF!T44</f>
        <v>87638454.756121159</v>
      </c>
      <c r="U6" s="193">
        <f>EEFF!U44</f>
        <v>89408036.869115502</v>
      </c>
      <c r="V6" s="193">
        <f>EEFF!V44</f>
        <v>92442232.219856799</v>
      </c>
      <c r="W6" s="193">
        <f>EEFF!W44</f>
        <v>94509376.559901938</v>
      </c>
      <c r="X6" s="193">
        <f>EEFF!X44</f>
        <v>96848105.076341808</v>
      </c>
      <c r="Y6" s="193">
        <f>EEFF!Y44</f>
        <v>99493665.549251392</v>
      </c>
      <c r="Z6" s="194">
        <f>EEFF!Z44</f>
        <v>101984982.35447386</v>
      </c>
    </row>
    <row r="7" spans="5:26" x14ac:dyDescent="0.25">
      <c r="E7" s="76" t="s">
        <v>55</v>
      </c>
      <c r="F7" s="3"/>
      <c r="J7" s="110"/>
      <c r="K7" s="98">
        <f>IF(K6&gt;0,K6*Macros!K10,0)</f>
        <v>13790521.140000001</v>
      </c>
      <c r="L7" s="98">
        <f>IF(L6&gt;0,L6*Macros!L10,0)</f>
        <v>16536507.200000001</v>
      </c>
      <c r="M7" s="98">
        <f>IF(M6&gt;0,M6*Macros!M10,0)</f>
        <v>21802866.989999998</v>
      </c>
      <c r="N7" s="98">
        <f>IF(N6&gt;0,N6*Macros!N10,0)</f>
        <v>34125636.299999997</v>
      </c>
      <c r="O7" s="98">
        <f>IF(O6&gt;0,O6*Macros!O10,0)</f>
        <v>25874282.699999999</v>
      </c>
      <c r="P7" s="98">
        <f>IF(P6&gt;0,P6*Macros!P10,0)</f>
        <v>27941789.476245251</v>
      </c>
      <c r="Q7" s="98">
        <f>IF(Q6&gt;0,Q6*Macros!Q10,0)</f>
        <v>29341439.050051779</v>
      </c>
      <c r="R7" s="98">
        <f>IF(R6&gt;0,R6*Macros!R10,0)</f>
        <v>28737301.503642756</v>
      </c>
      <c r="S7" s="98">
        <f>IF(S6&gt;0,S6*Macros!S10,0)</f>
        <v>29997364.901550237</v>
      </c>
      <c r="T7" s="98">
        <f>IF(T6&gt;0,T6*Macros!T10,0)</f>
        <v>30673459.164642405</v>
      </c>
      <c r="U7" s="98">
        <f>IF(U6&gt;0,U6*Macros!U10,0)</f>
        <v>31292812.904190425</v>
      </c>
      <c r="V7" s="98">
        <f>IF(V6&gt;0,V6*Macros!V10,0)</f>
        <v>32354781.276949879</v>
      </c>
      <c r="W7" s="98">
        <f>IF(W6&gt;0,W6*Macros!W10,0)</f>
        <v>33078281.795965675</v>
      </c>
      <c r="X7" s="98">
        <f>IF(X6&gt;0,X6*Macros!X10,0)</f>
        <v>33896836.77671963</v>
      </c>
      <c r="Y7" s="98">
        <f>IF(Y6&gt;0,Y6*Macros!Y10,0)</f>
        <v>34822782.942237988</v>
      </c>
      <c r="Z7" s="99">
        <f>IF(Z6&gt;0,Z6*Macros!Z10,0)</f>
        <v>35694743.824065849</v>
      </c>
    </row>
    <row r="8" spans="5:26" x14ac:dyDescent="0.25">
      <c r="E8" s="82" t="s">
        <v>136</v>
      </c>
      <c r="F8" s="83"/>
      <c r="G8" s="195"/>
      <c r="H8" s="195"/>
      <c r="I8" s="195"/>
      <c r="J8" s="195"/>
      <c r="K8" s="196">
        <f>K6-K7</f>
        <v>27998936.859999999</v>
      </c>
      <c r="L8" s="196">
        <f t="shared" ref="L8:M8" si="2">L6-L7</f>
        <v>35140077.799999997</v>
      </c>
      <c r="M8" s="196">
        <f t="shared" si="2"/>
        <v>48528962.010000005</v>
      </c>
      <c r="N8" s="196">
        <f t="shared" ref="N8" si="3">N6-N7</f>
        <v>63376181.700000003</v>
      </c>
      <c r="O8" s="196">
        <f t="shared" ref="O8:X8" si="4">O6-O7</f>
        <v>48052239.299999997</v>
      </c>
      <c r="P8" s="196">
        <f t="shared" si="4"/>
        <v>51891894.741598323</v>
      </c>
      <c r="Q8" s="196">
        <f t="shared" si="4"/>
        <v>54491243.95009616</v>
      </c>
      <c r="R8" s="196">
        <f t="shared" si="4"/>
        <v>53369274.221050844</v>
      </c>
      <c r="S8" s="196">
        <f t="shared" si="4"/>
        <v>55709391.960021883</v>
      </c>
      <c r="T8" s="196">
        <f t="shared" si="4"/>
        <v>56964995.59147875</v>
      </c>
      <c r="U8" s="196">
        <f t="shared" si="4"/>
        <v>58115223.964925081</v>
      </c>
      <c r="V8" s="196">
        <f t="shared" si="4"/>
        <v>60087450.942906916</v>
      </c>
      <c r="W8" s="196">
        <f t="shared" si="4"/>
        <v>61431094.763936266</v>
      </c>
      <c r="X8" s="196">
        <f t="shared" si="4"/>
        <v>62951268.299622178</v>
      </c>
      <c r="Y8" s="196">
        <f t="shared" ref="Y8:Z8" si="5">Y6-Y7</f>
        <v>64670882.607013404</v>
      </c>
      <c r="Z8" s="197">
        <f t="shared" si="5"/>
        <v>66290238.53040801</v>
      </c>
    </row>
    <row r="10" spans="5:26" x14ac:dyDescent="0.25">
      <c r="E10" s="70" t="s">
        <v>137</v>
      </c>
      <c r="F10" s="71"/>
      <c r="G10" s="71"/>
      <c r="H10" s="71"/>
      <c r="I10" s="71"/>
      <c r="J10" s="72">
        <v>2018</v>
      </c>
      <c r="K10" s="72">
        <f>K$2</f>
        <v>2019</v>
      </c>
      <c r="L10" s="72">
        <f t="shared" ref="L10:Z10" si="6">L$2</f>
        <v>2020</v>
      </c>
      <c r="M10" s="72">
        <f t="shared" si="6"/>
        <v>2021</v>
      </c>
      <c r="N10" s="72">
        <f t="shared" si="6"/>
        <v>2022</v>
      </c>
      <c r="O10" s="72">
        <f t="shared" si="6"/>
        <v>2023</v>
      </c>
      <c r="P10" s="72">
        <f t="shared" si="6"/>
        <v>2024</v>
      </c>
      <c r="Q10" s="72">
        <f t="shared" si="6"/>
        <v>2025</v>
      </c>
      <c r="R10" s="72">
        <f t="shared" si="6"/>
        <v>2026</v>
      </c>
      <c r="S10" s="72">
        <f t="shared" si="6"/>
        <v>2027</v>
      </c>
      <c r="T10" s="72">
        <f t="shared" si="6"/>
        <v>2028</v>
      </c>
      <c r="U10" s="72">
        <f t="shared" si="6"/>
        <v>2029</v>
      </c>
      <c r="V10" s="72">
        <f t="shared" si="6"/>
        <v>2030</v>
      </c>
      <c r="W10" s="72">
        <f t="shared" si="6"/>
        <v>2031</v>
      </c>
      <c r="X10" s="72">
        <f t="shared" si="6"/>
        <v>2032</v>
      </c>
      <c r="Y10" s="72">
        <f t="shared" si="6"/>
        <v>2033</v>
      </c>
      <c r="Z10" s="73">
        <f t="shared" si="6"/>
        <v>2034</v>
      </c>
    </row>
    <row r="11" spans="5:26" x14ac:dyDescent="0.25">
      <c r="E11" s="74"/>
      <c r="Z11" s="75"/>
    </row>
    <row r="12" spans="5:26" x14ac:dyDescent="0.25">
      <c r="E12" s="76" t="s">
        <v>61</v>
      </c>
      <c r="F12" s="3"/>
      <c r="K12" s="12">
        <f>EEFF!K74</f>
        <v>68929900</v>
      </c>
      <c r="L12" s="12">
        <f>EEFF!L74</f>
        <v>86680031.134038493</v>
      </c>
      <c r="M12" s="12">
        <f>EEFF!M74</f>
        <v>102634088</v>
      </c>
      <c r="N12" s="12">
        <f>EEFF!N74</f>
        <v>132525991</v>
      </c>
      <c r="O12" s="12">
        <f>EEFF!O74</f>
        <v>105562792</v>
      </c>
      <c r="P12" s="12">
        <f>EEFF!P74</f>
        <v>114405800.07384357</v>
      </c>
      <c r="Q12" s="12">
        <f>EEFF!Q74</f>
        <v>120202548.88065994</v>
      </c>
      <c r="R12" s="12">
        <f>EEFF!R74</f>
        <v>120058622.05937123</v>
      </c>
      <c r="S12" s="12">
        <f>EEFF!S74</f>
        <v>125153188.17142594</v>
      </c>
      <c r="T12" s="12">
        <f>EEFF!T74</f>
        <v>128544901.4439384</v>
      </c>
      <c r="U12" s="12">
        <f>EEFF!U74</f>
        <v>131803308.86368001</v>
      </c>
      <c r="V12" s="12">
        <f>EEFF!V74</f>
        <v>136346600.38100174</v>
      </c>
      <c r="W12" s="12">
        <f>EEFF!W74</f>
        <v>139862588.87036467</v>
      </c>
      <c r="X12" s="12">
        <f>EEFF!X74</f>
        <v>143561913.75611842</v>
      </c>
      <c r="Y12" s="12">
        <f>EEFF!Y74</f>
        <v>147608888.48942131</v>
      </c>
      <c r="Z12" s="77">
        <f>EEFF!Z74</f>
        <v>151543661.98284885</v>
      </c>
    </row>
    <row r="13" spans="5:26" x14ac:dyDescent="0.25">
      <c r="E13" s="78" t="s">
        <v>64</v>
      </c>
      <c r="F13" s="79"/>
      <c r="G13" s="80"/>
      <c r="H13" s="80"/>
      <c r="I13" s="80"/>
      <c r="J13" s="80"/>
      <c r="K13" s="19">
        <f>EEFF!K75</f>
        <v>-4759282</v>
      </c>
      <c r="L13" s="19">
        <f>EEFF!L75</f>
        <v>594675</v>
      </c>
      <c r="M13" s="19">
        <f>EEFF!M75</f>
        <v>7144736.0000000075</v>
      </c>
      <c r="N13" s="19">
        <f>EEFF!N75</f>
        <v>11418182.999999985</v>
      </c>
      <c r="O13" s="19">
        <f>EEFF!O75</f>
        <v>10840828.000000007</v>
      </c>
      <c r="P13" s="19">
        <f>EEFF!P75</f>
        <v>6168078.3752599955</v>
      </c>
      <c r="Q13" s="19">
        <f>EEFF!Q75</f>
        <v>-3949865.1406776607</v>
      </c>
      <c r="R13" s="19">
        <f>EEFF!R75</f>
        <v>2857098.2374269068</v>
      </c>
      <c r="S13" s="19">
        <f>EEFF!S75</f>
        <v>1337463.7700545937</v>
      </c>
      <c r="T13" s="19">
        <f>EEFF!T75</f>
        <v>2520248.0399449915</v>
      </c>
      <c r="U13" s="19">
        <f>EEFF!U75</f>
        <v>2531472.8086775541</v>
      </c>
      <c r="V13" s="19">
        <f>EEFF!V75</f>
        <v>2430960.3974905461</v>
      </c>
      <c r="W13" s="19">
        <f>EEFF!W75</f>
        <v>2384803.9438498914</v>
      </c>
      <c r="X13" s="19">
        <f>EEFF!X75</f>
        <v>2383204.6030761898</v>
      </c>
      <c r="Y13" s="19">
        <f>EEFF!Y75</f>
        <v>2448826.6636495441</v>
      </c>
      <c r="Z13" s="81">
        <f>EEFF!Z75</f>
        <v>2516255.6420294344</v>
      </c>
    </row>
    <row r="14" spans="5:26" x14ac:dyDescent="0.25">
      <c r="E14" s="78" t="s">
        <v>70</v>
      </c>
      <c r="F14" s="79"/>
      <c r="G14" s="80"/>
      <c r="H14" s="80"/>
      <c r="I14" s="80"/>
      <c r="J14" s="80"/>
      <c r="K14" s="19">
        <f>EEFF!K76</f>
        <v>2224602</v>
      </c>
      <c r="L14" s="19">
        <f>EEFF!L76</f>
        <v>514210</v>
      </c>
      <c r="M14" s="19">
        <f>EEFF!M76</f>
        <v>2320591</v>
      </c>
      <c r="N14" s="19">
        <f>EEFF!N76</f>
        <v>-600869</v>
      </c>
      <c r="O14" s="19">
        <f>EEFF!O76</f>
        <v>-723197</v>
      </c>
      <c r="P14" s="19">
        <f>EEFF!P76</f>
        <v>-964244.70218545198</v>
      </c>
      <c r="Q14" s="19">
        <f>EEFF!Q76</f>
        <v>767418.99827160314</v>
      </c>
      <c r="R14" s="19">
        <f>EEFF!R76</f>
        <v>1094297.6694749855</v>
      </c>
      <c r="S14" s="19">
        <f>EEFF!S76</f>
        <v>242583.18388140947</v>
      </c>
      <c r="T14" s="19">
        <f>EEFF!T76</f>
        <v>792421.24329747632</v>
      </c>
      <c r="U14" s="19">
        <f>EEFF!U76</f>
        <v>802630.75656750053</v>
      </c>
      <c r="V14" s="19">
        <f>EEFF!V76</f>
        <v>699978.7631393373</v>
      </c>
      <c r="W14" s="19">
        <f>EEFF!W76</f>
        <v>733269.20183158293</v>
      </c>
      <c r="X14" s="19">
        <f>EEFF!X76</f>
        <v>725868.07449773327</v>
      </c>
      <c r="Y14" s="19">
        <f>EEFF!Y76</f>
        <v>733808.24311824888</v>
      </c>
      <c r="Z14" s="81">
        <f>EEFF!Z76</f>
        <v>764816.03954157233</v>
      </c>
    </row>
    <row r="15" spans="5:26" x14ac:dyDescent="0.25">
      <c r="E15" s="78" t="s">
        <v>66</v>
      </c>
      <c r="F15" s="79"/>
      <c r="G15" s="80"/>
      <c r="H15" s="80"/>
      <c r="I15" s="80"/>
      <c r="J15" s="80"/>
      <c r="K15" s="19">
        <f>EEFF!K77</f>
        <v>-7860093</v>
      </c>
      <c r="L15" s="19">
        <f>EEFF!L77</f>
        <v>-11387255</v>
      </c>
      <c r="M15" s="19">
        <f>EEFF!M77</f>
        <v>-2158499.0000000075</v>
      </c>
      <c r="N15" s="19">
        <f>EEFF!N77</f>
        <v>-12755106.999999993</v>
      </c>
      <c r="O15" s="19">
        <f>EEFF!O77</f>
        <v>1056258</v>
      </c>
      <c r="P15" s="19">
        <f>EEFF!P77</f>
        <v>15481207.886630915</v>
      </c>
      <c r="Q15" s="19">
        <f>EEFF!Q77</f>
        <v>-23530.874271743</v>
      </c>
      <c r="R15" s="19">
        <f>EEFF!R77</f>
        <v>-3435681.0765265152</v>
      </c>
      <c r="S15" s="19">
        <f>EEFF!S77</f>
        <v>-1807298.6500222161</v>
      </c>
      <c r="T15" s="19">
        <f>EEFF!T77</f>
        <v>-2998209.1891970411</v>
      </c>
      <c r="U15" s="19">
        <f>EEFF!U77</f>
        <v>-3110825.4512166604</v>
      </c>
      <c r="V15" s="19">
        <f>EEFF!V77</f>
        <v>-2973541.7511353493</v>
      </c>
      <c r="W15" s="19">
        <f>EEFF!W77</f>
        <v>-3129553.8886591345</v>
      </c>
      <c r="X15" s="19">
        <f>EEFF!X77</f>
        <v>-3195890.8766132072</v>
      </c>
      <c r="Y15" s="19">
        <f>EEFF!Y77</f>
        <v>-3297793.6569187492</v>
      </c>
      <c r="Z15" s="81">
        <f>EEFF!Z77</f>
        <v>-3457754.8201100156</v>
      </c>
    </row>
    <row r="16" spans="5:26" x14ac:dyDescent="0.25">
      <c r="E16" s="76" t="s">
        <v>71</v>
      </c>
      <c r="F16" s="3"/>
      <c r="K16" s="12">
        <f>EEFF!K78</f>
        <v>-10394773</v>
      </c>
      <c r="L16" s="12">
        <f>EEFF!L78</f>
        <v>-10278370</v>
      </c>
      <c r="M16" s="12">
        <f>EEFF!M78</f>
        <v>7306828</v>
      </c>
      <c r="N16" s="12">
        <f>EEFF!N78</f>
        <v>-1937793.0000000075</v>
      </c>
      <c r="O16" s="12">
        <f>EEFF!O78</f>
        <v>11173889.000000007</v>
      </c>
      <c r="P16" s="12">
        <f>EEFF!P78</f>
        <v>20685041.559705459</v>
      </c>
      <c r="Q16" s="12">
        <f>EEFF!Q78</f>
        <v>-3205977.0166778006</v>
      </c>
      <c r="R16" s="12">
        <f>EEFF!R78</f>
        <v>515714.83037537709</v>
      </c>
      <c r="S16" s="12">
        <f>EEFF!S78</f>
        <v>-227251.69608621299</v>
      </c>
      <c r="T16" s="12">
        <f>EEFF!T78</f>
        <v>314460.0940454267</v>
      </c>
      <c r="U16" s="12">
        <f>EEFF!U78</f>
        <v>223278.11402839422</v>
      </c>
      <c r="V16" s="12">
        <f>EEFF!V78</f>
        <v>157397.40949453413</v>
      </c>
      <c r="W16" s="12">
        <f>EEFF!W78</f>
        <v>-11480.742977660149</v>
      </c>
      <c r="X16" s="12">
        <f>EEFF!X78</f>
        <v>-86818.19903928414</v>
      </c>
      <c r="Y16" s="12">
        <f>EEFF!Y78</f>
        <v>-115158.75015095621</v>
      </c>
      <c r="Z16" s="77">
        <f>EEFF!Z78</f>
        <v>-176683.1385390088</v>
      </c>
    </row>
    <row r="17" spans="5:26" x14ac:dyDescent="0.25">
      <c r="E17" s="76" t="s">
        <v>72</v>
      </c>
      <c r="F17" s="3"/>
      <c r="J17" s="17">
        <v>20216193</v>
      </c>
      <c r="K17" s="12">
        <f>EEFF!K79</f>
        <v>32072287</v>
      </c>
      <c r="L17" s="12">
        <f>EEFF!L79</f>
        <v>43007730</v>
      </c>
      <c r="M17" s="12">
        <f>EEFF!M79</f>
        <v>38286644</v>
      </c>
      <c r="N17" s="12">
        <f>EEFF!N79</f>
        <v>47869734</v>
      </c>
      <c r="O17" s="12">
        <f>EEFF!O79</f>
        <v>43482062</v>
      </c>
      <c r="P17" s="12">
        <f>EEFF!P79</f>
        <v>41307958.899999999</v>
      </c>
      <c r="Q17" s="12">
        <f>EEFF!Q79</f>
        <v>41802820.513888247</v>
      </c>
      <c r="R17" s="12">
        <f>EEFF!R79</f>
        <v>43450444.445714794</v>
      </c>
      <c r="S17" s="12">
        <f>EEFF!S79</f>
        <v>44221729.551220126</v>
      </c>
      <c r="T17" s="12">
        <f>EEFF!T79</f>
        <v>45675099.593018897</v>
      </c>
      <c r="U17" s="12">
        <f>EEFF!U79</f>
        <v>47134942.70506449</v>
      </c>
      <c r="V17" s="12">
        <f>EEFF!V79</f>
        <v>48536822.582962967</v>
      </c>
      <c r="W17" s="12">
        <f>EEFF!W79</f>
        <v>49912085.078011118</v>
      </c>
      <c r="X17" s="12">
        <f>EEFF!X79</f>
        <v>51286425.269408882</v>
      </c>
      <c r="Y17" s="12">
        <f>EEFF!Y79</f>
        <v>52698608.21890299</v>
      </c>
      <c r="Z17" s="77">
        <f>EEFF!Z79</f>
        <v>54149675.935123697</v>
      </c>
    </row>
    <row r="18" spans="5:26" x14ac:dyDescent="0.25">
      <c r="E18" s="76" t="s">
        <v>55</v>
      </c>
      <c r="F18" s="3"/>
      <c r="K18" s="12">
        <v>0</v>
      </c>
      <c r="L18" s="12">
        <v>0</v>
      </c>
      <c r="M18" s="12">
        <f t="shared" ref="M18:N18" si="7">L7</f>
        <v>16536507.200000001</v>
      </c>
      <c r="N18" s="12">
        <f t="shared" si="7"/>
        <v>21802866.989999998</v>
      </c>
      <c r="O18" s="12">
        <f t="shared" ref="O18" si="8">N7</f>
        <v>34125636.299999997</v>
      </c>
      <c r="P18" s="12">
        <f t="shared" ref="P18" si="9">O7</f>
        <v>25874282.699999999</v>
      </c>
      <c r="Q18" s="12">
        <f t="shared" ref="Q18" si="10">P7</f>
        <v>27941789.476245251</v>
      </c>
      <c r="R18" s="12">
        <f t="shared" ref="R18" si="11">Q7</f>
        <v>29341439.050051779</v>
      </c>
      <c r="S18" s="12">
        <f t="shared" ref="S18" si="12">R7</f>
        <v>28737301.503642756</v>
      </c>
      <c r="T18" s="12">
        <f t="shared" ref="T18" si="13">S7</f>
        <v>29997364.901550237</v>
      </c>
      <c r="U18" s="12">
        <f t="shared" ref="U18" si="14">T7</f>
        <v>30673459.164642405</v>
      </c>
      <c r="V18" s="12">
        <f t="shared" ref="V18" si="15">U7</f>
        <v>31292812.904190425</v>
      </c>
      <c r="W18" s="12">
        <f t="shared" ref="W18" si="16">V7</f>
        <v>32354781.276949879</v>
      </c>
      <c r="X18" s="12">
        <f t="shared" ref="X18:Z18" si="17">W7</f>
        <v>33078281.795965675</v>
      </c>
      <c r="Y18" s="12">
        <f t="shared" si="17"/>
        <v>33896836.77671963</v>
      </c>
      <c r="Z18" s="77">
        <f t="shared" si="17"/>
        <v>34822782.942237988</v>
      </c>
    </row>
    <row r="19" spans="5:26" x14ac:dyDescent="0.25">
      <c r="E19" s="82" t="s">
        <v>138</v>
      </c>
      <c r="F19" s="83"/>
      <c r="G19" s="83"/>
      <c r="H19" s="83"/>
      <c r="I19" s="83"/>
      <c r="J19" s="83"/>
      <c r="K19" s="84">
        <f t="shared" ref="K19:M19" si="18">K12-K16-K17-K18</f>
        <v>47252386</v>
      </c>
      <c r="L19" s="84">
        <f t="shared" si="18"/>
        <v>53950671.134038493</v>
      </c>
      <c r="M19" s="84">
        <f t="shared" si="18"/>
        <v>40504108.799999997</v>
      </c>
      <c r="N19" s="84">
        <f t="shared" ref="N19" si="19">N12-N16-N17-N18</f>
        <v>64791183.010000005</v>
      </c>
      <c r="O19" s="84">
        <f t="shared" ref="O19:X19" si="20">O12-O16-O17-O18</f>
        <v>16781204.700000003</v>
      </c>
      <c r="P19" s="84">
        <f t="shared" si="20"/>
        <v>26538516.914138105</v>
      </c>
      <c r="Q19" s="84">
        <f t="shared" si="20"/>
        <v>53663915.907204241</v>
      </c>
      <c r="R19" s="84">
        <f t="shared" si="20"/>
        <v>46751023.73322928</v>
      </c>
      <c r="S19" s="84">
        <f t="shared" si="20"/>
        <v>52421408.812649265</v>
      </c>
      <c r="T19" s="84">
        <f t="shared" si="20"/>
        <v>52557976.855323851</v>
      </c>
      <c r="U19" s="84">
        <f t="shared" si="20"/>
        <v>53771628.879944712</v>
      </c>
      <c r="V19" s="84">
        <f t="shared" si="20"/>
        <v>56359567.484353811</v>
      </c>
      <c r="W19" s="84">
        <f t="shared" si="20"/>
        <v>57607203.258381307</v>
      </c>
      <c r="X19" s="84">
        <f t="shared" si="20"/>
        <v>59284024.889783144</v>
      </c>
      <c r="Y19" s="84">
        <f t="shared" ref="Y19:Z19" si="21">Y12-Y16-Y17-Y18</f>
        <v>61128602.243949637</v>
      </c>
      <c r="Z19" s="85">
        <f t="shared" si="21"/>
        <v>62747886.244026184</v>
      </c>
    </row>
    <row r="20" spans="5:26" x14ac:dyDescent="0.25">
      <c r="E20" s="74"/>
      <c r="Z20" s="75"/>
    </row>
    <row r="21" spans="5:26" x14ac:dyDescent="0.25">
      <c r="E21" s="70" t="s">
        <v>139</v>
      </c>
      <c r="F21" s="71"/>
      <c r="G21" s="71"/>
      <c r="H21" s="71"/>
      <c r="I21" s="71"/>
      <c r="J21" s="72"/>
      <c r="K21" s="72">
        <f>K$2</f>
        <v>2019</v>
      </c>
      <c r="L21" s="72">
        <f t="shared" ref="L21:Z21" si="22">L$2</f>
        <v>2020</v>
      </c>
      <c r="M21" s="72">
        <f t="shared" si="22"/>
        <v>2021</v>
      </c>
      <c r="N21" s="72">
        <f t="shared" si="22"/>
        <v>2022</v>
      </c>
      <c r="O21" s="72">
        <f t="shared" si="22"/>
        <v>2023</v>
      </c>
      <c r="P21" s="72">
        <f t="shared" si="22"/>
        <v>2024</v>
      </c>
      <c r="Q21" s="72">
        <f t="shared" si="22"/>
        <v>2025</v>
      </c>
      <c r="R21" s="72">
        <f t="shared" si="22"/>
        <v>2026</v>
      </c>
      <c r="S21" s="72">
        <f t="shared" si="22"/>
        <v>2027</v>
      </c>
      <c r="T21" s="72">
        <f t="shared" si="22"/>
        <v>2028</v>
      </c>
      <c r="U21" s="72">
        <f t="shared" si="22"/>
        <v>2029</v>
      </c>
      <c r="V21" s="72">
        <f t="shared" si="22"/>
        <v>2030</v>
      </c>
      <c r="W21" s="72">
        <f t="shared" si="22"/>
        <v>2031</v>
      </c>
      <c r="X21" s="72">
        <f t="shared" si="22"/>
        <v>2032</v>
      </c>
      <c r="Y21" s="72">
        <f t="shared" si="22"/>
        <v>2033</v>
      </c>
      <c r="Z21" s="73">
        <f t="shared" si="22"/>
        <v>2034</v>
      </c>
    </row>
    <row r="22" spans="5:26" ht="4.5" customHeight="1" x14ac:dyDescent="0.25">
      <c r="E22" s="74"/>
      <c r="Z22" s="75"/>
    </row>
    <row r="23" spans="5:26" x14ac:dyDescent="0.25">
      <c r="E23" s="86" t="s">
        <v>140</v>
      </c>
      <c r="F23" s="20">
        <f>WACC!C22</f>
        <v>0.10334791657891719</v>
      </c>
      <c r="Z23" s="75"/>
    </row>
    <row r="24" spans="5:26" hidden="1" outlineLevel="1" x14ac:dyDescent="0.25">
      <c r="E24" s="74" t="s">
        <v>141</v>
      </c>
      <c r="F24" s="301">
        <v>0</v>
      </c>
      <c r="Z24" s="75"/>
    </row>
    <row r="25" spans="5:26" hidden="1" outlineLevel="1" collapsed="1" x14ac:dyDescent="0.25">
      <c r="E25" s="87" t="s">
        <v>142</v>
      </c>
      <c r="F25" s="4"/>
      <c r="G25" s="80"/>
      <c r="H25" s="80"/>
      <c r="I25" s="80"/>
      <c r="J25" s="80"/>
      <c r="K25" s="80"/>
      <c r="L25" s="80"/>
      <c r="M25" s="80"/>
      <c r="N25" s="80"/>
      <c r="O25" s="80"/>
      <c r="P25" s="80"/>
      <c r="Q25" s="80"/>
      <c r="R25" s="80"/>
      <c r="S25" s="80"/>
      <c r="T25" s="80"/>
      <c r="U25" s="80"/>
      <c r="V25" s="80"/>
      <c r="W25" s="80"/>
      <c r="X25" s="80"/>
      <c r="Y25" s="80"/>
      <c r="Z25" s="88"/>
    </row>
    <row r="26" spans="5:26" collapsed="1" x14ac:dyDescent="0.25">
      <c r="E26" s="89" t="s">
        <v>143</v>
      </c>
      <c r="F26" s="7"/>
      <c r="G26" s="90"/>
      <c r="H26" s="90"/>
      <c r="I26" s="90"/>
      <c r="J26" s="90"/>
      <c r="K26" s="90"/>
      <c r="L26" s="90"/>
      <c r="M26" s="90"/>
      <c r="N26" s="90"/>
      <c r="O26" s="90"/>
      <c r="P26" s="90"/>
      <c r="Q26" s="90"/>
      <c r="R26" s="90"/>
      <c r="S26" s="90"/>
      <c r="T26" s="90"/>
      <c r="U26" s="90"/>
      <c r="V26" s="90"/>
      <c r="W26" s="90"/>
      <c r="X26" s="90"/>
      <c r="Y26" s="90"/>
      <c r="Z26" s="91">
        <f>(Z19*(1+$F$24))/$F$23</f>
        <v>607151922.56547773</v>
      </c>
    </row>
    <row r="27" spans="5:26" ht="3" customHeight="1" x14ac:dyDescent="0.25">
      <c r="E27" s="74"/>
      <c r="Z27" s="75"/>
    </row>
    <row r="28" spans="5:26" x14ac:dyDescent="0.25">
      <c r="E28" s="82" t="s">
        <v>144</v>
      </c>
      <c r="F28" s="83"/>
      <c r="G28" s="83"/>
      <c r="H28" s="83"/>
      <c r="I28" s="83"/>
      <c r="J28" s="83"/>
      <c r="K28" s="84"/>
      <c r="L28" s="84"/>
      <c r="M28" s="84"/>
      <c r="N28" s="84"/>
      <c r="O28" s="84">
        <f t="shared" ref="O28:X28" si="23">O19</f>
        <v>16781204.700000003</v>
      </c>
      <c r="P28" s="84">
        <f t="shared" si="23"/>
        <v>26538516.914138105</v>
      </c>
      <c r="Q28" s="84">
        <f t="shared" si="23"/>
        <v>53663915.907204241</v>
      </c>
      <c r="R28" s="84">
        <f t="shared" si="23"/>
        <v>46751023.73322928</v>
      </c>
      <c r="S28" s="84">
        <f t="shared" si="23"/>
        <v>52421408.812649265</v>
      </c>
      <c r="T28" s="84">
        <f t="shared" si="23"/>
        <v>52557976.855323851</v>
      </c>
      <c r="U28" s="84">
        <f t="shared" si="23"/>
        <v>53771628.879944712</v>
      </c>
      <c r="V28" s="84">
        <f t="shared" si="23"/>
        <v>56359567.484353811</v>
      </c>
      <c r="W28" s="84">
        <f t="shared" si="23"/>
        <v>57607203.258381307</v>
      </c>
      <c r="X28" s="84">
        <f t="shared" si="23"/>
        <v>59284024.889783144</v>
      </c>
      <c r="Y28" s="84">
        <f t="shared" ref="Y28" si="24">Y19</f>
        <v>61128602.243949637</v>
      </c>
      <c r="Z28" s="85">
        <f>Z19+Z26</f>
        <v>669899808.80950391</v>
      </c>
    </row>
    <row r="29" spans="5:26" x14ac:dyDescent="0.25">
      <c r="E29" s="74"/>
      <c r="Z29" s="75"/>
    </row>
    <row r="30" spans="5:26" x14ac:dyDescent="0.25">
      <c r="E30" s="92" t="s">
        <v>145</v>
      </c>
      <c r="F30" s="5"/>
      <c r="G30" s="5"/>
      <c r="H30" s="5"/>
      <c r="I30" s="5"/>
      <c r="J30" s="5"/>
      <c r="K30" s="93">
        <f>NPV(F23,Q28:Z28)</f>
        <v>557356451.18029702</v>
      </c>
      <c r="Z30" s="75"/>
    </row>
    <row r="31" spans="5:26" ht="12.75" hidden="1" customHeight="1" outlineLevel="1" x14ac:dyDescent="0.25">
      <c r="E31" s="89" t="s">
        <v>146</v>
      </c>
      <c r="F31" s="7"/>
      <c r="G31" s="7"/>
      <c r="H31" s="7"/>
      <c r="I31" s="7"/>
      <c r="J31" s="7"/>
      <c r="K31" s="94">
        <f>K30/EEFF!K59</f>
        <v>8.0858444764941915</v>
      </c>
      <c r="Z31" s="75"/>
    </row>
    <row r="32" spans="5:26" collapsed="1" x14ac:dyDescent="0.25">
      <c r="E32" s="82" t="s">
        <v>147</v>
      </c>
      <c r="F32" s="83"/>
      <c r="G32" s="83"/>
      <c r="H32" s="83"/>
      <c r="I32" s="83"/>
      <c r="J32" s="83"/>
      <c r="K32" s="95">
        <f>K30/EEFF!L59</f>
        <v>6.4300444276308983</v>
      </c>
      <c r="L32" s="21"/>
      <c r="M32" s="21"/>
      <c r="N32" s="21"/>
      <c r="O32" s="21"/>
      <c r="P32" s="21"/>
      <c r="Q32" s="21"/>
      <c r="R32" s="21"/>
      <c r="S32" s="21"/>
      <c r="T32" s="21"/>
      <c r="U32" s="21"/>
      <c r="V32" s="21"/>
      <c r="W32" s="21"/>
      <c r="X32" s="21"/>
      <c r="Y32" s="21"/>
      <c r="Z32" s="96"/>
    </row>
    <row r="34" spans="5:26" x14ac:dyDescent="0.25">
      <c r="E34" s="4" t="s">
        <v>103</v>
      </c>
      <c r="F34" s="4"/>
      <c r="G34" s="4"/>
      <c r="H34" s="4"/>
      <c r="I34" s="4"/>
      <c r="J34" s="4"/>
      <c r="K34" s="28">
        <f>SUM(P34:Z34)</f>
        <v>583894968.09443521</v>
      </c>
      <c r="L34" s="19"/>
      <c r="M34" s="19"/>
      <c r="N34" s="19"/>
      <c r="O34" s="19">
        <f t="shared" ref="O34:X34" si="25">-PV($F$23,O1,,O28)</f>
        <v>16781204.700000003</v>
      </c>
      <c r="P34" s="19">
        <f t="shared" si="25"/>
        <v>26538516.914138105</v>
      </c>
      <c r="Q34" s="19">
        <f t="shared" si="25"/>
        <v>48637347.386848412</v>
      </c>
      <c r="R34" s="19">
        <f t="shared" si="25"/>
        <v>38403089.703236401</v>
      </c>
      <c r="S34" s="19">
        <f t="shared" si="25"/>
        <v>39027546.557309493</v>
      </c>
      <c r="T34" s="19">
        <f t="shared" si="25"/>
        <v>35464081.978255272</v>
      </c>
      <c r="U34" s="19">
        <f t="shared" si="25"/>
        <v>32884466.172177047</v>
      </c>
      <c r="V34" s="19">
        <f t="shared" si="25"/>
        <v>31238687.304345977</v>
      </c>
      <c r="W34" s="19">
        <f t="shared" si="25"/>
        <v>28939394.25487145</v>
      </c>
      <c r="X34" s="19">
        <f t="shared" si="25"/>
        <v>26992172.871294208</v>
      </c>
      <c r="Y34" s="19">
        <f t="shared" ref="Y34:Z34" si="26">-PV($F$23,Y1,,Y28)</f>
        <v>25225056.744849414</v>
      </c>
      <c r="Z34" s="19">
        <f t="shared" si="26"/>
        <v>250544608.20710939</v>
      </c>
    </row>
    <row r="35" spans="5:26" x14ac:dyDescent="0.25">
      <c r="E35" s="4" t="s">
        <v>103</v>
      </c>
      <c r="F35" s="4"/>
      <c r="G35" s="4"/>
      <c r="H35" s="4"/>
      <c r="I35" s="4"/>
      <c r="J35" s="4"/>
      <c r="K35" s="28">
        <f>K30-K34</f>
        <v>-26538516.914138198</v>
      </c>
    </row>
    <row r="36" spans="5:26" x14ac:dyDescent="0.25">
      <c r="E36" s="4"/>
      <c r="F36" s="4"/>
      <c r="G36" s="4"/>
      <c r="H36" s="4"/>
      <c r="I36" s="4"/>
      <c r="J36" s="4"/>
      <c r="K36" s="28"/>
    </row>
    <row r="37" spans="5:26" ht="15" x14ac:dyDescent="0.25">
      <c r="E37" s="7" t="s">
        <v>85</v>
      </c>
      <c r="F37" s="7"/>
      <c r="G37" s="7"/>
      <c r="H37" s="7"/>
      <c r="I37" s="7"/>
      <c r="J37" s="7"/>
      <c r="K37" s="8">
        <f>'BG a Nov'!T10*1000</f>
        <v>12213775.36616</v>
      </c>
      <c r="L37"/>
      <c r="M37"/>
      <c r="N37"/>
      <c r="O37"/>
    </row>
    <row r="38" spans="5:26" ht="15" x14ac:dyDescent="0.25">
      <c r="E38" s="7" t="s">
        <v>89</v>
      </c>
      <c r="F38" s="7"/>
      <c r="G38" s="7"/>
      <c r="H38" s="7"/>
      <c r="I38" s="7"/>
      <c r="J38" s="7"/>
      <c r="K38" s="8">
        <f>'BG a Nov'!G66</f>
        <v>20927577.12373</v>
      </c>
      <c r="L38"/>
      <c r="M38"/>
      <c r="N38"/>
      <c r="O38"/>
    </row>
    <row r="39" spans="5:26" ht="15" x14ac:dyDescent="0.25">
      <c r="E39" s="7" t="s">
        <v>95</v>
      </c>
      <c r="F39" s="7"/>
      <c r="G39" s="7"/>
      <c r="H39" s="7"/>
      <c r="I39" s="7"/>
      <c r="J39" s="7"/>
      <c r="K39" s="8">
        <f>'BG a Nov'!T66</f>
        <v>29906486.952439997</v>
      </c>
      <c r="L39"/>
      <c r="M39"/>
      <c r="N39"/>
      <c r="O39"/>
    </row>
    <row r="40" spans="5:26" ht="15" x14ac:dyDescent="0.25">
      <c r="E40" s="7" t="s">
        <v>148</v>
      </c>
      <c r="F40" s="7"/>
      <c r="G40" s="7"/>
      <c r="H40" s="7"/>
      <c r="I40" s="7"/>
      <c r="J40" s="7"/>
      <c r="K40" s="8">
        <f>EEFF!P115</f>
        <v>221095298.20383003</v>
      </c>
      <c r="L40"/>
      <c r="M40"/>
      <c r="N40"/>
      <c r="O40"/>
    </row>
    <row r="41" spans="5:26" ht="15" x14ac:dyDescent="0.25">
      <c r="L41"/>
      <c r="M41"/>
      <c r="N41"/>
      <c r="O41"/>
    </row>
    <row r="42" spans="5:26" ht="15" x14ac:dyDescent="0.25">
      <c r="E42" s="7" t="s">
        <v>149</v>
      </c>
      <c r="F42" s="7"/>
      <c r="G42" s="7"/>
      <c r="H42" s="7"/>
      <c r="I42" s="7"/>
      <c r="J42" s="7"/>
      <c r="K42" s="8">
        <f>K30+K37+K38-K39-K40</f>
        <v>339496018.51391697</v>
      </c>
      <c r="L42"/>
      <c r="M42"/>
      <c r="N42"/>
      <c r="O42"/>
    </row>
    <row r="43" spans="5:26" ht="15" x14ac:dyDescent="0.25">
      <c r="K43" s="8">
        <f>K45/F44</f>
        <v>318751557.74714005</v>
      </c>
      <c r="L43"/>
      <c r="M43"/>
      <c r="N43"/>
      <c r="O43"/>
    </row>
    <row r="44" spans="5:26" ht="15" x14ac:dyDescent="0.25">
      <c r="E44" s="62" t="s">
        <v>375</v>
      </c>
      <c r="F44" s="63">
        <v>7.5170000000000001E-2</v>
      </c>
      <c r="G44" s="64"/>
      <c r="H44" s="64"/>
      <c r="I44" s="64"/>
      <c r="J44" s="64"/>
      <c r="K44" s="65">
        <f>K42*F44</f>
        <v>25519915.711691137</v>
      </c>
      <c r="L44"/>
      <c r="M44" s="220"/>
      <c r="N44" s="220"/>
      <c r="O44"/>
    </row>
    <row r="45" spans="5:26" ht="15" x14ac:dyDescent="0.25">
      <c r="E45" s="66" t="s">
        <v>319</v>
      </c>
      <c r="F45" s="67"/>
      <c r="G45" s="68"/>
      <c r="H45" s="68"/>
      <c r="I45" s="68"/>
      <c r="J45" s="68"/>
      <c r="K45" s="69">
        <v>23960554.595852517</v>
      </c>
      <c r="L45"/>
      <c r="M45"/>
      <c r="N45"/>
      <c r="O45"/>
    </row>
    <row r="46" spans="5:26" ht="15" x14ac:dyDescent="0.25">
      <c r="E46" s="1" t="s">
        <v>150</v>
      </c>
      <c r="K46" s="227">
        <f>K44-K45</f>
        <v>1559361.1158386208</v>
      </c>
      <c r="L46"/>
      <c r="M46"/>
      <c r="N46"/>
      <c r="O46"/>
    </row>
    <row r="47" spans="5:26" ht="15" x14ac:dyDescent="0.25">
      <c r="K47" s="15">
        <f>K46/K45</f>
        <v>6.5080343178222616E-2</v>
      </c>
      <c r="L47"/>
      <c r="M47"/>
      <c r="N47"/>
      <c r="O47"/>
    </row>
    <row r="48" spans="5:26" ht="15" x14ac:dyDescent="0.25">
      <c r="L48"/>
      <c r="M48"/>
      <c r="N48"/>
      <c r="O48"/>
    </row>
    <row r="49" spans="5:15" ht="15" x14ac:dyDescent="0.25">
      <c r="L49"/>
      <c r="M49"/>
      <c r="N49"/>
      <c r="O49"/>
    </row>
    <row r="50" spans="5:15" ht="15" x14ac:dyDescent="0.25">
      <c r="L50"/>
      <c r="M50"/>
      <c r="N50"/>
      <c r="O50"/>
    </row>
    <row r="51" spans="5:15" ht="15" x14ac:dyDescent="0.25">
      <c r="L51"/>
      <c r="M51"/>
      <c r="N51"/>
      <c r="O51"/>
    </row>
    <row r="52" spans="5:15" ht="15" x14ac:dyDescent="0.25">
      <c r="E52" s="66" t="s">
        <v>151</v>
      </c>
      <c r="F52" s="67"/>
      <c r="G52" s="68"/>
      <c r="H52" s="68"/>
      <c r="I52" s="68"/>
      <c r="J52" s="68"/>
      <c r="K52" s="69">
        <v>23648200.794390798</v>
      </c>
      <c r="L52"/>
      <c r="M52"/>
      <c r="N52"/>
      <c r="O52"/>
    </row>
    <row r="53" spans="5:15" ht="15" x14ac:dyDescent="0.25">
      <c r="L53"/>
      <c r="M53"/>
      <c r="N53"/>
      <c r="O53"/>
    </row>
    <row r="54" spans="5:15" ht="15" x14ac:dyDescent="0.25">
      <c r="L54"/>
      <c r="M54"/>
      <c r="N54"/>
      <c r="O54"/>
    </row>
    <row r="56" spans="5:15" x14ac:dyDescent="0.25">
      <c r="K56" s="13"/>
    </row>
    <row r="57" spans="5:15" x14ac:dyDescent="0.25">
      <c r="K57" s="15">
        <f>K46/K45</f>
        <v>6.5080343178222616E-2</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AG66"/>
  <sheetViews>
    <sheetView showGridLines="0" topLeftCell="A6" zoomScale="85" zoomScaleNormal="85" workbookViewId="0">
      <pane xSplit="3" ySplit="2" topLeftCell="Q8" activePane="bottomRight" state="frozen"/>
      <selection activeCell="A6" sqref="A6"/>
      <selection pane="topRight" activeCell="D6" sqref="D6"/>
      <selection pane="bottomLeft" activeCell="A8" sqref="A8"/>
      <selection pane="bottomRight" activeCell="T12" sqref="T12"/>
    </sheetView>
  </sheetViews>
  <sheetFormatPr baseColWidth="10" defaultColWidth="11.42578125" defaultRowHeight="15" x14ac:dyDescent="0.25"/>
  <cols>
    <col min="1" max="1" width="3.42578125" style="207" customWidth="1"/>
    <col min="2" max="2" width="5.85546875" bestFit="1" customWidth="1"/>
    <col min="3" max="3" width="50.28515625" bestFit="1" customWidth="1"/>
    <col min="4" max="5" width="11.42578125" customWidth="1"/>
    <col min="6" max="7" width="12.28515625" bestFit="1" customWidth="1"/>
    <col min="8" max="8" width="11.28515625" bestFit="1" customWidth="1"/>
    <col min="9" max="9" width="8.7109375" bestFit="1" customWidth="1"/>
    <col min="10" max="10" width="12.42578125" bestFit="1" customWidth="1"/>
    <col min="11" max="13" width="13.7109375" bestFit="1" customWidth="1"/>
    <col min="14" max="14" width="5.28515625" style="171" customWidth="1"/>
    <col min="15" max="15" width="5.28515625" bestFit="1" customWidth="1"/>
    <col min="16" max="16" width="44.7109375" bestFit="1" customWidth="1"/>
    <col min="17" max="18" width="11.140625" customWidth="1"/>
    <col min="19" max="20" width="12.28515625" bestFit="1" customWidth="1"/>
    <col min="21" max="21" width="9.42578125" bestFit="1" customWidth="1"/>
    <col min="22" max="22" width="8.85546875" bestFit="1" customWidth="1"/>
    <col min="23" max="23" width="15" bestFit="1" customWidth="1"/>
    <col min="24" max="24" width="12.42578125" bestFit="1" customWidth="1"/>
    <col min="25" max="25" width="15" bestFit="1" customWidth="1"/>
    <col min="26" max="26" width="10.7109375" bestFit="1" customWidth="1"/>
    <col min="29" max="29" width="13" bestFit="1" customWidth="1"/>
    <col min="30" max="30" width="13" customWidth="1"/>
    <col min="31" max="31" width="13" bestFit="1" customWidth="1"/>
    <col min="32" max="32" width="16" bestFit="1" customWidth="1"/>
  </cols>
  <sheetData>
    <row r="1" spans="1:30" x14ac:dyDescent="0.25">
      <c r="A1" s="133" t="s">
        <v>196</v>
      </c>
      <c r="C1" s="35">
        <v>1000000</v>
      </c>
    </row>
    <row r="2" spans="1:30" x14ac:dyDescent="0.25">
      <c r="B2" s="232" t="s">
        <v>152</v>
      </c>
      <c r="C2" s="232"/>
      <c r="D2" s="232"/>
      <c r="E2" s="232"/>
      <c r="F2" s="232"/>
      <c r="G2" s="232"/>
      <c r="H2" s="232"/>
      <c r="I2" s="232"/>
      <c r="J2" s="37"/>
      <c r="K2" s="37"/>
      <c r="L2" s="37"/>
      <c r="M2" s="37"/>
      <c r="N2" s="173"/>
      <c r="O2" s="232" t="s">
        <v>152</v>
      </c>
      <c r="P2" s="232"/>
      <c r="Q2" s="232"/>
      <c r="R2" s="232"/>
      <c r="S2" s="232"/>
      <c r="T2" s="232"/>
      <c r="U2" s="232"/>
      <c r="V2" s="232"/>
      <c r="W2" s="37"/>
      <c r="X2" s="37"/>
      <c r="Y2" s="37"/>
      <c r="Z2" s="37"/>
    </row>
    <row r="3" spans="1:30" x14ac:dyDescent="0.25">
      <c r="B3" s="233" t="s">
        <v>197</v>
      </c>
      <c r="C3" s="233"/>
      <c r="D3" s="233"/>
      <c r="E3" s="233"/>
      <c r="F3" s="233"/>
      <c r="G3" s="233"/>
      <c r="H3" s="233"/>
      <c r="I3" s="233"/>
      <c r="J3" s="228"/>
      <c r="K3" s="228"/>
      <c r="L3" s="228"/>
      <c r="M3" s="228"/>
      <c r="N3" s="173"/>
      <c r="O3" s="234" t="s">
        <v>197</v>
      </c>
      <c r="P3" s="234"/>
      <c r="Q3" s="234"/>
      <c r="R3" s="234"/>
      <c r="S3" s="234"/>
      <c r="T3" s="234"/>
      <c r="U3" s="234"/>
      <c r="V3" s="234"/>
      <c r="W3" s="37"/>
      <c r="X3" s="37"/>
      <c r="Y3" s="37"/>
      <c r="Z3" s="37"/>
    </row>
    <row r="4" spans="1:30" x14ac:dyDescent="0.25">
      <c r="B4" s="235" t="s">
        <v>154</v>
      </c>
      <c r="C4" s="236"/>
      <c r="D4" s="236"/>
      <c r="E4" s="236"/>
      <c r="F4" s="236"/>
      <c r="G4" s="236"/>
      <c r="H4" s="236"/>
      <c r="I4" s="236"/>
      <c r="J4" s="229"/>
      <c r="K4" s="229"/>
      <c r="L4" s="229"/>
      <c r="M4" s="229"/>
      <c r="N4" s="47"/>
      <c r="O4" s="235" t="s">
        <v>154</v>
      </c>
      <c r="P4" s="236"/>
      <c r="Q4" s="236"/>
      <c r="R4" s="236"/>
      <c r="S4" s="236"/>
      <c r="T4" s="236"/>
      <c r="U4" s="236"/>
      <c r="V4" s="236"/>
      <c r="W4" s="229"/>
      <c r="X4" s="229"/>
      <c r="Y4" s="229"/>
      <c r="Z4" s="229"/>
    </row>
    <row r="6" spans="1:30" x14ac:dyDescent="0.25">
      <c r="B6" s="237" t="s">
        <v>198</v>
      </c>
      <c r="C6" s="238"/>
      <c r="D6" s="238"/>
      <c r="E6" s="238"/>
      <c r="F6" s="238"/>
      <c r="G6" s="238"/>
      <c r="H6" s="238"/>
      <c r="I6" s="238"/>
      <c r="J6" s="230"/>
      <c r="K6" s="230"/>
      <c r="L6" s="230"/>
      <c r="M6" s="230"/>
      <c r="N6" s="44"/>
      <c r="O6" s="237" t="s">
        <v>199</v>
      </c>
      <c r="P6" s="238"/>
      <c r="Q6" s="238"/>
      <c r="R6" s="238"/>
      <c r="S6" s="238"/>
      <c r="T6" s="238"/>
      <c r="U6" s="238"/>
      <c r="V6" s="238"/>
      <c r="W6" s="230"/>
      <c r="X6" s="230"/>
      <c r="Y6" s="230"/>
      <c r="Z6" s="230"/>
    </row>
    <row r="7" spans="1:30" x14ac:dyDescent="0.25">
      <c r="B7" s="39" t="s">
        <v>200</v>
      </c>
      <c r="C7" s="39" t="s">
        <v>201</v>
      </c>
      <c r="D7" s="151">
        <v>44501</v>
      </c>
      <c r="E7" s="151">
        <v>44866</v>
      </c>
      <c r="F7" s="151">
        <v>45231</v>
      </c>
      <c r="G7" s="151">
        <v>45597</v>
      </c>
      <c r="H7" s="39" t="s">
        <v>156</v>
      </c>
      <c r="I7" s="38" t="s">
        <v>157</v>
      </c>
      <c r="J7" s="199">
        <v>44531</v>
      </c>
      <c r="K7" s="199">
        <v>44531</v>
      </c>
      <c r="L7" s="199">
        <v>44896</v>
      </c>
      <c r="M7" s="199">
        <v>45261</v>
      </c>
      <c r="N7" s="35"/>
      <c r="O7" s="172" t="s">
        <v>200</v>
      </c>
      <c r="P7" s="39" t="s">
        <v>202</v>
      </c>
      <c r="Q7" s="151">
        <v>44501</v>
      </c>
      <c r="R7" s="151">
        <v>44866</v>
      </c>
      <c r="S7" s="151">
        <v>45231</v>
      </c>
      <c r="T7" s="151">
        <v>45597</v>
      </c>
      <c r="U7" s="39" t="s">
        <v>156</v>
      </c>
      <c r="V7" s="39" t="s">
        <v>157</v>
      </c>
      <c r="W7" s="199">
        <v>44531</v>
      </c>
      <c r="X7" s="199">
        <v>44531</v>
      </c>
      <c r="Y7" s="199">
        <v>44896</v>
      </c>
      <c r="Z7" s="199">
        <v>45261</v>
      </c>
    </row>
    <row r="9" spans="1:30" x14ac:dyDescent="0.25">
      <c r="B9" s="40"/>
      <c r="C9" s="41" t="s">
        <v>203</v>
      </c>
    </row>
    <row r="10" spans="1:30" x14ac:dyDescent="0.25">
      <c r="A10" s="133" t="s">
        <v>204</v>
      </c>
      <c r="B10" s="40"/>
      <c r="C10" s="34" t="s">
        <v>205</v>
      </c>
      <c r="D10" s="42">
        <v>7985.2720044799999</v>
      </c>
      <c r="E10" s="42">
        <v>13597.689382729999</v>
      </c>
      <c r="F10" s="42">
        <v>16092.64126042</v>
      </c>
      <c r="G10" s="42">
        <v>17093.41638956</v>
      </c>
      <c r="H10" s="42">
        <v>5850.6384399300005</v>
      </c>
      <c r="I10" s="43">
        <v>2.7408162867350807</v>
      </c>
      <c r="J10" s="200">
        <v>1074.404</v>
      </c>
      <c r="K10" s="200">
        <v>1244.193</v>
      </c>
      <c r="L10" s="200">
        <v>3672.34</v>
      </c>
      <c r="M10" s="200">
        <v>1111.2449999999999</v>
      </c>
      <c r="N10" s="44" t="s">
        <v>206</v>
      </c>
      <c r="O10" s="45"/>
      <c r="P10" s="34" t="s">
        <v>207</v>
      </c>
      <c r="Q10" s="42">
        <v>20048.98834607</v>
      </c>
      <c r="R10" s="200">
        <v>35932.227270750001</v>
      </c>
      <c r="S10" s="200">
        <v>27278.644142180001</v>
      </c>
      <c r="T10" s="200">
        <v>12213.77536616</v>
      </c>
      <c r="U10" s="42">
        <v>416.51168206999864</v>
      </c>
      <c r="V10" s="43">
        <v>2.1215442615742708E-2</v>
      </c>
      <c r="W10" s="200">
        <v>20365.074000000001</v>
      </c>
      <c r="X10" s="200">
        <v>20365.074000000001</v>
      </c>
      <c r="Y10" s="200">
        <v>48372.714</v>
      </c>
      <c r="Z10" s="200">
        <v>19877.535</v>
      </c>
    </row>
    <row r="11" spans="1:30" x14ac:dyDescent="0.25">
      <c r="A11" s="133" t="s">
        <v>208</v>
      </c>
      <c r="B11" s="40"/>
      <c r="C11" s="34" t="s">
        <v>209</v>
      </c>
      <c r="D11" s="42">
        <v>0</v>
      </c>
      <c r="E11" s="42">
        <v>0</v>
      </c>
      <c r="F11" s="42"/>
      <c r="G11" s="42">
        <v>0</v>
      </c>
      <c r="H11" s="42">
        <v>-66.328957000000003</v>
      </c>
      <c r="I11" s="43">
        <v>-1</v>
      </c>
      <c r="J11" s="200">
        <v>0</v>
      </c>
      <c r="K11" s="200"/>
      <c r="L11" s="200"/>
      <c r="M11" s="200"/>
      <c r="N11" s="44"/>
      <c r="O11" s="45"/>
      <c r="Q11" s="42"/>
      <c r="R11" s="42"/>
      <c r="S11" s="42"/>
      <c r="T11" s="42"/>
      <c r="U11" s="42"/>
      <c r="V11" s="43"/>
      <c r="W11" s="200">
        <v>0</v>
      </c>
      <c r="Y11" s="200"/>
      <c r="Z11" s="200"/>
    </row>
    <row r="12" spans="1:30" x14ac:dyDescent="0.25">
      <c r="A12" s="133" t="s">
        <v>210</v>
      </c>
      <c r="B12" s="150">
        <v>1</v>
      </c>
      <c r="C12" s="34" t="s">
        <v>211</v>
      </c>
      <c r="D12" s="42">
        <v>21554.402426869998</v>
      </c>
      <c r="E12" s="42">
        <v>23576.173260099997</v>
      </c>
      <c r="F12" s="42">
        <v>26642.12953455</v>
      </c>
      <c r="G12" s="42">
        <v>39219.911498160007</v>
      </c>
      <c r="H12" s="42">
        <v>2794.8454239099992</v>
      </c>
      <c r="I12" s="43">
        <v>0.14898248521908131</v>
      </c>
      <c r="J12" s="200">
        <v>27068.45</v>
      </c>
      <c r="K12" s="200">
        <v>27068.45</v>
      </c>
      <c r="L12" s="200">
        <v>35167.760999999999</v>
      </c>
      <c r="M12" s="200">
        <v>39168.322</v>
      </c>
      <c r="N12" s="44" t="s">
        <v>212</v>
      </c>
      <c r="O12" s="150">
        <v>12</v>
      </c>
      <c r="P12" s="34" t="s">
        <v>66</v>
      </c>
      <c r="Q12" s="42">
        <v>23267.15358907</v>
      </c>
      <c r="R12" s="42">
        <v>29579.423754830001</v>
      </c>
      <c r="S12" s="42">
        <v>28781.464519099998</v>
      </c>
      <c r="T12" s="42">
        <v>25190.734730130003</v>
      </c>
      <c r="U12" s="42">
        <v>4784.5547700200004</v>
      </c>
      <c r="V12" s="43">
        <v>0.25886807460694139</v>
      </c>
      <c r="W12" s="200">
        <v>33628.927000000003</v>
      </c>
      <c r="X12" s="200">
        <v>33628.927000000003</v>
      </c>
      <c r="Y12" s="200">
        <v>43857.87</v>
      </c>
      <c r="Z12" s="200">
        <v>45637.875</v>
      </c>
    </row>
    <row r="13" spans="1:30" x14ac:dyDescent="0.25">
      <c r="A13" s="133" t="s">
        <v>213</v>
      </c>
      <c r="B13" s="150">
        <v>2</v>
      </c>
      <c r="C13" s="34" t="s">
        <v>214</v>
      </c>
      <c r="D13" s="42">
        <v>1240.7677407599999</v>
      </c>
      <c r="E13" s="42">
        <v>1224.7094628</v>
      </c>
      <c r="F13" s="42">
        <v>729.75613085999998</v>
      </c>
      <c r="G13" s="42">
        <v>3558.6500610599996</v>
      </c>
      <c r="H13" s="42">
        <v>175.45169977</v>
      </c>
      <c r="I13" s="43">
        <v>0.16469450662448715</v>
      </c>
      <c r="J13" s="200">
        <v>944.63599999999997</v>
      </c>
      <c r="K13" s="200">
        <v>386.202</v>
      </c>
      <c r="L13" s="200">
        <v>1029.6179999999999</v>
      </c>
      <c r="M13" s="200">
        <v>294.58600000000001</v>
      </c>
      <c r="N13" s="44" t="s">
        <v>215</v>
      </c>
      <c r="O13" s="150"/>
      <c r="P13" s="34" t="s">
        <v>216</v>
      </c>
      <c r="Q13" s="42">
        <v>6638.8552018599994</v>
      </c>
      <c r="R13" s="42">
        <v>47780.233954589996</v>
      </c>
      <c r="S13" s="42">
        <v>365.63905719000002</v>
      </c>
      <c r="T13" s="42">
        <v>419.60471063</v>
      </c>
      <c r="U13" s="42">
        <v>2690.5877138699998</v>
      </c>
      <c r="V13" s="43">
        <v>0.68146034230313401</v>
      </c>
      <c r="W13" s="200">
        <v>5012.4639999999999</v>
      </c>
      <c r="X13" s="200">
        <v>5012.4639999999999</v>
      </c>
      <c r="Y13" s="200">
        <v>8385.2080000000005</v>
      </c>
      <c r="Z13" s="200">
        <v>365.63900000000001</v>
      </c>
    </row>
    <row r="14" spans="1:30" x14ac:dyDescent="0.25">
      <c r="A14" s="133" t="s">
        <v>217</v>
      </c>
      <c r="B14" s="150">
        <v>3</v>
      </c>
      <c r="C14" s="34" t="s">
        <v>218</v>
      </c>
      <c r="D14" s="42">
        <v>18656.984351610001</v>
      </c>
      <c r="E14" s="42">
        <v>21721.4767469</v>
      </c>
      <c r="F14" s="42">
        <v>28686.751181719999</v>
      </c>
      <c r="G14" s="42">
        <v>33660.396816040004</v>
      </c>
      <c r="H14" s="42">
        <v>-1609.7049930499998</v>
      </c>
      <c r="I14" s="43">
        <v>-7.9426144333442195E-2</v>
      </c>
      <c r="J14" s="200">
        <v>19924.812999999998</v>
      </c>
      <c r="K14" s="200">
        <v>20557.217000000001</v>
      </c>
      <c r="L14" s="200">
        <v>23232.672999999999</v>
      </c>
      <c r="M14" s="200">
        <v>30807.972000000002</v>
      </c>
      <c r="N14" s="44" t="s">
        <v>219</v>
      </c>
      <c r="O14" s="150">
        <v>13</v>
      </c>
      <c r="P14" s="34" t="s">
        <v>220</v>
      </c>
      <c r="Q14" s="42">
        <v>13433.39791182</v>
      </c>
      <c r="R14" s="42">
        <v>12000.1765431</v>
      </c>
      <c r="S14" s="42">
        <v>12062.398610759999</v>
      </c>
      <c r="T14" s="42">
        <v>10700.239673489999</v>
      </c>
      <c r="U14" s="42">
        <v>759.62077859000055</v>
      </c>
      <c r="V14" s="43">
        <v>5.9936416003269821E-2</v>
      </c>
      <c r="W14" s="200">
        <v>12670.087</v>
      </c>
      <c r="X14" s="200">
        <v>12570.038</v>
      </c>
      <c r="Y14" s="200">
        <v>15096.201999999999</v>
      </c>
      <c r="Z14" s="200">
        <v>12259.939</v>
      </c>
    </row>
    <row r="15" spans="1:30" x14ac:dyDescent="0.25">
      <c r="B15" s="150"/>
      <c r="C15" s="166" t="s">
        <v>221</v>
      </c>
      <c r="D15" s="165">
        <f>SUM(D10:D14)</f>
        <v>49437.426523720002</v>
      </c>
      <c r="E15" s="165">
        <f t="shared" ref="E15:G15" si="0">SUM(E10:E14)</f>
        <v>60120.048852529995</v>
      </c>
      <c r="F15" s="165">
        <f t="shared" si="0"/>
        <v>72151.278107549995</v>
      </c>
      <c r="G15" s="165">
        <f t="shared" si="0"/>
        <v>93532.374764820008</v>
      </c>
      <c r="H15" s="165">
        <f>SUM(H10:H14)</f>
        <v>7144.9016135599995</v>
      </c>
      <c r="I15" s="164">
        <v>0.16894005805370038</v>
      </c>
      <c r="J15" s="201">
        <f>SUM(J10:J14)</f>
        <v>49012.303</v>
      </c>
      <c r="K15" s="201">
        <f>SUM(K10:K14)</f>
        <v>49256.062000000005</v>
      </c>
      <c r="L15" s="201">
        <f>SUM(L10:L14)</f>
        <v>63102.391999999993</v>
      </c>
      <c r="M15" s="201">
        <f>SUM(M10:M14)</f>
        <v>71382.125</v>
      </c>
      <c r="N15" s="44" t="s">
        <v>222</v>
      </c>
      <c r="O15" s="150"/>
      <c r="P15" s="34" t="s">
        <v>223</v>
      </c>
      <c r="Q15" s="42">
        <v>16306.19515761</v>
      </c>
      <c r="R15" s="42">
        <v>26839.880493189998</v>
      </c>
      <c r="S15" s="42">
        <v>15726.725820120002</v>
      </c>
      <c r="T15" s="42">
        <v>15987.42699502</v>
      </c>
      <c r="U15" s="42">
        <v>6727.5311887300013</v>
      </c>
      <c r="V15" s="43">
        <v>0.70234546389632135</v>
      </c>
      <c r="W15" s="200">
        <v>6081.7039999999997</v>
      </c>
      <c r="X15" s="200">
        <v>6129.009</v>
      </c>
      <c r="Y15" s="200">
        <v>15360.442999999999</v>
      </c>
      <c r="Z15" s="200">
        <v>923.04600000000005</v>
      </c>
      <c r="AC15" s="12">
        <f>('BG a Nov'!R10+'BG a Nov'!R24)*1000</f>
        <v>143297834.50074002</v>
      </c>
      <c r="AD15" s="12"/>
    </row>
    <row r="16" spans="1:30" x14ac:dyDescent="0.25">
      <c r="A16" s="133"/>
      <c r="B16" s="36"/>
      <c r="C16" s="36"/>
      <c r="D16" s="36"/>
      <c r="H16" s="36"/>
      <c r="I16" s="36"/>
      <c r="J16" s="202">
        <v>0</v>
      </c>
      <c r="K16" s="202"/>
      <c r="L16" s="202"/>
      <c r="M16" s="202"/>
      <c r="N16" s="44" t="s">
        <v>224</v>
      </c>
      <c r="O16" s="150"/>
      <c r="P16" s="34" t="s">
        <v>225</v>
      </c>
      <c r="Q16" s="42">
        <v>3042.81476406</v>
      </c>
      <c r="R16" s="42">
        <v>3080.3503341300002</v>
      </c>
      <c r="S16" s="42">
        <v>3691.06782634</v>
      </c>
      <c r="T16" s="42">
        <v>3642.9387334000003</v>
      </c>
      <c r="U16" s="42">
        <v>50.079024969999864</v>
      </c>
      <c r="V16" s="43">
        <v>1.6733527225904377E-2</v>
      </c>
      <c r="W16" s="200">
        <v>2033.4670000000001</v>
      </c>
      <c r="X16" s="200">
        <v>3576.8589999999999</v>
      </c>
      <c r="Y16" s="200">
        <v>1983.7470000000001</v>
      </c>
      <c r="Z16" s="200">
        <v>2638.2750000000001</v>
      </c>
      <c r="AC16" s="14">
        <f>('BG a Nov'!R12+'BG a Nov'!R14)*1000</f>
        <v>41579600.297930002</v>
      </c>
      <c r="AD16" s="14"/>
    </row>
    <row r="17" spans="1:33" x14ac:dyDescent="0.25">
      <c r="B17" s="150"/>
      <c r="D17" s="42"/>
      <c r="E17" s="42"/>
      <c r="F17" s="42"/>
      <c r="G17" s="42"/>
      <c r="I17" s="46"/>
      <c r="J17" s="200">
        <v>0</v>
      </c>
      <c r="K17" s="200"/>
      <c r="L17" s="200"/>
      <c r="M17" s="200"/>
      <c r="N17" s="44" t="s">
        <v>226</v>
      </c>
      <c r="O17" s="150"/>
      <c r="P17" s="34" t="s">
        <v>192</v>
      </c>
      <c r="Q17" s="42">
        <v>44.724558000000002</v>
      </c>
      <c r="R17" s="42">
        <v>0</v>
      </c>
      <c r="S17" s="42"/>
      <c r="T17" s="42">
        <v>-114.68916800000001</v>
      </c>
      <c r="U17" s="42">
        <v>-3.0392278899999994</v>
      </c>
      <c r="V17" s="43">
        <v>-6.363038091242057E-2</v>
      </c>
      <c r="W17" s="200">
        <v>0</v>
      </c>
      <c r="X17" s="200"/>
      <c r="Y17" s="200"/>
      <c r="Z17" s="200"/>
      <c r="AC17" s="12">
        <f>('BG a Nov'!R16+'BG a Nov'!R25)*1000</f>
        <v>3080350.3341300003</v>
      </c>
      <c r="AD17" s="12"/>
    </row>
    <row r="18" spans="1:33" x14ac:dyDescent="0.25">
      <c r="B18" s="150"/>
      <c r="C18" s="41" t="s">
        <v>227</v>
      </c>
      <c r="D18" s="42"/>
      <c r="E18" s="42"/>
      <c r="F18" s="42"/>
      <c r="G18" s="42"/>
      <c r="H18" s="42"/>
      <c r="I18" s="46"/>
      <c r="J18" s="200">
        <v>0</v>
      </c>
      <c r="K18" s="200"/>
      <c r="L18" s="200"/>
      <c r="M18" s="200"/>
      <c r="N18" s="44" t="s">
        <v>228</v>
      </c>
      <c r="O18" s="150"/>
      <c r="P18" s="34" t="s">
        <v>95</v>
      </c>
      <c r="Q18" s="42">
        <v>8317.1801719300001</v>
      </c>
      <c r="R18" s="42">
        <v>8795.0461794500006</v>
      </c>
      <c r="S18" s="56">
        <v>9550.9838966900006</v>
      </c>
      <c r="T18" s="56">
        <v>10307.0675704</v>
      </c>
      <c r="U18" s="42">
        <v>1125.8224923299995</v>
      </c>
      <c r="V18" s="43">
        <v>0.15655214807680373</v>
      </c>
      <c r="W18" s="200">
        <v>6689.9660000000003</v>
      </c>
      <c r="X18" s="200">
        <v>6754.06</v>
      </c>
      <c r="Y18" s="200">
        <v>7396.0349999999999</v>
      </c>
      <c r="Z18" s="200">
        <v>9650.2109999999993</v>
      </c>
      <c r="AA18" s="210"/>
      <c r="AC18" s="12">
        <f>('BG a Nov'!R15+'BG a Nov'!R27)*1000</f>
        <v>73476648.493189991</v>
      </c>
      <c r="AD18" s="12"/>
    </row>
    <row r="19" spans="1:33" x14ac:dyDescent="0.25">
      <c r="A19" s="133" t="s">
        <v>229</v>
      </c>
      <c r="B19" s="150"/>
      <c r="C19" s="34" t="s">
        <v>230</v>
      </c>
      <c r="D19" s="42">
        <v>2776.3836549600001</v>
      </c>
      <c r="E19" s="42">
        <v>4641.8241773700001</v>
      </c>
      <c r="F19" s="42">
        <v>1746.5544869</v>
      </c>
      <c r="G19" s="42">
        <v>2164.3670847800004</v>
      </c>
      <c r="H19" s="42">
        <v>472.82704117000003</v>
      </c>
      <c r="I19" s="43">
        <v>0.20525957050044719</v>
      </c>
      <c r="J19" s="211">
        <v>3066.5162554833082</v>
      </c>
      <c r="K19" s="211"/>
      <c r="L19" s="211"/>
      <c r="M19" s="211"/>
      <c r="N19" s="44">
        <v>2850209998</v>
      </c>
      <c r="O19" s="150"/>
      <c r="P19" s="34" t="s">
        <v>231</v>
      </c>
      <c r="Q19" s="42">
        <v>1786.6615220000001</v>
      </c>
      <c r="R19" s="42">
        <v>4870.1594996499998</v>
      </c>
      <c r="S19" s="56">
        <v>5137.4919333799999</v>
      </c>
      <c r="T19" s="56">
        <v>7940.059408600001</v>
      </c>
      <c r="U19" s="42">
        <v>-268.48211100000003</v>
      </c>
      <c r="V19" s="43">
        <v>-0.13063909825518261</v>
      </c>
      <c r="W19" s="200">
        <v>2423.991</v>
      </c>
      <c r="X19" s="200">
        <v>2423.991</v>
      </c>
      <c r="Y19" s="200">
        <v>4931.5780000000004</v>
      </c>
      <c r="Z19" s="200">
        <v>5024.8450000000003</v>
      </c>
      <c r="AA19" s="210"/>
      <c r="AC19" s="12">
        <f>('BG a Nov'!R28+'BG a Nov'!R26+'BG a Nov'!R19+'BG a Nov'!R18+'BG a Nov'!R17)*1000</f>
        <v>22112274.43953</v>
      </c>
      <c r="AD19" s="12"/>
    </row>
    <row r="20" spans="1:33" x14ac:dyDescent="0.25">
      <c r="A20" s="133" t="s">
        <v>232</v>
      </c>
      <c r="B20" s="150">
        <v>4</v>
      </c>
      <c r="C20" s="34" t="s">
        <v>233</v>
      </c>
      <c r="D20" s="42">
        <v>9646.5621930100006</v>
      </c>
      <c r="E20" s="42">
        <v>3862.4297793600003</v>
      </c>
      <c r="F20" s="42">
        <v>5028.0093625</v>
      </c>
      <c r="G20" s="42">
        <v>8531.4431359600003</v>
      </c>
      <c r="H20" s="42">
        <v>52.812477659999786</v>
      </c>
      <c r="I20" s="43">
        <v>5.5048838282178991E-3</v>
      </c>
      <c r="J20" s="211">
        <v>10654.629709243864</v>
      </c>
      <c r="K20" s="211"/>
      <c r="L20" s="211"/>
      <c r="M20" s="211"/>
      <c r="N20" s="44"/>
      <c r="O20" s="150"/>
      <c r="P20" s="166" t="s">
        <v>234</v>
      </c>
      <c r="Q20" s="165">
        <f>SUM(Q10:Q19)</f>
        <v>92885.97122241999</v>
      </c>
      <c r="R20" s="165">
        <f>SUM(R10:R19)</f>
        <v>168877.49802969</v>
      </c>
      <c r="S20" s="165">
        <f>SUM(S10:S19)</f>
        <v>102594.41580576</v>
      </c>
      <c r="T20" s="165">
        <f>SUM(T10:T19)</f>
        <v>86287.158019830022</v>
      </c>
      <c r="U20" s="165">
        <f>SUM(U10:U19)</f>
        <v>16283.18631169</v>
      </c>
      <c r="V20" s="170">
        <v>0.21256650565205693</v>
      </c>
      <c r="W20" s="201">
        <v>88905.68</v>
      </c>
      <c r="X20" s="201">
        <f>SUM(X10:X19)</f>
        <v>90460.421999999991</v>
      </c>
      <c r="Y20" s="201">
        <f>SUM(Y10:Y19)</f>
        <v>145383.79700000002</v>
      </c>
      <c r="Z20" s="201">
        <f>SUM(Z10:Z19)</f>
        <v>96377.364999999991</v>
      </c>
      <c r="AA20" s="210"/>
    </row>
    <row r="21" spans="1:33" x14ac:dyDescent="0.25">
      <c r="A21" s="133" t="s">
        <v>235</v>
      </c>
      <c r="B21" s="150"/>
      <c r="C21" s="34" t="s">
        <v>236</v>
      </c>
      <c r="D21" s="42">
        <v>7763.14009231</v>
      </c>
      <c r="E21" s="42">
        <v>9622.2357824899991</v>
      </c>
      <c r="F21" s="42">
        <v>8327.2756807900005</v>
      </c>
      <c r="G21" s="42">
        <v>7718.8289251300002</v>
      </c>
      <c r="H21" s="42">
        <v>751.15632449999976</v>
      </c>
      <c r="I21" s="43">
        <v>0.10712465250537839</v>
      </c>
      <c r="J21" s="211">
        <v>8574.3896540140759</v>
      </c>
      <c r="K21" s="211"/>
      <c r="L21" s="211"/>
      <c r="M21" s="211"/>
      <c r="N21" s="44"/>
      <c r="O21" s="150"/>
      <c r="V21" s="46"/>
      <c r="W21" s="200">
        <v>0</v>
      </c>
      <c r="X21" s="200"/>
      <c r="Y21" s="200"/>
      <c r="Z21" s="200"/>
      <c r="AA21" s="210"/>
      <c r="AC21" s="219">
        <v>44501</v>
      </c>
      <c r="AD21" s="219">
        <v>44866</v>
      </c>
      <c r="AE21" s="219">
        <v>44866</v>
      </c>
      <c r="AF21" s="219">
        <v>45231</v>
      </c>
      <c r="AG21" t="s">
        <v>237</v>
      </c>
    </row>
    <row r="22" spans="1:33" x14ac:dyDescent="0.25">
      <c r="A22" s="133" t="s">
        <v>238</v>
      </c>
      <c r="B22" s="150">
        <v>5</v>
      </c>
      <c r="C22" s="34" t="s">
        <v>239</v>
      </c>
      <c r="D22" s="42">
        <v>671.42316061999998</v>
      </c>
      <c r="E22" s="42">
        <v>2323.6770061500001</v>
      </c>
      <c r="F22" s="42">
        <v>258.37170859999998</v>
      </c>
      <c r="G22" s="42">
        <v>182.38004728999999</v>
      </c>
      <c r="H22" s="42">
        <v>544.86901833999991</v>
      </c>
      <c r="I22" s="43">
        <v>4.3054222368674564</v>
      </c>
      <c r="J22" s="211">
        <v>741.58700389657565</v>
      </c>
      <c r="K22" s="211"/>
      <c r="L22" s="211"/>
      <c r="M22" s="211"/>
      <c r="N22" s="44"/>
      <c r="O22" s="150"/>
      <c r="P22" s="239" t="s">
        <v>240</v>
      </c>
      <c r="Q22" s="240"/>
      <c r="R22" s="240"/>
      <c r="S22" s="240"/>
      <c r="T22" s="240"/>
      <c r="U22" s="240"/>
      <c r="V22" s="240"/>
      <c r="W22" s="203">
        <v>0</v>
      </c>
      <c r="X22" s="203"/>
      <c r="Y22" s="203"/>
      <c r="Z22" s="203"/>
      <c r="AA22" s="210"/>
      <c r="AB22" t="s">
        <v>241</v>
      </c>
      <c r="AC22" s="220">
        <f>('BG a Nov'!Q10+'BG a Nov'!Q24)</f>
        <v>156242.3607774</v>
      </c>
      <c r="AD22" s="220">
        <f>('BG a Nov'!R10+'BG a Nov'!R24)</f>
        <v>143297.83450074002</v>
      </c>
      <c r="AE22" s="220">
        <f>('BG a Nov'!S10+'BG a Nov'!S24)</f>
        <v>202835.31446384001</v>
      </c>
      <c r="AF22" s="220">
        <f>('BG a Nov'!T10+'BG a Nov'!T24)</f>
        <v>221095.29820383003</v>
      </c>
      <c r="AG22" s="206">
        <f>AVERAGE(AD22:AF22)</f>
        <v>189076.1490561367</v>
      </c>
    </row>
    <row r="23" spans="1:33" ht="18" x14ac:dyDescent="0.25">
      <c r="A23" s="133" t="s">
        <v>242</v>
      </c>
      <c r="B23" s="150"/>
      <c r="C23" s="34" t="s">
        <v>243</v>
      </c>
      <c r="D23" s="42">
        <v>178.4744488</v>
      </c>
      <c r="E23" s="42">
        <v>374.43215206999997</v>
      </c>
      <c r="F23" s="42">
        <v>32.3522094</v>
      </c>
      <c r="G23" s="42">
        <v>265.85545236000002</v>
      </c>
      <c r="H23" s="42">
        <v>100.6540756</v>
      </c>
      <c r="I23" s="43">
        <v>1.2934154831321214</v>
      </c>
      <c r="J23" s="211">
        <v>197.12506139268007</v>
      </c>
      <c r="K23" s="211"/>
      <c r="L23" s="211"/>
      <c r="M23" s="211"/>
      <c r="N23" s="44"/>
      <c r="O23" s="150"/>
      <c r="Q23" s="42"/>
      <c r="R23" s="42"/>
      <c r="S23" s="42"/>
      <c r="T23" s="42"/>
      <c r="U23" s="42"/>
      <c r="V23" s="43"/>
      <c r="W23" s="200">
        <v>0</v>
      </c>
      <c r="X23" s="200"/>
      <c r="Y23" s="200"/>
      <c r="Z23" s="200"/>
      <c r="AA23" s="210"/>
      <c r="AB23" t="s">
        <v>244</v>
      </c>
      <c r="AC23" s="221">
        <f>-AVERAGE('ER a Nov'!E33:G33)/'BG a Nov'!AG22</f>
        <v>0.11411425564561296</v>
      </c>
      <c r="AD23" s="221"/>
    </row>
    <row r="24" spans="1:33" x14ac:dyDescent="0.25">
      <c r="A24" s="133" t="s">
        <v>245</v>
      </c>
      <c r="B24" s="150"/>
      <c r="C24" s="34" t="s">
        <v>246</v>
      </c>
      <c r="D24" s="42">
        <v>102.83865743000001</v>
      </c>
      <c r="E24" s="42">
        <v>199.24004929</v>
      </c>
      <c r="F24" s="42">
        <v>322.40793508999997</v>
      </c>
      <c r="G24" s="42">
        <v>441.68746081</v>
      </c>
      <c r="H24" s="42">
        <v>-87.879273060000003</v>
      </c>
      <c r="I24" s="43">
        <v>-0.46078138974252247</v>
      </c>
      <c r="J24" s="211">
        <v>113.58531596949548</v>
      </c>
      <c r="K24" s="211"/>
      <c r="L24" s="211"/>
      <c r="M24" s="211"/>
      <c r="N24" s="44" t="s">
        <v>247</v>
      </c>
      <c r="O24" s="150"/>
      <c r="P24" s="34" t="s">
        <v>248</v>
      </c>
      <c r="Q24" s="42">
        <v>136193.37243133</v>
      </c>
      <c r="R24" s="42">
        <v>107365.60722999001</v>
      </c>
      <c r="S24" s="42">
        <v>175556.67032166</v>
      </c>
      <c r="T24" s="42">
        <v>208881.52283767003</v>
      </c>
      <c r="U24" s="42">
        <v>-22457.466433669993</v>
      </c>
      <c r="V24" s="43">
        <v>0.28616821277558002</v>
      </c>
      <c r="W24" s="200">
        <v>136193.372</v>
      </c>
      <c r="X24" s="200">
        <v>136193.372</v>
      </c>
      <c r="Y24" s="200">
        <v>128865.607</v>
      </c>
      <c r="Z24" s="200">
        <v>175556.67</v>
      </c>
      <c r="AA24" s="210"/>
    </row>
    <row r="25" spans="1:33" x14ac:dyDescent="0.25">
      <c r="B25" s="150"/>
      <c r="C25" s="166" t="s">
        <v>249</v>
      </c>
      <c r="D25" s="165">
        <f>SUM(D19:D24)</f>
        <v>21138.822207130001</v>
      </c>
      <c r="E25" s="165">
        <f t="shared" ref="E25:H25" si="1">SUM(E19:E24)</f>
        <v>21023.83894673</v>
      </c>
      <c r="F25" s="165">
        <f t="shared" si="1"/>
        <v>15714.971383279999</v>
      </c>
      <c r="G25" s="165">
        <f t="shared" si="1"/>
        <v>19304.562106330002</v>
      </c>
      <c r="H25" s="165">
        <f t="shared" si="1"/>
        <v>1834.4396642099994</v>
      </c>
      <c r="I25" s="164">
        <v>9.5027109006539545E-2</v>
      </c>
      <c r="J25" s="201">
        <v>23347.832999999999</v>
      </c>
      <c r="K25" s="201">
        <v>23347.832999999999</v>
      </c>
      <c r="L25" s="201">
        <v>22746.964</v>
      </c>
      <c r="M25" s="201">
        <v>22023.767</v>
      </c>
      <c r="N25" s="44" t="s">
        <v>247</v>
      </c>
      <c r="O25" s="150"/>
      <c r="P25" s="34" t="s">
        <v>250</v>
      </c>
      <c r="Q25" s="42">
        <v>0</v>
      </c>
      <c r="R25" s="42">
        <v>0</v>
      </c>
      <c r="S25" s="42"/>
      <c r="T25" s="42">
        <v>0</v>
      </c>
      <c r="U25" s="42">
        <v>0</v>
      </c>
      <c r="V25" s="43" t="s">
        <v>186</v>
      </c>
      <c r="W25" s="200">
        <v>0</v>
      </c>
      <c r="Y25" s="200"/>
      <c r="Z25" s="200"/>
      <c r="AA25" s="210"/>
      <c r="AB25" t="s">
        <v>251</v>
      </c>
      <c r="AC25">
        <f>2360+2791</f>
        <v>5151</v>
      </c>
      <c r="AE25" s="206">
        <f>AC25/Valoración!F44</f>
        <v>68524.677397898093</v>
      </c>
    </row>
    <row r="26" spans="1:33" x14ac:dyDescent="0.25">
      <c r="B26" s="150"/>
      <c r="D26" s="42"/>
      <c r="E26" s="42"/>
      <c r="F26" s="42"/>
      <c r="G26" s="42"/>
      <c r="I26" s="46"/>
      <c r="J26" s="200">
        <v>0</v>
      </c>
      <c r="K26" s="200"/>
      <c r="L26" s="200"/>
      <c r="M26" s="200"/>
      <c r="N26" s="44" t="s">
        <v>252</v>
      </c>
      <c r="O26" s="150"/>
      <c r="P26" s="34" t="s">
        <v>253</v>
      </c>
      <c r="Q26" s="42">
        <v>403.12281395999997</v>
      </c>
      <c r="R26" s="42">
        <v>99.656108000000003</v>
      </c>
      <c r="S26" s="56">
        <v>776.34257074999994</v>
      </c>
      <c r="T26" s="56">
        <v>362.34257074999999</v>
      </c>
      <c r="U26" s="42">
        <v>201.64367731999999</v>
      </c>
      <c r="V26" s="43">
        <v>1.0008166636146254</v>
      </c>
      <c r="W26" s="200">
        <v>288.39600000000002</v>
      </c>
      <c r="X26" s="200">
        <v>288.39600000000002</v>
      </c>
      <c r="Y26" s="200">
        <v>99.656000000000006</v>
      </c>
      <c r="Z26" s="200">
        <v>776.34199999999998</v>
      </c>
    </row>
    <row r="27" spans="1:33" x14ac:dyDescent="0.25">
      <c r="A27" s="133" t="s">
        <v>254</v>
      </c>
      <c r="B27" s="150">
        <v>6</v>
      </c>
      <c r="C27" s="34" t="s">
        <v>255</v>
      </c>
      <c r="D27" s="42">
        <v>18798.629380189999</v>
      </c>
      <c r="E27" s="42">
        <v>21000.119869830003</v>
      </c>
      <c r="F27" s="42">
        <v>21477.560787629998</v>
      </c>
      <c r="G27" s="42">
        <v>34802.201650049996</v>
      </c>
      <c r="H27" s="42">
        <v>868.2536503299998</v>
      </c>
      <c r="I27" s="43">
        <v>4.8423617185225476E-2</v>
      </c>
      <c r="J27" s="200">
        <v>18295.206999999999</v>
      </c>
      <c r="K27" s="200">
        <v>18295.206999999999</v>
      </c>
      <c r="L27" s="200">
        <v>20319.38</v>
      </c>
      <c r="M27" s="200">
        <v>23834.699000000001</v>
      </c>
      <c r="N27" s="44" t="s">
        <v>256</v>
      </c>
      <c r="O27" s="150">
        <v>14</v>
      </c>
      <c r="P27" s="34" t="s">
        <v>257</v>
      </c>
      <c r="Q27" s="42">
        <v>42221.945500000002</v>
      </c>
      <c r="R27" s="42">
        <v>46636.767999999996</v>
      </c>
      <c r="S27" s="42">
        <v>48959.116999999998</v>
      </c>
      <c r="T27" s="42">
        <v>50786.953000000001</v>
      </c>
      <c r="U27" s="42">
        <v>4308.1315000000031</v>
      </c>
      <c r="V27" s="43">
        <v>0.11362959949109852</v>
      </c>
      <c r="W27" s="200">
        <v>43357.358</v>
      </c>
      <c r="X27" s="200">
        <v>43279.26</v>
      </c>
      <c r="Y27" s="200">
        <v>48326.396000000001</v>
      </c>
      <c r="Z27" s="200">
        <v>49864.521999999997</v>
      </c>
      <c r="AB27" t="s">
        <v>258</v>
      </c>
      <c r="AC27" s="223">
        <f>E12+E13+E14</f>
        <v>46522.359469799994</v>
      </c>
      <c r="AD27" s="223"/>
      <c r="AE27" s="223">
        <f>(AC27/('ER a Nov'!E10)*360)</f>
        <v>34.810079401460541</v>
      </c>
      <c r="AF27" s="206"/>
    </row>
    <row r="28" spans="1:33" x14ac:dyDescent="0.25">
      <c r="A28" s="133" t="s">
        <v>259</v>
      </c>
      <c r="B28" s="150"/>
      <c r="C28" s="34" t="s">
        <v>260</v>
      </c>
      <c r="D28" s="42">
        <v>11551.119081680001</v>
      </c>
      <c r="E28" s="42">
        <v>18316.218901430002</v>
      </c>
      <c r="F28" s="42">
        <v>25325.411983150003</v>
      </c>
      <c r="G28" s="42">
        <v>18229.752904860001</v>
      </c>
      <c r="H28" s="42">
        <v>3025.1811198500018</v>
      </c>
      <c r="I28" s="43">
        <v>0.35482091629020962</v>
      </c>
      <c r="J28" s="200">
        <v>4133.3230000000003</v>
      </c>
      <c r="K28" s="200">
        <v>4867.3490000000002</v>
      </c>
      <c r="L28" s="200">
        <v>8005.4740000000002</v>
      </c>
      <c r="M28" s="200">
        <v>13156.85</v>
      </c>
      <c r="N28" s="44" t="s">
        <v>261</v>
      </c>
      <c r="O28" s="150"/>
      <c r="P28" s="34" t="s">
        <v>231</v>
      </c>
      <c r="Q28" s="42">
        <v>2437.5196259999998</v>
      </c>
      <c r="R28" s="42">
        <v>8347.4126524300009</v>
      </c>
      <c r="S28" s="56">
        <v>10909.238897219999</v>
      </c>
      <c r="T28" s="56">
        <v>11297.01740269</v>
      </c>
      <c r="U28" s="42">
        <v>-1786.6615240000006</v>
      </c>
      <c r="V28" s="43">
        <v>-0.42296044145739353</v>
      </c>
      <c r="W28" s="200">
        <v>3172.0639999999999</v>
      </c>
      <c r="X28" s="200">
        <v>3172.0639999999999</v>
      </c>
      <c r="Y28" s="200">
        <v>9270.107</v>
      </c>
      <c r="Z28" s="200">
        <v>10490.502</v>
      </c>
    </row>
    <row r="29" spans="1:33" x14ac:dyDescent="0.25">
      <c r="A29" s="133" t="s">
        <v>262</v>
      </c>
      <c r="B29" s="150">
        <v>7</v>
      </c>
      <c r="C29" s="34" t="s">
        <v>89</v>
      </c>
      <c r="D29" s="42">
        <v>769.07889690000002</v>
      </c>
      <c r="E29" s="42">
        <v>1565.6505451400001</v>
      </c>
      <c r="F29" s="54">
        <v>1100.89922559</v>
      </c>
      <c r="G29" s="54">
        <v>1097.7829927999999</v>
      </c>
      <c r="H29" s="42">
        <v>-372.02229136999995</v>
      </c>
      <c r="I29" s="43">
        <v>-0.32602042237289686</v>
      </c>
      <c r="J29" s="200">
        <v>285.12</v>
      </c>
      <c r="K29" s="200">
        <v>318.96800000000002</v>
      </c>
      <c r="L29" s="200">
        <v>369.709</v>
      </c>
      <c r="M29" s="200">
        <v>454.791</v>
      </c>
      <c r="N29" s="171">
        <v>2850209999</v>
      </c>
      <c r="O29" s="150"/>
      <c r="Q29" s="42"/>
      <c r="R29" s="34"/>
      <c r="S29" s="34"/>
      <c r="T29" s="34"/>
      <c r="V29" s="46"/>
      <c r="W29" s="200">
        <v>0</v>
      </c>
      <c r="X29" s="200"/>
      <c r="Y29" s="200"/>
      <c r="Z29" s="200"/>
    </row>
    <row r="30" spans="1:33" x14ac:dyDescent="0.25">
      <c r="B30" s="150"/>
      <c r="D30" s="42"/>
      <c r="E30" s="42"/>
      <c r="F30" s="42"/>
      <c r="G30" s="42"/>
      <c r="I30" s="46"/>
      <c r="J30" s="200">
        <v>0</v>
      </c>
      <c r="K30" s="200"/>
      <c r="L30" s="200"/>
      <c r="M30" s="200"/>
      <c r="N30" s="44"/>
      <c r="O30" s="150"/>
      <c r="P30" s="166" t="s">
        <v>263</v>
      </c>
      <c r="Q30" s="165">
        <f t="shared" ref="Q30:R30" si="2">SUM(Q24:Q28)</f>
        <v>181255.96037129001</v>
      </c>
      <c r="R30" s="165">
        <f t="shared" si="2"/>
        <v>162449.44399042003</v>
      </c>
      <c r="S30" s="165">
        <f>SUM(S24:S28)</f>
        <v>236201.36878963001</v>
      </c>
      <c r="T30" s="165">
        <f>SUM(T24:T28)</f>
        <v>271327.83581111004</v>
      </c>
      <c r="U30" s="165">
        <v>-19734.35278034996</v>
      </c>
      <c r="V30" s="170">
        <v>-9.8185591488984314E-2</v>
      </c>
      <c r="W30" s="201">
        <v>183011.19</v>
      </c>
      <c r="X30" s="201">
        <f>SUM(X24:X28)</f>
        <v>182933.09200000003</v>
      </c>
      <c r="Y30" s="201">
        <f>SUM(Y24:Y28)</f>
        <v>186561.766</v>
      </c>
      <c r="Z30" s="201">
        <f>SUM(Z24:Z28)</f>
        <v>236688.03600000002</v>
      </c>
    </row>
    <row r="31" spans="1:33" s="146" customFormat="1" x14ac:dyDescent="0.25">
      <c r="A31" s="208"/>
      <c r="B31" s="150"/>
      <c r="C31" s="166" t="s">
        <v>264</v>
      </c>
      <c r="D31" s="165">
        <f t="shared" ref="D31:H31" si="3">SUM(D25:D30)</f>
        <v>52257.649565899999</v>
      </c>
      <c r="E31" s="165">
        <f t="shared" si="3"/>
        <v>61905.828263130003</v>
      </c>
      <c r="F31" s="165">
        <f t="shared" si="3"/>
        <v>63618.843379649996</v>
      </c>
      <c r="G31" s="165">
        <f>SUM(G25:G30)</f>
        <v>73434.299654039991</v>
      </c>
      <c r="H31" s="165">
        <f t="shared" si="3"/>
        <v>5355.8521430200008</v>
      </c>
      <c r="I31" s="164">
        <v>0.14015190013893264</v>
      </c>
      <c r="J31" s="201">
        <v>95073.785999999993</v>
      </c>
      <c r="K31" s="201">
        <f>K15+K25+SUM(K27:K29)</f>
        <v>96085.418999999994</v>
      </c>
      <c r="L31" s="201">
        <f>L15+L25+SUM(L27:L29)</f>
        <v>114543.91899999999</v>
      </c>
      <c r="M31" s="201">
        <f>M15+M25+SUM(M27:M29)</f>
        <v>130852.23199999999</v>
      </c>
      <c r="N31" s="33"/>
      <c r="O31" s="150"/>
      <c r="P31"/>
      <c r="Q31" s="48"/>
      <c r="R31" s="48"/>
      <c r="S31" s="34"/>
      <c r="T31" s="34"/>
      <c r="U31"/>
      <c r="V31" s="46"/>
      <c r="W31" s="200">
        <v>0</v>
      </c>
      <c r="X31" s="200"/>
      <c r="Y31" s="200"/>
      <c r="Z31" s="200"/>
    </row>
    <row r="32" spans="1:33" x14ac:dyDescent="0.25">
      <c r="B32" s="150"/>
      <c r="D32" s="42"/>
      <c r="E32" s="42"/>
      <c r="F32" s="42"/>
      <c r="G32" s="42"/>
      <c r="I32" s="46"/>
      <c r="J32" s="200">
        <v>0</v>
      </c>
      <c r="K32" s="200"/>
      <c r="L32" s="200"/>
      <c r="M32" s="200"/>
      <c r="O32" s="150"/>
      <c r="P32" s="169" t="s">
        <v>265</v>
      </c>
      <c r="Q32" s="162">
        <f>Q20+Q30</f>
        <v>274141.93159370997</v>
      </c>
      <c r="R32" s="162">
        <f>R20+R30</f>
        <v>331326.94202011003</v>
      </c>
      <c r="S32" s="162">
        <f>S20+S30</f>
        <v>338795.78459539003</v>
      </c>
      <c r="T32" s="162">
        <f>T20+T30</f>
        <v>357614.99383094005</v>
      </c>
      <c r="U32" s="162">
        <v>-3451.1664686599979</v>
      </c>
      <c r="V32" s="161">
        <v>-1.2432464973911483E-2</v>
      </c>
      <c r="W32" s="213">
        <v>271916.87</v>
      </c>
      <c r="X32" s="213">
        <f>X20+X30</f>
        <v>273393.51400000002</v>
      </c>
      <c r="Y32" s="213">
        <f>Y20+Y30</f>
        <v>331945.56300000002</v>
      </c>
      <c r="Z32" s="213">
        <f>Z20+Z30</f>
        <v>333065.40100000001</v>
      </c>
    </row>
    <row r="33" spans="1:27" s="146" customFormat="1" x14ac:dyDescent="0.25">
      <c r="A33" s="208"/>
      <c r="B33" s="150"/>
      <c r="C33" s="239" t="s">
        <v>266</v>
      </c>
      <c r="D33" s="294"/>
      <c r="E33" s="294"/>
      <c r="F33" s="294"/>
      <c r="G33" s="294"/>
      <c r="H33" s="240"/>
      <c r="I33" s="240"/>
      <c r="J33" s="203">
        <v>0</v>
      </c>
      <c r="K33" s="203"/>
      <c r="L33" s="203"/>
      <c r="M33" s="203"/>
      <c r="N33" s="33"/>
      <c r="O33" s="150"/>
      <c r="P33"/>
      <c r="Q33"/>
      <c r="R33"/>
      <c r="S33"/>
      <c r="T33"/>
      <c r="U33"/>
      <c r="V33" s="46"/>
      <c r="W33" s="200">
        <v>0</v>
      </c>
      <c r="X33" s="200"/>
      <c r="Y33" s="200"/>
      <c r="Z33" s="200"/>
    </row>
    <row r="34" spans="1:27" x14ac:dyDescent="0.25">
      <c r="B34" s="150"/>
      <c r="C34" s="49"/>
      <c r="D34" s="42"/>
      <c r="E34" s="42"/>
      <c r="F34" s="42"/>
      <c r="G34" s="42"/>
      <c r="I34" s="46"/>
      <c r="J34" s="200">
        <v>0</v>
      </c>
      <c r="K34" s="200"/>
      <c r="L34" s="200"/>
      <c r="M34" s="200"/>
      <c r="N34" s="44"/>
      <c r="O34" s="150"/>
      <c r="V34" s="46"/>
      <c r="W34" s="200"/>
      <c r="X34" s="200"/>
      <c r="Y34" s="200"/>
      <c r="Z34" s="200"/>
    </row>
    <row r="35" spans="1:27" x14ac:dyDescent="0.25">
      <c r="B35" s="150"/>
      <c r="C35" s="41" t="s">
        <v>267</v>
      </c>
      <c r="D35" s="42"/>
      <c r="E35" s="42"/>
      <c r="F35" s="42"/>
      <c r="G35" s="42"/>
      <c r="H35" s="210"/>
      <c r="I35" s="46"/>
      <c r="J35" s="200">
        <v>0</v>
      </c>
      <c r="K35" s="200"/>
      <c r="L35" s="200"/>
      <c r="M35" s="200"/>
      <c r="N35" s="44"/>
      <c r="O35" s="150"/>
      <c r="Q35" s="42"/>
      <c r="R35" s="42"/>
      <c r="S35" s="42"/>
      <c r="T35" s="42"/>
      <c r="V35" s="46"/>
      <c r="W35" s="200"/>
      <c r="X35" s="200"/>
      <c r="Y35" s="200"/>
      <c r="Z35" s="200"/>
    </row>
    <row r="36" spans="1:27" x14ac:dyDescent="0.25">
      <c r="B36" s="150"/>
      <c r="C36" s="50"/>
      <c r="D36" s="42"/>
      <c r="E36" s="42"/>
      <c r="F36" s="42"/>
      <c r="G36" s="42"/>
      <c r="I36" s="46"/>
      <c r="J36" s="200">
        <v>0</v>
      </c>
      <c r="K36" s="200"/>
      <c r="L36" s="200"/>
      <c r="M36" s="200"/>
      <c r="N36" s="44"/>
      <c r="O36" s="150"/>
      <c r="Q36" s="42"/>
      <c r="R36" s="42"/>
      <c r="S36" s="42"/>
      <c r="T36" s="42"/>
      <c r="V36" s="46"/>
      <c r="W36" s="200"/>
      <c r="X36" s="200"/>
      <c r="Y36" s="200"/>
      <c r="Z36" s="200"/>
      <c r="AA36" s="210"/>
    </row>
    <row r="37" spans="1:27" x14ac:dyDescent="0.25">
      <c r="A37" s="133" t="s">
        <v>268</v>
      </c>
      <c r="B37" s="150">
        <v>8</v>
      </c>
      <c r="C37" s="34" t="s">
        <v>269</v>
      </c>
      <c r="D37" s="42">
        <v>10026.398024889999</v>
      </c>
      <c r="E37" s="42">
        <v>11424.135291750001</v>
      </c>
      <c r="F37" s="42">
        <v>18091.037774259999</v>
      </c>
      <c r="G37" s="42">
        <v>27575.059774009998</v>
      </c>
      <c r="H37" s="42">
        <v>553.75337435999791</v>
      </c>
      <c r="I37" s="43">
        <v>5.8458159763125295E-2</v>
      </c>
      <c r="J37" s="200">
        <v>10127.296610717058</v>
      </c>
      <c r="K37" s="200"/>
      <c r="L37" s="200"/>
      <c r="M37" s="200"/>
      <c r="N37" s="44"/>
      <c r="O37" s="150"/>
      <c r="V37" s="46"/>
      <c r="W37" s="200"/>
      <c r="X37" s="200"/>
      <c r="Y37" s="200"/>
      <c r="Z37" s="200"/>
      <c r="AA37" s="210"/>
    </row>
    <row r="38" spans="1:27" x14ac:dyDescent="0.25">
      <c r="A38" s="133" t="s">
        <v>270</v>
      </c>
      <c r="B38" s="150"/>
      <c r="C38" s="34" t="s">
        <v>271</v>
      </c>
      <c r="D38" s="42">
        <v>43665.645514330005</v>
      </c>
      <c r="E38" s="42">
        <v>43665.645514330005</v>
      </c>
      <c r="F38" s="42">
        <v>43665.645514329997</v>
      </c>
      <c r="G38" s="42">
        <v>43665.645514329997</v>
      </c>
      <c r="H38" s="42">
        <v>0</v>
      </c>
      <c r="I38" s="43">
        <v>0</v>
      </c>
      <c r="J38" s="200">
        <v>44105.065719939674</v>
      </c>
      <c r="K38" s="200"/>
      <c r="L38" s="200"/>
      <c r="M38" s="200"/>
      <c r="N38" s="44"/>
      <c r="O38" s="150"/>
      <c r="P38" s="241" t="s">
        <v>272</v>
      </c>
      <c r="Q38" s="242"/>
      <c r="R38" s="242"/>
      <c r="S38" s="242"/>
      <c r="T38" s="242"/>
      <c r="U38" s="242"/>
      <c r="V38" s="242"/>
      <c r="W38" s="214"/>
      <c r="X38" s="214"/>
      <c r="Y38" s="214"/>
      <c r="Z38" s="214"/>
      <c r="AA38" s="210"/>
    </row>
    <row r="39" spans="1:27" x14ac:dyDescent="0.25">
      <c r="A39" s="133" t="s">
        <v>273</v>
      </c>
      <c r="B39" s="150"/>
      <c r="C39" s="34" t="s">
        <v>274</v>
      </c>
      <c r="D39" s="42">
        <v>26759.265350909998</v>
      </c>
      <c r="E39" s="42">
        <v>34854.762281699994</v>
      </c>
      <c r="F39" s="42">
        <v>28825.151214830003</v>
      </c>
      <c r="G39" s="42">
        <v>19041.662990929999</v>
      </c>
      <c r="H39" s="42">
        <v>-3369.7227111200009</v>
      </c>
      <c r="I39" s="43">
        <v>-0.11184320907766188</v>
      </c>
      <c r="J39" s="200">
        <v>27028.551691326102</v>
      </c>
      <c r="K39" s="200"/>
      <c r="L39" s="200"/>
      <c r="M39" s="200"/>
      <c r="N39" s="44"/>
      <c r="O39" s="150"/>
      <c r="V39" s="46"/>
      <c r="W39" s="200"/>
      <c r="X39" s="200"/>
      <c r="Y39" s="200"/>
      <c r="Z39" s="200"/>
      <c r="AA39" s="210"/>
    </row>
    <row r="40" spans="1:27" x14ac:dyDescent="0.25">
      <c r="A40" s="133" t="s">
        <v>275</v>
      </c>
      <c r="B40" s="150"/>
      <c r="C40" s="34" t="s">
        <v>276</v>
      </c>
      <c r="D40" s="42">
        <v>66888.332235440001</v>
      </c>
      <c r="E40" s="42">
        <v>69647.787834670002</v>
      </c>
      <c r="F40" s="42">
        <v>72010.133132070012</v>
      </c>
      <c r="G40" s="42">
        <v>75270.313789499996</v>
      </c>
      <c r="H40" s="42">
        <v>2891.0962529699973</v>
      </c>
      <c r="I40" s="43">
        <v>4.5175329974593392E-2</v>
      </c>
      <c r="J40" s="200">
        <v>67561.449152814763</v>
      </c>
      <c r="K40" s="200"/>
      <c r="L40" s="200"/>
      <c r="M40" s="200"/>
      <c r="N40" s="44"/>
      <c r="O40" s="150"/>
      <c r="P40" s="34" t="s">
        <v>277</v>
      </c>
      <c r="Q40" s="42">
        <v>2000</v>
      </c>
      <c r="R40" s="42">
        <v>2000</v>
      </c>
      <c r="S40" s="42">
        <v>2000</v>
      </c>
      <c r="T40" s="42">
        <v>2000</v>
      </c>
      <c r="V40" s="46"/>
      <c r="W40" s="200">
        <v>2000</v>
      </c>
      <c r="X40" s="200"/>
      <c r="Y40" s="200"/>
      <c r="Z40" s="200"/>
      <c r="AA40" s="210"/>
    </row>
    <row r="41" spans="1:27" x14ac:dyDescent="0.25">
      <c r="A41" s="133" t="s">
        <v>278</v>
      </c>
      <c r="B41" s="150"/>
      <c r="C41" s="34" t="s">
        <v>279</v>
      </c>
      <c r="D41" s="42">
        <v>504958.07861557003</v>
      </c>
      <c r="E41" s="42">
        <v>514896.77889536001</v>
      </c>
      <c r="F41" s="42">
        <v>559680.88984274992</v>
      </c>
      <c r="G41" s="42">
        <v>576610.72231382993</v>
      </c>
      <c r="H41" s="42">
        <v>32102.329810280062</v>
      </c>
      <c r="I41" s="43">
        <v>6.7890323616429216E-2</v>
      </c>
      <c r="J41" s="200">
        <v>510039.61995352409</v>
      </c>
      <c r="K41" s="200"/>
      <c r="L41" s="200"/>
      <c r="M41" s="200"/>
      <c r="N41" s="44" t="s">
        <v>280</v>
      </c>
      <c r="O41" s="150"/>
      <c r="P41" s="34" t="s">
        <v>281</v>
      </c>
      <c r="Q41" s="51">
        <v>-22.9634</v>
      </c>
      <c r="R41" s="51">
        <v>-22.9634</v>
      </c>
      <c r="S41" s="51">
        <v>-22.9634</v>
      </c>
      <c r="T41" s="51">
        <v>-22.9634</v>
      </c>
      <c r="V41" s="46"/>
      <c r="W41" s="200">
        <v>-22.9634</v>
      </c>
      <c r="X41" s="200"/>
      <c r="Y41" s="200"/>
      <c r="Z41" s="200"/>
      <c r="AA41" s="210"/>
    </row>
    <row r="42" spans="1:27" x14ac:dyDescent="0.25">
      <c r="A42" s="133" t="s">
        <v>282</v>
      </c>
      <c r="B42" s="150"/>
      <c r="C42" s="34" t="s">
        <v>283</v>
      </c>
      <c r="D42" s="42">
        <v>682.10228273999996</v>
      </c>
      <c r="E42" s="42">
        <v>1559.7143022499999</v>
      </c>
      <c r="F42" s="42">
        <v>-2.3999999999999998E-7</v>
      </c>
      <c r="G42" s="42">
        <v>-2.3999999999999998E-7</v>
      </c>
      <c r="H42" s="42">
        <v>-135.18591573000003</v>
      </c>
      <c r="I42" s="43">
        <v>-0.16540788914250093</v>
      </c>
      <c r="J42" s="200">
        <v>688.96647819154941</v>
      </c>
      <c r="K42" s="200"/>
      <c r="L42" s="200"/>
      <c r="M42" s="200"/>
      <c r="N42" s="44" t="s">
        <v>284</v>
      </c>
      <c r="O42" s="45"/>
      <c r="P42" s="52" t="s">
        <v>285</v>
      </c>
      <c r="Q42" s="42">
        <f t="shared" ref="Q42:S42" si="4">SUM(Q40:Q41)</f>
        <v>1977.0365999999999</v>
      </c>
      <c r="R42" s="42">
        <f t="shared" si="4"/>
        <v>1977.0365999999999</v>
      </c>
      <c r="S42" s="42">
        <f t="shared" si="4"/>
        <v>1977.0365999999999</v>
      </c>
      <c r="T42" s="42">
        <f>SUM(T40:T41)</f>
        <v>1977.0365999999999</v>
      </c>
      <c r="U42" s="42">
        <v>0</v>
      </c>
      <c r="V42" s="43">
        <v>0</v>
      </c>
      <c r="W42" s="254">
        <v>1977.0365999999999</v>
      </c>
      <c r="X42" s="254">
        <v>1977.037</v>
      </c>
      <c r="Y42" s="254">
        <v>1977.037</v>
      </c>
      <c r="Z42" s="254">
        <v>1977.037</v>
      </c>
      <c r="AA42" s="210"/>
    </row>
    <row r="43" spans="1:27" x14ac:dyDescent="0.25">
      <c r="A43" s="133" t="s">
        <v>286</v>
      </c>
      <c r="B43" s="150"/>
      <c r="C43" s="34" t="s">
        <v>87</v>
      </c>
      <c r="D43" s="51">
        <v>-249625.80091286</v>
      </c>
      <c r="E43" s="51">
        <v>-265891.72220394999</v>
      </c>
      <c r="F43" s="51">
        <v>-290763.36253032001</v>
      </c>
      <c r="G43" s="51">
        <v>-321874.44088373001</v>
      </c>
      <c r="H43" s="42">
        <v>-26116.802714659978</v>
      </c>
      <c r="I43" s="43">
        <v>0.11684899903448409</v>
      </c>
      <c r="J43" s="200">
        <v>-252137.85860651321</v>
      </c>
      <c r="K43" s="200"/>
      <c r="L43" s="200"/>
      <c r="M43" s="200"/>
      <c r="N43" s="44" t="s">
        <v>287</v>
      </c>
      <c r="O43" s="45"/>
      <c r="P43" s="34" t="s">
        <v>288</v>
      </c>
      <c r="Q43" s="42">
        <v>0.10636</v>
      </c>
      <c r="R43" s="42">
        <v>0.10636</v>
      </c>
      <c r="S43" s="42">
        <v>0.10636</v>
      </c>
      <c r="T43" s="42">
        <v>0.10636</v>
      </c>
      <c r="U43" s="42">
        <v>0</v>
      </c>
      <c r="V43" s="43">
        <v>0</v>
      </c>
      <c r="W43" s="200">
        <v>0.106</v>
      </c>
      <c r="X43" s="200"/>
      <c r="Y43" s="200">
        <v>0.106</v>
      </c>
      <c r="Z43" s="200">
        <v>0.106</v>
      </c>
      <c r="AA43" s="210"/>
    </row>
    <row r="44" spans="1:27" x14ac:dyDescent="0.25">
      <c r="B44" s="150"/>
      <c r="C44" s="166" t="s">
        <v>289</v>
      </c>
      <c r="D44" s="165">
        <v>403354.02111102</v>
      </c>
      <c r="E44" s="165">
        <f>SUM(E37:E43)</f>
        <v>410157.10191610997</v>
      </c>
      <c r="F44" s="165">
        <f>SUM(F37:F43)</f>
        <v>431509.49494767986</v>
      </c>
      <c r="G44" s="165">
        <f>SUM(G37:G43)</f>
        <v>420288.96349862992</v>
      </c>
      <c r="H44" s="165">
        <v>5925.4680961000267</v>
      </c>
      <c r="I44" s="164">
        <v>1.4909517826912522E-2</v>
      </c>
      <c r="J44" s="201">
        <v>407413.09100000001</v>
      </c>
      <c r="K44" s="201">
        <v>407413.09100000001</v>
      </c>
      <c r="L44" s="201">
        <v>418036.99599999998</v>
      </c>
      <c r="M44" s="201">
        <v>434878.50900000002</v>
      </c>
      <c r="N44" s="44" t="s">
        <v>290</v>
      </c>
      <c r="O44" s="45"/>
      <c r="P44" s="53" t="s">
        <v>291</v>
      </c>
      <c r="Q44" s="54">
        <v>3236.9368134299998</v>
      </c>
      <c r="R44" s="54">
        <v>3236.9368134299998</v>
      </c>
      <c r="S44" s="54">
        <v>3236.9368134299998</v>
      </c>
      <c r="T44" s="54">
        <v>3236.9368134299998</v>
      </c>
      <c r="U44" s="54">
        <v>0</v>
      </c>
      <c r="V44" s="55">
        <v>0</v>
      </c>
      <c r="W44" s="255">
        <v>3236.9368134299998</v>
      </c>
      <c r="X44" s="255">
        <v>3236.9369999999999</v>
      </c>
      <c r="Y44" s="255">
        <v>3236.9369999999999</v>
      </c>
      <c r="Z44" s="255">
        <v>3236.9369999999999</v>
      </c>
    </row>
    <row r="45" spans="1:27" x14ac:dyDescent="0.25">
      <c r="B45" s="150"/>
      <c r="D45" s="42"/>
      <c r="E45" s="42"/>
      <c r="F45" s="42"/>
      <c r="G45" s="42"/>
      <c r="I45" s="46"/>
      <c r="J45" s="200">
        <v>0</v>
      </c>
      <c r="K45" s="200"/>
      <c r="M45" s="200"/>
      <c r="N45" s="44" t="s">
        <v>294</v>
      </c>
      <c r="O45" s="45"/>
      <c r="P45" s="34" t="s">
        <v>295</v>
      </c>
      <c r="Q45" s="42">
        <v>94651.354672789996</v>
      </c>
      <c r="R45" s="42">
        <v>66636.869619570003</v>
      </c>
      <c r="S45" s="42">
        <v>117366.60821219</v>
      </c>
      <c r="T45" s="42">
        <v>126582.69261235</v>
      </c>
      <c r="U45" s="42">
        <v>8351.1767722999939</v>
      </c>
      <c r="V45" s="43">
        <v>9.6768940406235071E-2</v>
      </c>
      <c r="W45" s="255">
        <v>94651.354672789996</v>
      </c>
      <c r="X45" s="255">
        <v>93994.459503369988</v>
      </c>
      <c r="Y45" s="255">
        <v>66636.87</v>
      </c>
      <c r="Z45" s="255">
        <v>117366.60799999999</v>
      </c>
    </row>
    <row r="46" spans="1:27" x14ac:dyDescent="0.25">
      <c r="A46" s="133" t="s">
        <v>293</v>
      </c>
      <c r="B46" s="150"/>
      <c r="C46" s="57" t="s">
        <v>292</v>
      </c>
      <c r="D46" s="42">
        <v>328.43071672999992</v>
      </c>
      <c r="E46" s="42">
        <v>571.6096983299999</v>
      </c>
      <c r="F46" s="42">
        <v>718.14518267999995</v>
      </c>
      <c r="G46" s="42">
        <v>563.01535496999998</v>
      </c>
      <c r="H46" s="42">
        <v>72.169310889999934</v>
      </c>
      <c r="I46" s="43">
        <v>0.28162379993755193</v>
      </c>
      <c r="J46" s="200">
        <v>804.50300000000004</v>
      </c>
      <c r="K46" s="200"/>
      <c r="L46" s="200">
        <v>99.787000000000006</v>
      </c>
      <c r="M46" s="200">
        <v>835.58299999999997</v>
      </c>
      <c r="N46" s="212"/>
      <c r="O46" s="45"/>
      <c r="P46" s="34" t="s">
        <v>296</v>
      </c>
      <c r="Q46" s="42">
        <v>38547.838976970001</v>
      </c>
      <c r="R46" s="51">
        <v>47234.98129389</v>
      </c>
      <c r="S46" s="51">
        <v>27177.473723299998</v>
      </c>
      <c r="T46" s="51">
        <v>27892.481913569998</v>
      </c>
      <c r="U46" s="42">
        <v>11387.73874538</v>
      </c>
      <c r="V46" s="43">
        <v>0.41928191163797268</v>
      </c>
      <c r="W46" s="200">
        <v>40510.571000000004</v>
      </c>
      <c r="X46" s="200">
        <f>'ER a Nov'!K53</f>
        <v>40352.562000000034</v>
      </c>
      <c r="Y46" s="200">
        <v>50729.739000000001</v>
      </c>
      <c r="Z46" s="200">
        <v>30720.845000000001</v>
      </c>
    </row>
    <row r="47" spans="1:27" x14ac:dyDescent="0.25">
      <c r="B47" s="150"/>
      <c r="D47" s="42"/>
      <c r="E47" s="42"/>
      <c r="F47" s="42"/>
      <c r="G47" s="42"/>
      <c r="I47" s="46"/>
      <c r="J47" s="200">
        <v>0</v>
      </c>
      <c r="K47" s="200"/>
      <c r="L47" s="200"/>
      <c r="M47" s="200"/>
      <c r="N47" s="44" t="s">
        <v>297</v>
      </c>
      <c r="O47" s="45"/>
      <c r="P47" s="34" t="s">
        <v>298</v>
      </c>
      <c r="Q47" s="42">
        <v>0</v>
      </c>
      <c r="R47" s="42">
        <v>1E-8</v>
      </c>
      <c r="S47" s="42"/>
      <c r="T47" s="42">
        <v>0</v>
      </c>
      <c r="U47" s="42"/>
      <c r="V47" s="43"/>
      <c r="W47" s="200">
        <v>0</v>
      </c>
      <c r="X47" s="200">
        <v>0</v>
      </c>
      <c r="Y47" s="200">
        <v>0</v>
      </c>
      <c r="Z47" s="200">
        <v>0</v>
      </c>
    </row>
    <row r="48" spans="1:27" x14ac:dyDescent="0.25">
      <c r="B48" s="150"/>
      <c r="C48" s="41" t="s">
        <v>299</v>
      </c>
      <c r="D48" s="42"/>
      <c r="E48" s="42"/>
      <c r="F48" s="42"/>
      <c r="G48" s="42"/>
      <c r="I48" s="46"/>
      <c r="J48" s="200">
        <v>0</v>
      </c>
      <c r="K48" s="200"/>
      <c r="L48" s="200"/>
      <c r="M48" s="200"/>
      <c r="N48" s="44" t="s">
        <v>300</v>
      </c>
      <c r="O48" s="45"/>
      <c r="P48" s="34" t="s">
        <v>301</v>
      </c>
      <c r="Q48" s="42">
        <v>107996.37849663</v>
      </c>
      <c r="R48" s="42">
        <v>107996.37849663</v>
      </c>
      <c r="S48" s="42">
        <v>107996.37849663</v>
      </c>
      <c r="T48" s="42">
        <v>109581.27608462999</v>
      </c>
      <c r="U48" s="42">
        <v>0</v>
      </c>
      <c r="V48" s="43" t="s">
        <v>186</v>
      </c>
      <c r="W48" s="256">
        <v>107996.37849663</v>
      </c>
      <c r="X48" s="256">
        <v>107996.37849663</v>
      </c>
      <c r="Y48" s="256">
        <v>107996.379</v>
      </c>
      <c r="Z48" s="256">
        <v>109581.276</v>
      </c>
    </row>
    <row r="49" spans="1:26" x14ac:dyDescent="0.25">
      <c r="A49" s="133" t="s">
        <v>302</v>
      </c>
      <c r="B49" s="150">
        <v>9</v>
      </c>
      <c r="C49" s="34" t="s">
        <v>303</v>
      </c>
      <c r="D49" s="42">
        <v>6726.0283499399993</v>
      </c>
      <c r="E49" s="42">
        <v>6726.0283499399993</v>
      </c>
      <c r="F49" s="42">
        <v>7972.80229977</v>
      </c>
      <c r="G49" s="42">
        <v>9464.1075188400009</v>
      </c>
      <c r="H49" s="42">
        <v>767</v>
      </c>
      <c r="I49" s="43">
        <v>0.12871225893861094</v>
      </c>
      <c r="J49" s="200">
        <v>6726.0280000000002</v>
      </c>
      <c r="K49" s="200">
        <v>7180.5309999999999</v>
      </c>
      <c r="L49" s="200">
        <v>8970.6720000000205</v>
      </c>
      <c r="M49" s="200">
        <v>10299.689999999944</v>
      </c>
      <c r="O49" s="45"/>
      <c r="Q49" s="42"/>
      <c r="R49" s="42"/>
      <c r="S49" s="42"/>
      <c r="T49" s="42"/>
      <c r="U49" s="42"/>
      <c r="V49" s="43"/>
      <c r="W49" s="200"/>
      <c r="X49" s="200"/>
      <c r="Y49" s="200"/>
      <c r="Z49" s="200"/>
    </row>
    <row r="50" spans="1:26" x14ac:dyDescent="0.25">
      <c r="A50" s="133" t="s">
        <v>304</v>
      </c>
      <c r="B50" s="150">
        <v>10</v>
      </c>
      <c r="C50" s="34" t="s">
        <v>218</v>
      </c>
      <c r="D50" s="42">
        <v>4223.8460982199995</v>
      </c>
      <c r="E50" s="42">
        <v>5711.06197152</v>
      </c>
      <c r="F50" s="42">
        <v>4533.0300530200002</v>
      </c>
      <c r="G50" s="42">
        <v>10365.686612090001</v>
      </c>
      <c r="H50" s="42">
        <v>-281.6724795500013</v>
      </c>
      <c r="I50" s="43">
        <v>-6.2517216317730662E-2</v>
      </c>
      <c r="J50" s="200">
        <v>4675.7910000000002</v>
      </c>
      <c r="K50" s="200">
        <v>4675.7910000000002</v>
      </c>
      <c r="L50" s="200">
        <v>6769.3580000000002</v>
      </c>
      <c r="M50" s="200">
        <v>4402.433</v>
      </c>
      <c r="N50" s="44"/>
      <c r="O50" s="45"/>
      <c r="P50" s="163" t="s">
        <v>305</v>
      </c>
      <c r="Q50" s="162">
        <f t="shared" ref="Q50:S50" si="5">SUM(Q42:Q48)</f>
        <v>246409.65191982</v>
      </c>
      <c r="R50" s="162">
        <f t="shared" si="5"/>
        <v>227082.30918352999</v>
      </c>
      <c r="S50" s="162">
        <f t="shared" si="5"/>
        <v>257754.54020555</v>
      </c>
      <c r="T50" s="162">
        <f>SUM(T42:T48)</f>
        <v>269270.53038398002</v>
      </c>
      <c r="U50" s="162">
        <v>19738.915517679998</v>
      </c>
      <c r="V50" s="161">
        <v>8.7081887282798087E-2</v>
      </c>
      <c r="W50" s="213">
        <f>SUM(W42:W48)</f>
        <v>248372.38358284999</v>
      </c>
      <c r="X50" s="213">
        <f>SUM(X42:X48)</f>
        <v>247557.37400000001</v>
      </c>
      <c r="Y50" s="213">
        <f>SUM(Y42:Y48)</f>
        <v>230577.068</v>
      </c>
      <c r="Z50" s="213">
        <f>SUM(Z42:Z48)</f>
        <v>262882.80900000001</v>
      </c>
    </row>
    <row r="51" spans="1:26" s="146" customFormat="1" x14ac:dyDescent="0.25">
      <c r="A51" s="208"/>
      <c r="B51" s="150"/>
      <c r="C51" s="166" t="s">
        <v>306</v>
      </c>
      <c r="D51" s="165">
        <v>10949.874448159999</v>
      </c>
      <c r="E51" s="165">
        <f>E49+E50</f>
        <v>12437.09032146</v>
      </c>
      <c r="F51" s="165">
        <f>SUM(F49:F50)</f>
        <v>12505.832352789999</v>
      </c>
      <c r="G51" s="165">
        <f>SUM(G49:G50)</f>
        <v>19829.79413093</v>
      </c>
      <c r="H51" s="165">
        <v>485.3275204499987</v>
      </c>
      <c r="I51" s="164">
        <v>4.6378264037868266E-2</v>
      </c>
      <c r="J51" s="201">
        <v>11401.819</v>
      </c>
      <c r="K51" s="201">
        <f>SUM(K49:K50)</f>
        <v>11856.322</v>
      </c>
      <c r="L51" s="201">
        <f>SUM(L49:L50)</f>
        <v>15740.030000000021</v>
      </c>
      <c r="M51" s="201">
        <f>SUM(M49:M50)</f>
        <v>14702.122999999945</v>
      </c>
      <c r="N51" s="59"/>
      <c r="O51" s="150"/>
      <c r="P51" s="52"/>
      <c r="Q51" s="158"/>
      <c r="R51"/>
      <c r="S51"/>
      <c r="T51"/>
      <c r="U51"/>
      <c r="V51" s="34"/>
      <c r="W51" s="200"/>
      <c r="X51" s="200"/>
      <c r="Y51" s="200"/>
      <c r="Z51" s="200"/>
    </row>
    <row r="52" spans="1:26" x14ac:dyDescent="0.25">
      <c r="B52" s="150"/>
      <c r="D52" s="42"/>
      <c r="E52" s="42"/>
      <c r="F52" s="42"/>
      <c r="G52" s="42"/>
      <c r="I52" s="46"/>
      <c r="J52" s="200">
        <v>0</v>
      </c>
      <c r="K52" s="200"/>
      <c r="L52" s="200"/>
      <c r="M52" s="200"/>
      <c r="N52" s="44"/>
      <c r="O52" s="45"/>
      <c r="P52" s="52"/>
      <c r="Q52" s="61"/>
      <c r="V52" s="46"/>
      <c r="W52" s="200"/>
      <c r="X52" s="200"/>
      <c r="Y52" s="200"/>
      <c r="Z52" s="200"/>
    </row>
    <row r="53" spans="1:26" x14ac:dyDescent="0.25">
      <c r="A53" s="133" t="s">
        <v>307</v>
      </c>
      <c r="B53" s="150"/>
      <c r="C53" s="34" t="s">
        <v>308</v>
      </c>
      <c r="D53" s="42">
        <v>0</v>
      </c>
      <c r="E53" s="42">
        <v>0</v>
      </c>
      <c r="F53" s="42">
        <v>0</v>
      </c>
      <c r="G53" s="42">
        <v>0</v>
      </c>
      <c r="H53" s="42">
        <v>-640.82600000000002</v>
      </c>
      <c r="I53" s="43">
        <v>-1</v>
      </c>
      <c r="J53" s="200">
        <v>0</v>
      </c>
      <c r="K53" s="200"/>
      <c r="L53" s="200"/>
      <c r="M53" s="200"/>
      <c r="N53" s="44"/>
      <c r="O53" s="45"/>
      <c r="P53" s="52"/>
      <c r="V53" s="46"/>
      <c r="W53" s="200"/>
      <c r="X53" s="200"/>
      <c r="Y53" s="200"/>
      <c r="Z53" s="200"/>
    </row>
    <row r="54" spans="1:26" x14ac:dyDescent="0.25">
      <c r="B54" s="150"/>
      <c r="I54" s="46"/>
      <c r="J54" s="200">
        <v>0</v>
      </c>
      <c r="K54" s="200"/>
      <c r="L54" s="200"/>
      <c r="M54" s="200"/>
      <c r="N54" s="44"/>
      <c r="O54" s="45"/>
      <c r="P54" s="52"/>
      <c r="V54" s="46"/>
      <c r="W54" s="200"/>
      <c r="X54" s="200"/>
      <c r="Y54" s="200"/>
      <c r="Z54" s="200"/>
    </row>
    <row r="55" spans="1:26" x14ac:dyDescent="0.25">
      <c r="A55" s="207">
        <v>1650209999</v>
      </c>
      <c r="B55" s="150"/>
      <c r="C55" s="34" t="s">
        <v>309</v>
      </c>
      <c r="D55" s="42">
        <v>9665.8523239999995</v>
      </c>
      <c r="E55" s="42">
        <v>21171.695689</v>
      </c>
      <c r="F55" s="42">
        <v>28415.07232408</v>
      </c>
      <c r="G55" s="42">
        <v>38279.220395010001</v>
      </c>
      <c r="H55" s="42">
        <v>0</v>
      </c>
      <c r="I55" s="43">
        <v>0</v>
      </c>
      <c r="J55" s="211">
        <v>12805.002673345141</v>
      </c>
      <c r="K55" s="253">
        <v>13550.179536920001</v>
      </c>
      <c r="L55" s="253">
        <v>26570.027493479996</v>
      </c>
      <c r="M55" s="253">
        <v>27883.68749348</v>
      </c>
      <c r="N55" s="212"/>
      <c r="O55" s="45"/>
      <c r="P55" s="52"/>
      <c r="V55" s="46"/>
      <c r="W55" s="200"/>
      <c r="X55" s="200"/>
      <c r="Y55" s="200"/>
      <c r="Z55" s="200"/>
    </row>
    <row r="56" spans="1:26" x14ac:dyDescent="0.25">
      <c r="A56" s="207">
        <v>1650999999</v>
      </c>
      <c r="B56" s="150"/>
      <c r="C56" s="34" t="s">
        <v>310</v>
      </c>
      <c r="D56" s="42">
        <v>-5441.6711759999998</v>
      </c>
      <c r="E56" s="42">
        <v>-7954.1235369200003</v>
      </c>
      <c r="F56" s="42">
        <v>-12368.341493479998</v>
      </c>
      <c r="G56" s="42">
        <v>-19042.143583720001</v>
      </c>
      <c r="H56" s="42">
        <v>-2055.1436349999999</v>
      </c>
      <c r="I56" s="43">
        <v>0.60685868049758751</v>
      </c>
      <c r="J56" s="211">
        <v>-7208.9466733451409</v>
      </c>
      <c r="K56" s="42">
        <v>-7954.1235369200003</v>
      </c>
      <c r="L56" s="42">
        <v>-12368.341493479998</v>
      </c>
      <c r="M56" s="42">
        <v>-12368.341493479998</v>
      </c>
      <c r="N56" s="212"/>
      <c r="O56" s="45"/>
      <c r="P56" s="52"/>
      <c r="V56" s="46"/>
      <c r="W56" s="200"/>
      <c r="X56" s="200"/>
      <c r="Y56" s="200"/>
      <c r="Z56" s="200"/>
    </row>
    <row r="57" spans="1:26" x14ac:dyDescent="0.25">
      <c r="A57" s="209"/>
      <c r="B57" s="150">
        <v>11</v>
      </c>
      <c r="C57" s="60" t="s">
        <v>311</v>
      </c>
      <c r="D57" s="42">
        <f>SUM(D55:D56)</f>
        <v>4224.1811479999997</v>
      </c>
      <c r="E57" s="42">
        <f t="shared" ref="E57:G57" si="6">SUM(E55:E56)</f>
        <v>13217.57215208</v>
      </c>
      <c r="F57" s="42">
        <f t="shared" si="6"/>
        <v>16046.730830600001</v>
      </c>
      <c r="G57" s="42">
        <f t="shared" si="6"/>
        <v>19237.07681129</v>
      </c>
      <c r="H57" s="42">
        <v>-2055.1436350000004</v>
      </c>
      <c r="I57" s="42"/>
      <c r="J57" s="204">
        <v>5596.0559999999996</v>
      </c>
      <c r="K57" s="204">
        <f>SUM(K55:K56)</f>
        <v>5596.0560000000005</v>
      </c>
      <c r="L57" s="204">
        <v>14201.686</v>
      </c>
      <c r="M57" s="204">
        <v>15515.346</v>
      </c>
      <c r="N57" s="44"/>
      <c r="O57" s="45"/>
      <c r="P57" s="168"/>
      <c r="Q57" s="146"/>
      <c r="R57" s="146"/>
      <c r="S57" s="146"/>
      <c r="T57" s="146"/>
      <c r="U57" s="146"/>
      <c r="V57" s="167"/>
      <c r="W57" s="202"/>
      <c r="X57" s="202"/>
      <c r="Y57" s="202"/>
      <c r="Z57" s="202"/>
    </row>
    <row r="58" spans="1:26" x14ac:dyDescent="0.25">
      <c r="A58" s="209"/>
      <c r="B58" s="150"/>
      <c r="C58" s="52"/>
      <c r="I58" s="46"/>
      <c r="J58" s="200">
        <v>0</v>
      </c>
      <c r="K58" s="200"/>
      <c r="L58" s="200"/>
      <c r="M58" s="200"/>
      <c r="N58" s="44"/>
      <c r="O58" s="45"/>
      <c r="P58" s="168"/>
      <c r="Q58" s="146"/>
      <c r="R58" s="146"/>
      <c r="S58" s="146"/>
      <c r="T58" s="146"/>
      <c r="U58" s="146"/>
      <c r="V58" s="167"/>
      <c r="W58" s="202"/>
      <c r="X58" s="202"/>
      <c r="Y58" s="202"/>
      <c r="Z58" s="202"/>
    </row>
    <row r="59" spans="1:26" s="146" customFormat="1" x14ac:dyDescent="0.25">
      <c r="A59" s="208"/>
      <c r="B59" s="150"/>
      <c r="C59" s="166" t="s">
        <v>312</v>
      </c>
      <c r="D59" s="165">
        <f t="shared" ref="D59:F59" si="7">D44+D46+D51+D53+D57</f>
        <v>418856.50742391002</v>
      </c>
      <c r="E59" s="215">
        <f t="shared" si="7"/>
        <v>436383.37408797996</v>
      </c>
      <c r="F59" s="215">
        <f t="shared" si="7"/>
        <v>460780.20331374987</v>
      </c>
      <c r="G59" s="215">
        <f>G44+G46+G51+G53+G57</f>
        <v>459918.8497958199</v>
      </c>
      <c r="H59" s="165">
        <v>3786.9952924400568</v>
      </c>
      <c r="I59" s="164">
        <v>9.1237616393289311E-3</v>
      </c>
      <c r="J59" s="201">
        <v>425215.46899999998</v>
      </c>
      <c r="K59" s="252">
        <f>K44+K51+K57</f>
        <v>424865.46899999998</v>
      </c>
      <c r="L59" s="201">
        <f>L44+L51+L57</f>
        <v>447978.712</v>
      </c>
      <c r="M59" s="201">
        <f>M44+M51+M57</f>
        <v>465095.978</v>
      </c>
      <c r="N59" s="33"/>
      <c r="O59" s="150"/>
      <c r="P59" s="52"/>
      <c r="Q59" s="246"/>
      <c r="R59" s="246"/>
      <c r="S59"/>
      <c r="T59"/>
      <c r="U59"/>
      <c r="V59" s="46"/>
      <c r="W59" s="200"/>
      <c r="X59" s="200"/>
      <c r="Y59" s="200"/>
      <c r="Z59" s="200"/>
    </row>
    <row r="60" spans="1:26" x14ac:dyDescent="0.25">
      <c r="B60" s="150"/>
      <c r="I60" s="46"/>
      <c r="J60" s="200">
        <v>0</v>
      </c>
      <c r="K60" s="200"/>
      <c r="L60" s="200"/>
      <c r="M60" s="200"/>
      <c r="N60" s="295"/>
      <c r="O60" s="45"/>
      <c r="P60" s="163" t="s">
        <v>313</v>
      </c>
      <c r="Q60" s="162">
        <f>Q32+Q50</f>
        <v>520551.58351352997</v>
      </c>
      <c r="R60" s="162">
        <f>R32+R50</f>
        <v>558409.25120364001</v>
      </c>
      <c r="S60" s="162">
        <f>S32+S50</f>
        <v>596550.32480094</v>
      </c>
      <c r="T60" s="162">
        <f>T32+T50</f>
        <v>626885.52421492012</v>
      </c>
      <c r="U60" s="162">
        <v>16287.74904902</v>
      </c>
      <c r="V60" s="161">
        <v>3.2300053931720862E-2</v>
      </c>
      <c r="W60" s="213">
        <f>W50+W32</f>
        <v>520289.25358284998</v>
      </c>
      <c r="X60" s="213">
        <f>X32+X50</f>
        <v>520950.88800000004</v>
      </c>
      <c r="Y60" s="213">
        <f>Y32+Y50</f>
        <v>562522.63100000005</v>
      </c>
      <c r="Z60" s="213">
        <f>Z32+Z50</f>
        <v>595948.21</v>
      </c>
    </row>
    <row r="61" spans="1:26" x14ac:dyDescent="0.25">
      <c r="B61" s="150"/>
      <c r="C61" s="58" t="s">
        <v>314</v>
      </c>
      <c r="D61" s="160">
        <f t="shared" ref="D61:F61" si="8">D15+D31+D59</f>
        <v>520551.58351353003</v>
      </c>
      <c r="E61" s="216">
        <f t="shared" si="8"/>
        <v>558409.2512036399</v>
      </c>
      <c r="F61" s="216">
        <f t="shared" si="8"/>
        <v>596550.32480094989</v>
      </c>
      <c r="G61" s="216">
        <f>G15+G31+G59</f>
        <v>626885.52421467984</v>
      </c>
      <c r="H61" s="160">
        <v>16287.749049020058</v>
      </c>
      <c r="I61" s="159">
        <v>3.2300053931720862E-2</v>
      </c>
      <c r="J61" s="205">
        <v>520289.255</v>
      </c>
      <c r="K61" s="205">
        <f>K31+K59</f>
        <v>520950.88799999998</v>
      </c>
      <c r="L61" s="205">
        <f>L31+L59</f>
        <v>562522.63100000005</v>
      </c>
      <c r="M61" s="205">
        <f>M31+M59</f>
        <v>595948.21</v>
      </c>
      <c r="N61" s="44"/>
      <c r="O61" s="45"/>
      <c r="W61" s="206"/>
      <c r="X61" s="206"/>
      <c r="Y61" s="206"/>
      <c r="Z61" s="206"/>
    </row>
    <row r="62" spans="1:26" x14ac:dyDescent="0.25">
      <c r="B62" s="150"/>
      <c r="I62" s="46"/>
      <c r="J62" s="200"/>
      <c r="K62" s="200"/>
      <c r="L62" s="200"/>
      <c r="M62" s="200"/>
      <c r="N62" s="295">
        <f>M62-M61</f>
        <v>-595948.21</v>
      </c>
      <c r="O62" s="45"/>
      <c r="V62" s="46"/>
      <c r="W62" s="200"/>
      <c r="X62" s="200"/>
      <c r="Y62" s="200"/>
      <c r="Z62" s="200"/>
    </row>
    <row r="63" spans="1:26" x14ac:dyDescent="0.25">
      <c r="B63" s="150"/>
      <c r="E63" s="158"/>
      <c r="F63" s="158">
        <f>F61-F10</f>
        <v>580457.68354052992</v>
      </c>
      <c r="G63" s="158">
        <f>G61-G10</f>
        <v>609792.10782511986</v>
      </c>
      <c r="J63" s="206"/>
      <c r="K63" s="206"/>
      <c r="L63" s="206"/>
      <c r="M63" s="206"/>
      <c r="N63" s="44"/>
      <c r="O63" s="45"/>
      <c r="Q63" s="42">
        <v>0</v>
      </c>
      <c r="R63" s="42">
        <v>0</v>
      </c>
      <c r="S63" s="42"/>
      <c r="T63" s="42"/>
      <c r="V63" s="34"/>
      <c r="W63" s="200"/>
      <c r="X63" s="200"/>
      <c r="Y63" s="200">
        <f>Y60*1000</f>
        <v>562522631</v>
      </c>
      <c r="Z63" s="200"/>
    </row>
    <row r="64" spans="1:26" x14ac:dyDescent="0.25">
      <c r="Y64" s="220">
        <f>L61*1000</f>
        <v>562522631</v>
      </c>
    </row>
    <row r="65" spans="3:20" x14ac:dyDescent="0.25">
      <c r="D65" s="206"/>
      <c r="I65" s="206"/>
      <c r="J65" s="44"/>
      <c r="K65" s="292"/>
      <c r="N65" s="206"/>
    </row>
    <row r="66" spans="3:20" x14ac:dyDescent="0.25">
      <c r="C66" t="s">
        <v>327</v>
      </c>
      <c r="D66" s="206"/>
      <c r="F66" s="206">
        <f>(F29+F49+F50)*1000</f>
        <v>13606731.57838</v>
      </c>
      <c r="G66" s="206">
        <f>(G29+G49+G50)*1000</f>
        <v>20927577.12373</v>
      </c>
      <c r="I66" s="206"/>
      <c r="J66" s="44"/>
      <c r="K66" s="292"/>
      <c r="P66" t="s">
        <v>328</v>
      </c>
      <c r="S66" s="223">
        <f>(+S18+S19+S26+S28)*1000</f>
        <v>26374057.298039999</v>
      </c>
      <c r="T66" s="223">
        <f>(+T18+T19+T26+T28)*1000</f>
        <v>29906486.952439997</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M53"/>
  <sheetViews>
    <sheetView showGridLines="0" zoomScale="80" zoomScaleNormal="80" workbookViewId="0">
      <pane xSplit="3" ySplit="6" topLeftCell="D41" activePane="bottomRight" state="frozen"/>
      <selection pane="topRight" activeCell="D1" sqref="D1"/>
      <selection pane="bottomLeft" activeCell="A7" sqref="A7"/>
      <selection pane="bottomRight" activeCell="G23" sqref="G23"/>
    </sheetView>
  </sheetViews>
  <sheetFormatPr baseColWidth="10" defaultColWidth="11.42578125" defaultRowHeight="15" x14ac:dyDescent="0.25"/>
  <cols>
    <col min="1" max="1" width="1.28515625" customWidth="1"/>
    <col min="2" max="2" width="9.28515625" customWidth="1"/>
    <col min="3" max="3" width="47.28515625" bestFit="1" customWidth="1"/>
    <col min="4" max="7" width="11.42578125" customWidth="1"/>
    <col min="8" max="8" width="11.7109375" customWidth="1"/>
    <col min="9" max="9" width="8.85546875" customWidth="1"/>
    <col min="10" max="13" width="15.42578125" customWidth="1"/>
  </cols>
  <sheetData>
    <row r="1" spans="1:13" x14ac:dyDescent="0.25">
      <c r="B1" s="157">
        <v>1000000</v>
      </c>
      <c r="J1" s="49"/>
      <c r="K1" s="49"/>
      <c r="L1" s="49"/>
      <c r="M1" s="49"/>
    </row>
    <row r="2" spans="1:13" x14ac:dyDescent="0.25">
      <c r="B2" s="156"/>
      <c r="C2" s="243" t="s">
        <v>152</v>
      </c>
      <c r="D2" s="243"/>
      <c r="E2" s="243"/>
      <c r="F2" s="243"/>
      <c r="G2" s="243"/>
      <c r="H2" s="243"/>
      <c r="I2" s="243"/>
      <c r="J2" s="155"/>
      <c r="K2" s="155"/>
      <c r="L2" s="155"/>
      <c r="M2" s="155"/>
    </row>
    <row r="3" spans="1:13" x14ac:dyDescent="0.25">
      <c r="B3" s="156"/>
      <c r="C3" s="234" t="s">
        <v>153</v>
      </c>
      <c r="D3" s="234"/>
      <c r="E3" s="234"/>
      <c r="F3" s="234"/>
      <c r="G3" s="234"/>
      <c r="H3" s="234"/>
      <c r="I3" s="234"/>
      <c r="J3" s="155"/>
      <c r="K3" s="155"/>
      <c r="L3" s="155"/>
      <c r="M3" s="155"/>
    </row>
    <row r="4" spans="1:13" x14ac:dyDescent="0.25">
      <c r="B4" s="154"/>
      <c r="C4" s="244" t="s">
        <v>154</v>
      </c>
      <c r="D4" s="245"/>
      <c r="E4" s="245"/>
      <c r="F4" s="245"/>
      <c r="G4" s="245"/>
      <c r="H4" s="245"/>
      <c r="I4" s="245"/>
      <c r="J4" s="153"/>
      <c r="K4" s="153"/>
      <c r="L4" s="153"/>
      <c r="M4" s="153"/>
    </row>
    <row r="5" spans="1:13" x14ac:dyDescent="0.25">
      <c r="D5" s="152"/>
      <c r="E5" s="152"/>
      <c r="F5" s="152"/>
      <c r="G5" s="152"/>
    </row>
    <row r="6" spans="1:13" x14ac:dyDescent="0.25">
      <c r="B6" s="32" t="s">
        <v>155</v>
      </c>
      <c r="C6" s="57"/>
      <c r="D6" s="151">
        <v>44501</v>
      </c>
      <c r="E6" s="151">
        <v>44866</v>
      </c>
      <c r="F6" s="151">
        <v>45231</v>
      </c>
      <c r="G6" s="151">
        <v>45597</v>
      </c>
      <c r="H6" s="151" t="s">
        <v>156</v>
      </c>
      <c r="I6" s="151" t="s">
        <v>157</v>
      </c>
      <c r="J6" s="151" t="s">
        <v>158</v>
      </c>
      <c r="K6" s="199" t="s">
        <v>158</v>
      </c>
      <c r="L6" s="199" t="s">
        <v>317</v>
      </c>
      <c r="M6" s="199" t="s">
        <v>329</v>
      </c>
    </row>
    <row r="7" spans="1:13" x14ac:dyDescent="0.25">
      <c r="B7" s="45"/>
      <c r="C7" s="57" t="s">
        <v>159</v>
      </c>
      <c r="D7" s="57"/>
      <c r="E7" s="57"/>
      <c r="F7" s="57"/>
      <c r="G7" s="57"/>
      <c r="H7" s="57"/>
      <c r="J7" s="57"/>
      <c r="K7" s="57"/>
      <c r="L7" s="57"/>
      <c r="M7" s="57"/>
    </row>
    <row r="8" spans="1:13" x14ac:dyDescent="0.25">
      <c r="B8" s="45"/>
      <c r="C8" s="57"/>
      <c r="D8" s="57"/>
      <c r="E8" s="57"/>
      <c r="F8" s="57"/>
      <c r="G8" s="57"/>
      <c r="H8" s="57"/>
      <c r="J8" s="57"/>
      <c r="K8" s="57"/>
      <c r="L8" s="57"/>
      <c r="M8" s="57"/>
    </row>
    <row r="9" spans="1:13" x14ac:dyDescent="0.25">
      <c r="A9" s="44" t="s">
        <v>160</v>
      </c>
      <c r="B9" s="141">
        <v>1</v>
      </c>
      <c r="C9" s="34" t="s">
        <v>161</v>
      </c>
      <c r="D9" s="140">
        <v>399448.23709801002</v>
      </c>
      <c r="E9" s="217">
        <v>481126.43513319001</v>
      </c>
      <c r="F9" s="217">
        <v>511384.79887276998</v>
      </c>
      <c r="G9" s="217">
        <v>531546.70245066995</v>
      </c>
      <c r="H9" s="139">
        <f>E9-D9</f>
        <v>81678.198035179987</v>
      </c>
      <c r="I9" s="43">
        <v>0.13357051541490161</v>
      </c>
      <c r="J9" s="140">
        <v>437576.73499999999</v>
      </c>
      <c r="K9" s="140">
        <v>437691.54700000002</v>
      </c>
      <c r="L9" s="140">
        <v>530076.47</v>
      </c>
      <c r="M9" s="140"/>
    </row>
    <row r="10" spans="1:13" s="146" customFormat="1" x14ac:dyDescent="0.25">
      <c r="B10" s="150"/>
      <c r="C10" s="133" t="s">
        <v>160</v>
      </c>
      <c r="D10" s="149">
        <v>399448.23709801002</v>
      </c>
      <c r="E10" s="149">
        <v>481126.43513319001</v>
      </c>
      <c r="F10" s="149">
        <v>511384.79887276998</v>
      </c>
      <c r="G10" s="149">
        <v>531546.70245066995</v>
      </c>
      <c r="H10" s="148">
        <f>E10-D10</f>
        <v>81678.198035179987</v>
      </c>
      <c r="I10" s="147">
        <v>0.13357051541490161</v>
      </c>
      <c r="J10" s="140">
        <v>437576.73499999999</v>
      </c>
      <c r="K10" s="140">
        <f>K9</f>
        <v>437691.54700000002</v>
      </c>
      <c r="L10" s="140">
        <f>L9</f>
        <v>530076.47</v>
      </c>
      <c r="M10" s="140"/>
    </row>
    <row r="11" spans="1:13" x14ac:dyDescent="0.25">
      <c r="A11" s="44" t="s">
        <v>162</v>
      </c>
      <c r="B11" s="141">
        <v>2</v>
      </c>
      <c r="C11" s="57" t="s">
        <v>163</v>
      </c>
      <c r="D11" s="140">
        <v>-295359.43750075001</v>
      </c>
      <c r="E11" s="140">
        <v>-350963.42106719001</v>
      </c>
      <c r="F11" s="140">
        <v>-398281.46206225001</v>
      </c>
      <c r="G11" s="140">
        <v>-410785.14257446997</v>
      </c>
      <c r="H11" s="139">
        <f>E11-D11</f>
        <v>-55603.983566440002</v>
      </c>
      <c r="I11" s="43">
        <v>0.10228469189629918</v>
      </c>
      <c r="J11" s="140">
        <v>-329067.826</v>
      </c>
      <c r="K11" s="140">
        <v>-328602.14799999999</v>
      </c>
      <c r="L11" s="140">
        <v>-389988.16700000002</v>
      </c>
      <c r="M11" s="140"/>
    </row>
    <row r="12" spans="1:13" ht="15.75" x14ac:dyDescent="0.25">
      <c r="B12" s="45"/>
      <c r="C12" s="133" t="s">
        <v>164</v>
      </c>
      <c r="D12" s="137">
        <f t="shared" ref="D12:F12" si="0">D10+D11</f>
        <v>104088.79959726002</v>
      </c>
      <c r="E12" s="137">
        <f t="shared" si="0"/>
        <v>130163.014066</v>
      </c>
      <c r="F12" s="137">
        <f t="shared" si="0"/>
        <v>113103.33681051998</v>
      </c>
      <c r="G12" s="137">
        <f>G10+G11</f>
        <v>120761.55987619999</v>
      </c>
      <c r="H12" s="137">
        <f>E12-D12</f>
        <v>26074.214468739985</v>
      </c>
      <c r="I12" s="136">
        <v>0.23286277820518153</v>
      </c>
      <c r="J12" s="137">
        <v>108508.909</v>
      </c>
      <c r="K12" s="247">
        <f>SUM(K10:K11)</f>
        <v>109089.39900000003</v>
      </c>
      <c r="L12" s="247">
        <f>SUM(L10:L11)</f>
        <v>140088.30299999996</v>
      </c>
      <c r="M12" s="247">
        <f>SUM(M10:M11)</f>
        <v>0</v>
      </c>
    </row>
    <row r="13" spans="1:13" x14ac:dyDescent="0.25">
      <c r="B13" s="45"/>
      <c r="C13" s="57"/>
      <c r="D13" s="57"/>
      <c r="E13" s="57"/>
      <c r="F13" s="57"/>
      <c r="G13" s="57"/>
      <c r="H13" s="57"/>
      <c r="I13" s="43"/>
      <c r="J13" s="57"/>
      <c r="K13" s="57"/>
      <c r="L13" s="57"/>
      <c r="M13" s="57"/>
    </row>
    <row r="14" spans="1:13" x14ac:dyDescent="0.25">
      <c r="B14" s="45"/>
      <c r="C14" s="57" t="s">
        <v>165</v>
      </c>
      <c r="D14" s="57"/>
      <c r="E14" s="57"/>
      <c r="F14" s="57"/>
      <c r="G14" s="57"/>
      <c r="H14" s="57"/>
      <c r="I14" s="43"/>
      <c r="J14" s="57"/>
      <c r="K14" s="57"/>
      <c r="L14" s="57"/>
      <c r="M14" s="57"/>
    </row>
    <row r="15" spans="1:13" x14ac:dyDescent="0.25">
      <c r="A15" s="44" t="s">
        <v>166</v>
      </c>
      <c r="B15" s="141">
        <v>3</v>
      </c>
      <c r="C15" s="57" t="s">
        <v>166</v>
      </c>
      <c r="D15" s="140">
        <v>-5895.7049934300003</v>
      </c>
      <c r="E15" s="140">
        <v>-6271.6097455600002</v>
      </c>
      <c r="F15" s="140">
        <v>-8205.6460047700002</v>
      </c>
      <c r="G15" s="140">
        <v>-9738.0639035299992</v>
      </c>
      <c r="H15" s="139">
        <f>E15-D15</f>
        <v>-375.90475212999991</v>
      </c>
      <c r="I15" s="43">
        <v>5.9569487779961294E-2</v>
      </c>
      <c r="J15" s="140">
        <v>-6207.1032315078237</v>
      </c>
      <c r="K15" s="140"/>
      <c r="L15" s="140"/>
      <c r="M15" s="140"/>
    </row>
    <row r="16" spans="1:13" x14ac:dyDescent="0.25">
      <c r="A16" s="44" t="s">
        <v>167</v>
      </c>
      <c r="B16" s="141">
        <v>4</v>
      </c>
      <c r="C16" s="57" t="s">
        <v>167</v>
      </c>
      <c r="D16" s="140">
        <v>-5269.6145769200002</v>
      </c>
      <c r="E16" s="140">
        <v>-6585.3916802299991</v>
      </c>
      <c r="F16" s="140">
        <v>-7900.4307490000001</v>
      </c>
      <c r="G16" s="140">
        <v>-8621.9904795300008</v>
      </c>
      <c r="H16" s="139">
        <f>E16-D16</f>
        <v>-1315.7771033099989</v>
      </c>
      <c r="I16" s="43">
        <v>0.10439302376095028</v>
      </c>
      <c r="J16" s="140">
        <v>-6517.6577684921749</v>
      </c>
      <c r="K16" s="140"/>
      <c r="L16" s="140"/>
      <c r="M16" s="140"/>
    </row>
    <row r="17" spans="1:13" ht="15.75" x14ac:dyDescent="0.25">
      <c r="B17" s="45"/>
      <c r="C17" s="133" t="s">
        <v>168</v>
      </c>
      <c r="D17" s="138">
        <f t="shared" ref="D17:F17" si="1">SUM(D15:D16)</f>
        <v>-11165.319570350001</v>
      </c>
      <c r="E17" s="138">
        <f t="shared" si="1"/>
        <v>-12857.00142579</v>
      </c>
      <c r="F17" s="138">
        <f t="shared" si="1"/>
        <v>-16106.076753770001</v>
      </c>
      <c r="G17" s="138">
        <f>SUM(G15:G16)</f>
        <v>-18360.05438306</v>
      </c>
      <c r="H17" s="137">
        <f>E17-D17</f>
        <v>-1691.6818554399997</v>
      </c>
      <c r="I17" s="136">
        <v>8.0262293014199848E-2</v>
      </c>
      <c r="J17" s="138">
        <v>-12724.761</v>
      </c>
      <c r="K17" s="248">
        <v>-13807.204</v>
      </c>
      <c r="L17" s="248">
        <v>-15548.651</v>
      </c>
      <c r="M17" s="248">
        <v>-15548.651</v>
      </c>
    </row>
    <row r="18" spans="1:13" x14ac:dyDescent="0.25">
      <c r="B18" s="45"/>
      <c r="C18" s="57"/>
      <c r="D18" s="140"/>
      <c r="E18" s="140"/>
      <c r="F18" s="140"/>
      <c r="G18" s="140"/>
      <c r="H18" s="57"/>
      <c r="I18" s="43"/>
      <c r="J18" s="140"/>
      <c r="K18" s="140"/>
      <c r="L18" s="140"/>
      <c r="M18" s="140"/>
    </row>
    <row r="19" spans="1:13" x14ac:dyDescent="0.25">
      <c r="B19" s="45"/>
      <c r="C19" s="57" t="s">
        <v>169</v>
      </c>
      <c r="D19" s="140"/>
      <c r="E19" s="140"/>
      <c r="F19" s="140"/>
      <c r="G19" s="140"/>
      <c r="H19" s="57"/>
      <c r="I19" s="43"/>
      <c r="J19" s="140"/>
      <c r="K19" s="140"/>
      <c r="L19" s="140"/>
      <c r="M19" s="140"/>
    </row>
    <row r="20" spans="1:13" x14ac:dyDescent="0.25">
      <c r="A20" s="44" t="s">
        <v>170</v>
      </c>
      <c r="B20" s="45"/>
      <c r="C20" s="57" t="s">
        <v>170</v>
      </c>
      <c r="D20" s="140">
        <v>-8257.3727493099996</v>
      </c>
      <c r="E20" s="140">
        <v>-11074.499058670001</v>
      </c>
      <c r="F20" s="140">
        <v>-8758.5760252199998</v>
      </c>
      <c r="G20" s="140">
        <v>-10103.08180231</v>
      </c>
      <c r="H20" s="139">
        <f>E20-D20</f>
        <v>-2817.126309360001</v>
      </c>
      <c r="I20" s="43">
        <v>0.17930424560556601</v>
      </c>
      <c r="J20" s="140">
        <v>-7948.3060904752365</v>
      </c>
      <c r="K20" s="140"/>
      <c r="L20" s="140"/>
      <c r="M20" s="140"/>
    </row>
    <row r="21" spans="1:13" x14ac:dyDescent="0.25">
      <c r="A21" s="44" t="s">
        <v>171</v>
      </c>
      <c r="B21" s="45"/>
      <c r="C21" s="57" t="s">
        <v>171</v>
      </c>
      <c r="D21" s="140">
        <v>-4195.3401566000002</v>
      </c>
      <c r="E21" s="140">
        <v>-3611.4614310100001</v>
      </c>
      <c r="F21" s="140">
        <v>-3331.0695019499999</v>
      </c>
      <c r="G21" s="140">
        <v>-3381.63418877</v>
      </c>
      <c r="H21" s="139">
        <f>E21-D21</f>
        <v>583.87872559000016</v>
      </c>
      <c r="I21" s="43">
        <v>-5.5809806633926651E-2</v>
      </c>
      <c r="J21" s="140">
        <v>-2591.990909524764</v>
      </c>
      <c r="K21" s="140"/>
      <c r="L21" s="140"/>
      <c r="M21" s="140"/>
    </row>
    <row r="22" spans="1:13" x14ac:dyDescent="0.25">
      <c r="A22" s="44" t="s">
        <v>172</v>
      </c>
      <c r="B22" s="141">
        <v>5</v>
      </c>
      <c r="C22" s="57" t="s">
        <v>172</v>
      </c>
      <c r="D22" s="140">
        <v>-12701.024480040001</v>
      </c>
      <c r="E22" s="140">
        <v>-13013.886549610001</v>
      </c>
      <c r="F22" s="140">
        <v>-14756.948900549998</v>
      </c>
      <c r="G22" s="140">
        <v>-15735.912302370001</v>
      </c>
      <c r="H22" s="139">
        <f>E22-D22</f>
        <v>-312.86206956999922</v>
      </c>
      <c r="I22" s="43">
        <v>3.3470603718862124E-2</v>
      </c>
      <c r="J22" s="140">
        <v>-14410.069</v>
      </c>
      <c r="K22" s="140"/>
      <c r="L22" s="140"/>
      <c r="M22" s="140"/>
    </row>
    <row r="23" spans="1:13" ht="15.75" x14ac:dyDescent="0.25">
      <c r="B23" s="45"/>
      <c r="C23" s="133" t="s">
        <v>173</v>
      </c>
      <c r="D23" s="138">
        <f t="shared" ref="D23:F23" si="2">SUM(D20:D22)</f>
        <v>-25153.73738595</v>
      </c>
      <c r="E23" s="138">
        <f t="shared" si="2"/>
        <v>-27699.847039290002</v>
      </c>
      <c r="F23" s="138">
        <f t="shared" si="2"/>
        <v>-26846.594427719996</v>
      </c>
      <c r="G23" s="138">
        <f>SUM(G20:G22)</f>
        <v>-29220.628293450001</v>
      </c>
      <c r="H23" s="137">
        <f>E23-D23</f>
        <v>-2546.1096533400014</v>
      </c>
      <c r="I23" s="136">
        <v>5.9778328813773429E-2</v>
      </c>
      <c r="J23" s="138">
        <v>-24950.366000000002</v>
      </c>
      <c r="K23" s="248">
        <v>-24950.366000000002</v>
      </c>
      <c r="L23" s="248">
        <v>-25917.183000000001</v>
      </c>
      <c r="M23" s="248">
        <v>-25917.183000000001</v>
      </c>
    </row>
    <row r="24" spans="1:13" x14ac:dyDescent="0.25">
      <c r="B24" s="45"/>
      <c r="C24" s="57"/>
      <c r="D24" s="57"/>
      <c r="E24" s="57"/>
      <c r="F24" s="57">
        <v>0</v>
      </c>
      <c r="G24" s="57">
        <v>0</v>
      </c>
      <c r="H24" s="57"/>
      <c r="I24" s="43"/>
      <c r="J24" s="57">
        <v>0</v>
      </c>
      <c r="K24" s="57"/>
      <c r="L24" s="57"/>
      <c r="M24" s="57"/>
    </row>
    <row r="25" spans="1:13" x14ac:dyDescent="0.25">
      <c r="B25" s="45"/>
      <c r="C25" s="133" t="s">
        <v>174</v>
      </c>
      <c r="D25" s="143">
        <f>D12+D17+D23</f>
        <v>67769.74264096003</v>
      </c>
      <c r="E25" s="143">
        <f>E12+E17+E23</f>
        <v>89606.165600919994</v>
      </c>
      <c r="F25" s="143">
        <f>F12+F17+F23</f>
        <v>70150.665629029972</v>
      </c>
      <c r="G25" s="143">
        <f>G12+G17+G23</f>
        <v>73180.877199689989</v>
      </c>
      <c r="H25" s="143">
        <f>E25-D25</f>
        <v>21836.422959959964</v>
      </c>
      <c r="I25" s="142">
        <v>0.34576234423404717</v>
      </c>
      <c r="J25" s="143">
        <v>70833.782000000007</v>
      </c>
      <c r="K25" s="249">
        <f>K12+K17+K23</f>
        <v>70331.829000000027</v>
      </c>
      <c r="L25" s="249">
        <f>L12+L17+L23</f>
        <v>98622.468999999954</v>
      </c>
      <c r="M25" s="249">
        <f>M12+M17+M23</f>
        <v>-41465.834000000003</v>
      </c>
    </row>
    <row r="26" spans="1:13" x14ac:dyDescent="0.25">
      <c r="B26" s="45"/>
      <c r="C26" s="57"/>
      <c r="D26" s="57"/>
      <c r="E26" s="57"/>
      <c r="F26" s="57"/>
      <c r="G26" s="57"/>
      <c r="H26" s="57"/>
      <c r="I26" s="43"/>
      <c r="J26" s="57"/>
      <c r="K26" s="57"/>
      <c r="L26" s="57"/>
      <c r="M26" s="57"/>
    </row>
    <row r="27" spans="1:13" x14ac:dyDescent="0.25">
      <c r="B27" s="45"/>
      <c r="C27" s="57" t="s">
        <v>175</v>
      </c>
      <c r="D27" s="57"/>
      <c r="E27" s="57"/>
      <c r="F27" s="57"/>
      <c r="G27" s="57"/>
      <c r="H27" s="57"/>
      <c r="I27" s="43"/>
      <c r="J27" s="57"/>
      <c r="K27" s="57"/>
      <c r="L27" s="57"/>
      <c r="M27" s="57"/>
    </row>
    <row r="28" spans="1:13" x14ac:dyDescent="0.25">
      <c r="A28" s="44" t="s">
        <v>176</v>
      </c>
      <c r="B28" s="141">
        <v>6</v>
      </c>
      <c r="C28" s="57" t="s">
        <v>176</v>
      </c>
      <c r="D28" s="140">
        <v>1420.9010454300001</v>
      </c>
      <c r="E28" s="140">
        <v>2332.93152908</v>
      </c>
      <c r="F28" s="140">
        <v>3447.6606910700002</v>
      </c>
      <c r="G28" s="140">
        <v>5231.4746840699991</v>
      </c>
      <c r="H28" s="139">
        <f>E28-D28</f>
        <v>912.03048364999995</v>
      </c>
      <c r="I28" s="43">
        <v>-0.14891668471472386</v>
      </c>
      <c r="J28" s="140">
        <v>1084.2260000000001</v>
      </c>
      <c r="K28" s="140">
        <v>1590.0050000000001</v>
      </c>
      <c r="L28" s="140">
        <v>3566.7530000000002</v>
      </c>
      <c r="M28" s="140">
        <v>3566.7530000000002</v>
      </c>
    </row>
    <row r="29" spans="1:13" x14ac:dyDescent="0.25">
      <c r="A29" s="44" t="s">
        <v>177</v>
      </c>
      <c r="B29" s="141">
        <v>7</v>
      </c>
      <c r="C29" s="57" t="s">
        <v>177</v>
      </c>
      <c r="D29" s="140">
        <v>886.03427869000006</v>
      </c>
      <c r="E29" s="140">
        <v>1073.8043441900002</v>
      </c>
      <c r="F29" s="140">
        <v>1774.4607278599999</v>
      </c>
      <c r="G29" s="140">
        <v>2505.0553596499999</v>
      </c>
      <c r="H29" s="139">
        <f>E29-D29</f>
        <v>187.7700655000001</v>
      </c>
      <c r="I29" s="43">
        <v>-0.24803266067174179</v>
      </c>
      <c r="J29" s="140">
        <v>1266.635</v>
      </c>
      <c r="K29" s="140">
        <v>1405.684</v>
      </c>
      <c r="L29" s="140">
        <v>1330.5619999999999</v>
      </c>
      <c r="M29" s="140">
        <v>1330.5619999999999</v>
      </c>
    </row>
    <row r="30" spans="1:13" ht="15.75" x14ac:dyDescent="0.25">
      <c r="B30" s="45"/>
      <c r="C30" s="133" t="s">
        <v>178</v>
      </c>
      <c r="D30" s="138">
        <f t="shared" ref="D30:F30" si="3">SUM(D28:D29)</f>
        <v>2306.9353241200001</v>
      </c>
      <c r="E30" s="138">
        <f t="shared" si="3"/>
        <v>3406.7358732700004</v>
      </c>
      <c r="F30" s="138">
        <f t="shared" si="3"/>
        <v>5222.1214189299999</v>
      </c>
      <c r="G30" s="138">
        <f>SUM(G28:G29)</f>
        <v>7736.5300437199985</v>
      </c>
      <c r="H30" s="137">
        <f>E30-D30</f>
        <v>1099.8005491500003</v>
      </c>
      <c r="I30" s="136">
        <v>-0.18992617651095123</v>
      </c>
      <c r="J30" s="138">
        <v>2350.8609999999999</v>
      </c>
      <c r="K30" s="248">
        <f>SUM(K28:K29)</f>
        <v>2995.6890000000003</v>
      </c>
      <c r="L30" s="248">
        <f>SUM(L28:L29)</f>
        <v>4897.3150000000005</v>
      </c>
      <c r="M30" s="248">
        <f>SUM(M28:M29)</f>
        <v>4897.3150000000005</v>
      </c>
    </row>
    <row r="31" spans="1:13" x14ac:dyDescent="0.25">
      <c r="B31" s="45"/>
      <c r="C31" s="57"/>
      <c r="D31" s="57"/>
      <c r="E31" s="57"/>
      <c r="F31" s="57"/>
      <c r="G31" s="57"/>
      <c r="H31" s="57"/>
      <c r="I31" s="43"/>
      <c r="J31" s="57"/>
      <c r="K31" s="57"/>
      <c r="L31" s="57"/>
      <c r="M31" s="57"/>
    </row>
    <row r="32" spans="1:13" x14ac:dyDescent="0.25">
      <c r="B32" s="45"/>
      <c r="C32" s="57" t="s">
        <v>179</v>
      </c>
      <c r="D32" s="57"/>
      <c r="E32" s="57"/>
      <c r="F32" s="57"/>
      <c r="G32" s="57"/>
      <c r="H32" s="57"/>
      <c r="I32" s="43"/>
      <c r="J32" s="57"/>
      <c r="K32" s="57"/>
      <c r="L32" s="57"/>
      <c r="M32" s="57"/>
    </row>
    <row r="33" spans="1:13" x14ac:dyDescent="0.25">
      <c r="A33" s="44" t="s">
        <v>180</v>
      </c>
      <c r="B33" s="141">
        <v>8</v>
      </c>
      <c r="C33" s="57" t="s">
        <v>180</v>
      </c>
      <c r="D33" s="140">
        <v>-6963.3352199600004</v>
      </c>
      <c r="E33" s="140">
        <v>-10150.62215422</v>
      </c>
      <c r="F33" s="140">
        <v>-25544.903834410001</v>
      </c>
      <c r="G33" s="140">
        <v>-29033.326041010001</v>
      </c>
      <c r="H33" s="139">
        <f>E33-D33</f>
        <v>-3187.2869342599997</v>
      </c>
      <c r="I33" s="43">
        <v>-0.42291455163361014</v>
      </c>
      <c r="J33" s="140">
        <v>-6192.1769999999997</v>
      </c>
      <c r="K33" s="140">
        <v>-6545.8010000000004</v>
      </c>
      <c r="L33" s="140">
        <v>-11245.576999999999</v>
      </c>
      <c r="M33" s="140">
        <v>-11245.576999999999</v>
      </c>
    </row>
    <row r="34" spans="1:13" x14ac:dyDescent="0.25">
      <c r="A34" s="44" t="s">
        <v>181</v>
      </c>
      <c r="B34" s="141">
        <v>9</v>
      </c>
      <c r="C34" s="57" t="s">
        <v>181</v>
      </c>
      <c r="D34" s="140">
        <v>-4074.4612101500002</v>
      </c>
      <c r="E34" s="140">
        <v>-7355.7166940799998</v>
      </c>
      <c r="F34" s="140">
        <v>-8548.8084902500013</v>
      </c>
      <c r="G34" s="140">
        <v>-7974.1219878400007</v>
      </c>
      <c r="H34" s="139">
        <f>E34-D34</f>
        <v>-3281.2554839299996</v>
      </c>
      <c r="I34" s="43">
        <v>-0.16944702077538065</v>
      </c>
      <c r="J34" s="140">
        <v>-4308.2250000000004</v>
      </c>
      <c r="K34" s="140">
        <v>-4333.5829999999996</v>
      </c>
      <c r="L34" s="140">
        <v>-9567.9940000000006</v>
      </c>
      <c r="M34" s="140">
        <v>-9567.9940000000006</v>
      </c>
    </row>
    <row r="35" spans="1:13" ht="15.75" x14ac:dyDescent="0.25">
      <c r="B35" s="45"/>
      <c r="C35" s="133" t="s">
        <v>182</v>
      </c>
      <c r="D35" s="138">
        <f t="shared" ref="D35:F35" si="4">SUM(D33:D34)</f>
        <v>-11037.79643011</v>
      </c>
      <c r="E35" s="138">
        <f t="shared" si="4"/>
        <v>-17506.338848300002</v>
      </c>
      <c r="F35" s="138">
        <f t="shared" si="4"/>
        <v>-34093.712324660002</v>
      </c>
      <c r="G35" s="138">
        <f>SUM(G33:G34)</f>
        <v>-37007.448028850005</v>
      </c>
      <c r="H35" s="137">
        <f>E35-D35</f>
        <v>-6468.5424181900016</v>
      </c>
      <c r="I35" s="136">
        <v>-0.34965075101101639</v>
      </c>
      <c r="J35" s="138">
        <v>-10500.402</v>
      </c>
      <c r="K35" s="248">
        <f>SUM(K33:K34)</f>
        <v>-10879.384</v>
      </c>
      <c r="L35" s="248">
        <f>SUM(L33:L34)</f>
        <v>-20813.571</v>
      </c>
      <c r="M35" s="248">
        <f>SUM(M33:M34)</f>
        <v>-20813.571</v>
      </c>
    </row>
    <row r="36" spans="1:13" x14ac:dyDescent="0.25">
      <c r="B36" s="45"/>
      <c r="C36" s="57"/>
      <c r="D36" s="145"/>
      <c r="E36" s="145"/>
      <c r="F36" s="139"/>
      <c r="G36" s="139"/>
      <c r="H36" s="139"/>
      <c r="I36" s="43"/>
      <c r="J36" s="145"/>
      <c r="K36" s="139"/>
      <c r="L36" s="139"/>
      <c r="M36" s="139"/>
    </row>
    <row r="37" spans="1:13" x14ac:dyDescent="0.25">
      <c r="B37" s="45"/>
      <c r="C37" s="133" t="s">
        <v>183</v>
      </c>
      <c r="D37" s="144">
        <f>D25+D30+D35</f>
        <v>59038.881534970031</v>
      </c>
      <c r="E37" s="144">
        <f>E25+E30+E35</f>
        <v>75506.562625889987</v>
      </c>
      <c r="F37" s="144">
        <f>F25+F30+F35</f>
        <v>41279.074723299964</v>
      </c>
      <c r="G37" s="144">
        <f>G25+G30+G35</f>
        <v>43909.959214559974</v>
      </c>
      <c r="H37" s="143">
        <f>E37-D37</f>
        <v>16467.681090919956</v>
      </c>
      <c r="I37" s="142">
        <v>0.6293966068133201</v>
      </c>
      <c r="J37" s="144">
        <v>62684.241000000002</v>
      </c>
      <c r="K37" s="257">
        <f>K25+K30+K35</f>
        <v>62448.134000000027</v>
      </c>
      <c r="L37" s="250">
        <f>L25+L30+L35</f>
        <v>82706.21299999996</v>
      </c>
      <c r="M37" s="250">
        <f>M25+M30+M35</f>
        <v>-57382.09</v>
      </c>
    </row>
    <row r="38" spans="1:13" x14ac:dyDescent="0.25">
      <c r="B38" s="45"/>
      <c r="C38" s="57"/>
      <c r="D38" s="57"/>
      <c r="E38" s="57"/>
      <c r="F38" s="57"/>
      <c r="G38" s="57"/>
      <c r="H38" s="57"/>
      <c r="I38" s="43"/>
      <c r="J38" s="57"/>
      <c r="K38" s="57"/>
      <c r="L38" s="57"/>
      <c r="M38" s="57"/>
    </row>
    <row r="39" spans="1:13" x14ac:dyDescent="0.25">
      <c r="A39" s="44">
        <v>5405050101</v>
      </c>
      <c r="B39" s="45"/>
      <c r="C39" s="57" t="s">
        <v>184</v>
      </c>
      <c r="D39" s="140">
        <v>-15016.205</v>
      </c>
      <c r="E39" s="140">
        <v>-24992.171332000002</v>
      </c>
      <c r="F39" s="140">
        <v>-13468.88</v>
      </c>
      <c r="G39" s="140">
        <v>-14777.208000000001</v>
      </c>
      <c r="H39" s="139">
        <f>E39-D39</f>
        <v>-9975.9663320000018</v>
      </c>
      <c r="I39" s="43">
        <v>0.69846974670343465</v>
      </c>
      <c r="J39" s="140">
        <v>-15608.145</v>
      </c>
      <c r="K39" s="140">
        <v>-15608.145</v>
      </c>
      <c r="L39" s="140">
        <v>-27332.547999999999</v>
      </c>
      <c r="M39" s="140">
        <v>-27332.547999999999</v>
      </c>
    </row>
    <row r="40" spans="1:13" x14ac:dyDescent="0.25">
      <c r="A40" s="44">
        <v>5405050102</v>
      </c>
      <c r="B40" s="45"/>
      <c r="C40" s="57" t="s">
        <v>185</v>
      </c>
      <c r="D40" s="140">
        <v>0</v>
      </c>
      <c r="E40" s="140">
        <v>0</v>
      </c>
      <c r="F40" s="140">
        <v>0</v>
      </c>
      <c r="G40" s="140">
        <v>0</v>
      </c>
      <c r="H40" s="139">
        <f>E40-D40</f>
        <v>0</v>
      </c>
      <c r="I40" s="43" t="s">
        <v>186</v>
      </c>
      <c r="J40" s="140">
        <v>0</v>
      </c>
      <c r="K40" s="140"/>
      <c r="L40" s="140"/>
      <c r="M40" s="140"/>
    </row>
    <row r="41" spans="1:13" x14ac:dyDescent="0.25">
      <c r="A41" s="44">
        <v>5405059901</v>
      </c>
      <c r="B41" s="45"/>
      <c r="C41" s="57" t="s">
        <v>187</v>
      </c>
      <c r="D41" s="140">
        <v>0</v>
      </c>
      <c r="E41" s="140">
        <v>0</v>
      </c>
      <c r="F41" s="140">
        <v>0</v>
      </c>
      <c r="G41" s="140">
        <v>0</v>
      </c>
      <c r="H41" s="139">
        <f>E41-D41</f>
        <v>0</v>
      </c>
      <c r="I41" s="43" t="s">
        <v>186</v>
      </c>
      <c r="J41" s="140">
        <v>0</v>
      </c>
      <c r="K41" s="140"/>
      <c r="L41" s="140"/>
      <c r="M41" s="140"/>
    </row>
    <row r="42" spans="1:13" ht="15.75" x14ac:dyDescent="0.25">
      <c r="B42" s="45"/>
      <c r="C42" s="133" t="s">
        <v>188</v>
      </c>
      <c r="D42" s="138">
        <f>SUM(D39:D41)</f>
        <v>-15016.205</v>
      </c>
      <c r="E42" s="138">
        <f t="shared" ref="E42:G42" si="5">SUM(E39:E41)</f>
        <v>-24992.171332000002</v>
      </c>
      <c r="F42" s="138">
        <f t="shared" si="5"/>
        <v>-13468.88</v>
      </c>
      <c r="G42" s="138">
        <f t="shared" si="5"/>
        <v>-14777.208000000001</v>
      </c>
      <c r="H42" s="137">
        <f>E42-D42</f>
        <v>-9975.9663320000018</v>
      </c>
      <c r="I42" s="136">
        <v>0.69846974670343465</v>
      </c>
      <c r="J42" s="138">
        <v>-15608.145</v>
      </c>
      <c r="K42" s="248">
        <f>SUM(K39:K41)</f>
        <v>-15608.145</v>
      </c>
      <c r="L42" s="248">
        <f>SUM(L39:L41)</f>
        <v>-27332.547999999999</v>
      </c>
      <c r="M42" s="248">
        <f>SUM(M39:M41)</f>
        <v>-27332.547999999999</v>
      </c>
    </row>
    <row r="43" spans="1:13" x14ac:dyDescent="0.25">
      <c r="B43" s="45"/>
      <c r="C43" s="57"/>
      <c r="D43" s="57"/>
      <c r="E43" s="57"/>
      <c r="F43" s="57"/>
      <c r="G43" s="57"/>
      <c r="H43" s="57"/>
      <c r="I43" s="43"/>
      <c r="J43" s="57"/>
      <c r="K43" s="57"/>
      <c r="L43" s="57"/>
      <c r="M43" s="57"/>
    </row>
    <row r="44" spans="1:13" x14ac:dyDescent="0.25">
      <c r="B44" s="45"/>
      <c r="C44" s="133" t="s">
        <v>189</v>
      </c>
      <c r="D44" s="144">
        <f>D37+D42</f>
        <v>44022.676534970029</v>
      </c>
      <c r="E44" s="144">
        <f t="shared" ref="E44:G44" si="6">E37+E42</f>
        <v>50514.391293889988</v>
      </c>
      <c r="F44" s="144">
        <f t="shared" si="6"/>
        <v>27810.194723299966</v>
      </c>
      <c r="G44" s="144">
        <f t="shared" si="6"/>
        <v>29132.751214559976</v>
      </c>
      <c r="H44" s="143">
        <f>E44-D44</f>
        <v>6491.7147589199594</v>
      </c>
      <c r="I44" s="142">
        <v>0.60710307583476175</v>
      </c>
      <c r="J44" s="144">
        <v>47076.095999999998</v>
      </c>
      <c r="K44" s="250">
        <f>K37+K42</f>
        <v>46839.989000000031</v>
      </c>
      <c r="L44" s="250">
        <f>L37+L42</f>
        <v>55373.664999999964</v>
      </c>
      <c r="M44" s="250">
        <f>M37+M42</f>
        <v>-84714.637999999992</v>
      </c>
    </row>
    <row r="45" spans="1:13" x14ac:dyDescent="0.25">
      <c r="B45" s="45"/>
      <c r="C45" s="57"/>
      <c r="D45" s="57"/>
      <c r="E45" s="57"/>
      <c r="F45" s="57"/>
      <c r="G45" s="57"/>
      <c r="H45" s="57"/>
      <c r="I45" s="43"/>
    </row>
    <row r="46" spans="1:13" x14ac:dyDescent="0.25">
      <c r="B46" s="141">
        <v>10</v>
      </c>
      <c r="C46" s="57" t="s">
        <v>190</v>
      </c>
      <c r="D46" s="57"/>
      <c r="E46" s="57"/>
      <c r="F46" s="57"/>
      <c r="G46" s="57"/>
      <c r="H46" s="57"/>
      <c r="I46" s="43"/>
    </row>
    <row r="47" spans="1:13" x14ac:dyDescent="0.25">
      <c r="B47" s="141"/>
      <c r="C47" s="57"/>
      <c r="D47" s="57"/>
      <c r="E47" s="57"/>
      <c r="F47" s="57"/>
      <c r="G47" s="57"/>
      <c r="H47" s="57"/>
      <c r="I47" s="43"/>
    </row>
    <row r="48" spans="1:13" x14ac:dyDescent="0.25">
      <c r="B48" s="141"/>
      <c r="C48" s="57" t="s">
        <v>315</v>
      </c>
      <c r="D48" s="140">
        <v>0</v>
      </c>
      <c r="E48" s="140">
        <v>0</v>
      </c>
      <c r="F48" s="140">
        <v>0</v>
      </c>
      <c r="G48" s="140">
        <v>-432.52746899000005</v>
      </c>
      <c r="H48" s="57"/>
      <c r="I48" s="43"/>
    </row>
    <row r="49" spans="1:13" x14ac:dyDescent="0.25">
      <c r="A49" s="44" t="s">
        <v>191</v>
      </c>
      <c r="B49" s="45"/>
      <c r="C49" s="57" t="s">
        <v>192</v>
      </c>
      <c r="D49" s="140">
        <v>-44.724558000000002</v>
      </c>
      <c r="E49" s="140">
        <v>0</v>
      </c>
      <c r="F49" s="140">
        <v>0</v>
      </c>
      <c r="G49" s="140">
        <v>114.68916800000001</v>
      </c>
      <c r="H49" s="139">
        <f>E49-D49</f>
        <v>44.724558000000002</v>
      </c>
      <c r="I49" s="43">
        <v>0.26260547050363914</v>
      </c>
      <c r="J49" s="140">
        <v>0</v>
      </c>
      <c r="K49" s="140"/>
      <c r="L49" s="140"/>
      <c r="M49" s="140"/>
    </row>
    <row r="50" spans="1:13" x14ac:dyDescent="0.25">
      <c r="A50" s="44">
        <v>5405059902</v>
      </c>
      <c r="B50" s="45"/>
      <c r="C50" s="57" t="s">
        <v>193</v>
      </c>
      <c r="D50" s="140">
        <v>-5430.1130000000003</v>
      </c>
      <c r="E50" s="140">
        <v>-3279.41</v>
      </c>
      <c r="F50" s="140">
        <v>-632.721</v>
      </c>
      <c r="G50" s="140">
        <v>-922.43100000000004</v>
      </c>
      <c r="H50" s="139">
        <f>E50-D50</f>
        <v>2150.7030000000004</v>
      </c>
      <c r="I50" s="43">
        <v>26.558010180518973</v>
      </c>
      <c r="J50" s="140">
        <v>-6565.5249999999996</v>
      </c>
      <c r="K50" s="140">
        <v>-6487.4269999999997</v>
      </c>
      <c r="L50" s="140">
        <v>-4643.9260000000004</v>
      </c>
      <c r="M50" s="140">
        <v>-4643.9260000000004</v>
      </c>
    </row>
    <row r="51" spans="1:13" ht="15.75" x14ac:dyDescent="0.25">
      <c r="B51" s="45"/>
      <c r="C51" s="133" t="s">
        <v>194</v>
      </c>
      <c r="D51" s="138">
        <f>SUM(D48:D50)</f>
        <v>-5474.8375580000002</v>
      </c>
      <c r="E51" s="138">
        <f t="shared" ref="E51:G51" si="7">SUM(E48:E50)</f>
        <v>-3279.41</v>
      </c>
      <c r="F51" s="138">
        <f t="shared" si="7"/>
        <v>-632.721</v>
      </c>
      <c r="G51" s="138">
        <f t="shared" si="7"/>
        <v>-1240.2693009900001</v>
      </c>
      <c r="H51" s="137">
        <f>E51-D51</f>
        <v>2195.4275580000003</v>
      </c>
      <c r="I51" s="136">
        <v>22.551189875667248</v>
      </c>
      <c r="J51" s="138">
        <v>-6565.5249999999996</v>
      </c>
      <c r="K51" s="248">
        <f>SUM(K49:K50)</f>
        <v>-6487.4269999999997</v>
      </c>
      <c r="L51" s="248">
        <f>SUM(L49:L50)</f>
        <v>-4643.9260000000004</v>
      </c>
      <c r="M51" s="248">
        <f>SUM(M49:M50)</f>
        <v>-4643.9260000000004</v>
      </c>
    </row>
    <row r="52" spans="1:13" ht="15.75" thickBot="1" x14ac:dyDescent="0.3">
      <c r="B52" s="45"/>
      <c r="C52" s="57"/>
      <c r="D52" s="57"/>
      <c r="E52" s="135"/>
      <c r="F52" s="57"/>
      <c r="G52" s="57"/>
      <c r="H52" s="57"/>
      <c r="I52" s="134"/>
      <c r="J52" s="135"/>
      <c r="K52" s="57"/>
      <c r="L52" s="57"/>
      <c r="M52" s="57"/>
    </row>
    <row r="53" spans="1:13" ht="16.5" thickTop="1" x14ac:dyDescent="0.25">
      <c r="B53" s="45"/>
      <c r="C53" s="133" t="s">
        <v>195</v>
      </c>
      <c r="D53" s="131">
        <f>D44+D51</f>
        <v>38547.83897697003</v>
      </c>
      <c r="E53" s="132">
        <f>E44+E51</f>
        <v>47234.981293889985</v>
      </c>
      <c r="F53" s="132">
        <f>F44+F51</f>
        <v>27177.473723299965</v>
      </c>
      <c r="G53" s="132">
        <f>G44+G51</f>
        <v>27892.481913569976</v>
      </c>
      <c r="H53" s="131">
        <f>E53-D53</f>
        <v>8687.1423169199552</v>
      </c>
      <c r="I53" s="130">
        <v>0.41928191163797446</v>
      </c>
      <c r="J53" s="132">
        <v>40510.571000000004</v>
      </c>
      <c r="K53" s="251">
        <f>K44+K51</f>
        <v>40352.562000000034</v>
      </c>
      <c r="L53" s="251">
        <f>L44+L51</f>
        <v>50729.738999999965</v>
      </c>
      <c r="M53" s="251">
        <f>M44+M51</f>
        <v>-89358.563999999998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4"/>
  <sheetViews>
    <sheetView workbookViewId="0">
      <selection activeCell="B1" sqref="B1:F11"/>
    </sheetView>
  </sheetViews>
  <sheetFormatPr baseColWidth="10" defaultRowHeight="15" x14ac:dyDescent="0.25"/>
  <cols>
    <col min="2" max="2" width="25.42578125" bestFit="1" customWidth="1"/>
    <col min="3" max="5" width="19.42578125" customWidth="1"/>
  </cols>
  <sheetData>
    <row r="1" spans="1:6" ht="27" customHeight="1" x14ac:dyDescent="0.25">
      <c r="A1" s="274"/>
      <c r="B1" s="274" t="s">
        <v>321</v>
      </c>
      <c r="C1" s="289" t="s">
        <v>322</v>
      </c>
      <c r="D1" s="290" t="s">
        <v>323</v>
      </c>
      <c r="E1" s="289" t="s">
        <v>324</v>
      </c>
      <c r="F1" s="291" t="s">
        <v>325</v>
      </c>
    </row>
    <row r="2" spans="1:6" x14ac:dyDescent="0.25">
      <c r="A2" s="274"/>
      <c r="B2" s="286" t="s">
        <v>145</v>
      </c>
      <c r="C2" s="287">
        <f>Valoración!K30</f>
        <v>557356451.18029702</v>
      </c>
      <c r="D2" s="287">
        <v>462049392.24788004</v>
      </c>
      <c r="E2" s="287">
        <f>C2-D2</f>
        <v>95307058.932416975</v>
      </c>
      <c r="F2" s="288">
        <f>E2/D2</f>
        <v>0.20627028307243545</v>
      </c>
    </row>
    <row r="3" spans="1:6" ht="6.75" customHeight="1" x14ac:dyDescent="0.25">
      <c r="A3" s="274"/>
      <c r="B3" s="275"/>
      <c r="C3" s="276"/>
      <c r="D3" s="276"/>
      <c r="E3" s="274"/>
      <c r="F3" s="277"/>
    </row>
    <row r="4" spans="1:6" x14ac:dyDescent="0.25">
      <c r="A4" s="274"/>
      <c r="B4" s="7" t="s">
        <v>85</v>
      </c>
      <c r="C4" s="278">
        <f>Valoración!K37</f>
        <v>12213775.36616</v>
      </c>
      <c r="D4" s="278">
        <v>0</v>
      </c>
      <c r="E4" s="278">
        <f>C4-D4</f>
        <v>12213775.36616</v>
      </c>
      <c r="F4" s="279">
        <v>1</v>
      </c>
    </row>
    <row r="5" spans="1:6" x14ac:dyDescent="0.25">
      <c r="A5" s="274"/>
      <c r="B5" s="7" t="s">
        <v>89</v>
      </c>
      <c r="C5" s="278">
        <f>Valoración!K38</f>
        <v>20927577.12373</v>
      </c>
      <c r="D5" s="278"/>
      <c r="E5" s="278"/>
      <c r="F5" s="279"/>
    </row>
    <row r="6" spans="1:6" x14ac:dyDescent="0.25">
      <c r="A6" s="274"/>
      <c r="B6" s="7" t="s">
        <v>95</v>
      </c>
      <c r="C6" s="278">
        <f>Valoración!K39</f>
        <v>29906486.952439997</v>
      </c>
      <c r="D6" s="278"/>
      <c r="E6" s="278"/>
      <c r="F6" s="279"/>
    </row>
    <row r="7" spans="1:6" x14ac:dyDescent="0.25">
      <c r="A7" s="274"/>
      <c r="B7" s="7" t="s">
        <v>148</v>
      </c>
      <c r="C7" s="278">
        <f>Valoración!K40</f>
        <v>221095298.20383003</v>
      </c>
      <c r="D7" s="278">
        <v>143297834.50074002</v>
      </c>
      <c r="E7" s="278">
        <f>C7-D7</f>
        <v>77797463.703090012</v>
      </c>
      <c r="F7" s="279">
        <f>E7/D7</f>
        <v>0.54290746244799848</v>
      </c>
    </row>
    <row r="8" spans="1:6" ht="6.75" customHeight="1" x14ac:dyDescent="0.25">
      <c r="A8" s="274"/>
      <c r="B8" s="280"/>
      <c r="C8" s="281"/>
      <c r="D8" s="281"/>
      <c r="E8" s="281"/>
      <c r="F8" s="282"/>
    </row>
    <row r="9" spans="1:6" x14ac:dyDescent="0.25">
      <c r="A9" s="274"/>
      <c r="B9" s="7" t="s">
        <v>149</v>
      </c>
      <c r="C9" s="278">
        <f>Valoración!K42</f>
        <v>339496018.51391697</v>
      </c>
      <c r="D9" s="278">
        <f>D2+D4+D5-D6-D7</f>
        <v>318751557.74714005</v>
      </c>
      <c r="E9" s="278">
        <f>C9-D9</f>
        <v>20744460.766776919</v>
      </c>
      <c r="F9" s="279">
        <f>E9/D9</f>
        <v>6.5080343178222616E-2</v>
      </c>
    </row>
    <row r="10" spans="1:6" ht="6.75" customHeight="1" x14ac:dyDescent="0.25">
      <c r="A10" s="274"/>
      <c r="B10" s="280"/>
      <c r="C10" s="281"/>
      <c r="D10" s="281"/>
      <c r="E10" s="281"/>
      <c r="F10" s="282"/>
    </row>
    <row r="11" spans="1:6" x14ac:dyDescent="0.25">
      <c r="A11" s="274"/>
      <c r="B11" s="7" t="s">
        <v>326</v>
      </c>
      <c r="C11" s="278">
        <f>Valoración!K44</f>
        <v>25519915.711691137</v>
      </c>
      <c r="D11" s="278">
        <v>23960554.595852517</v>
      </c>
      <c r="E11" s="283">
        <f>C11-D11</f>
        <v>1559361.1158386208</v>
      </c>
      <c r="F11" s="284">
        <f>E11/D11</f>
        <v>6.5080343178222616E-2</v>
      </c>
    </row>
    <row r="12" spans="1:6" x14ac:dyDescent="0.25">
      <c r="A12" s="274"/>
      <c r="B12" s="274"/>
      <c r="C12" s="274"/>
      <c r="D12" s="274"/>
      <c r="E12" s="274"/>
      <c r="F12" s="274"/>
    </row>
    <row r="13" spans="1:6" x14ac:dyDescent="0.25">
      <c r="A13" s="274"/>
      <c r="E13" s="220"/>
      <c r="F13" s="274"/>
    </row>
    <row r="14" spans="1:6" x14ac:dyDescent="0.25">
      <c r="A14" s="274"/>
      <c r="E14" s="28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Z28"/>
  <sheetViews>
    <sheetView showGridLines="0" zoomScale="90" zoomScaleNormal="90" workbookViewId="0">
      <selection activeCell="O15" sqref="O15"/>
    </sheetView>
  </sheetViews>
  <sheetFormatPr baseColWidth="10" defaultColWidth="11.42578125" defaultRowHeight="15" outlineLevelRow="1" outlineLevelCol="1" x14ac:dyDescent="0.25"/>
  <cols>
    <col min="1" max="1" width="30.5703125" customWidth="1"/>
    <col min="2" max="6" width="0.85546875" hidden="1" customWidth="1" outlineLevel="1"/>
    <col min="7" max="9" width="11.42578125" hidden="1" customWidth="1" outlineLevel="1"/>
    <col min="10" max="10" width="10" hidden="1" customWidth="1" outlineLevel="1" collapsed="1"/>
    <col min="11" max="12" width="10" customWidth="1" collapsed="1"/>
    <col min="13" max="26" width="9.5703125" customWidth="1"/>
  </cols>
  <sheetData>
    <row r="3" spans="1:26" x14ac:dyDescent="0.25">
      <c r="A3" s="70" t="s">
        <v>107</v>
      </c>
      <c r="B3" s="71"/>
      <c r="C3" s="71"/>
      <c r="D3" s="71"/>
      <c r="E3" s="71"/>
      <c r="F3" s="71"/>
      <c r="G3" s="71">
        <f>EEFF!G65</f>
        <v>0</v>
      </c>
      <c r="H3" s="71">
        <f>EEFF!H65</f>
        <v>0</v>
      </c>
      <c r="I3" s="71">
        <f>EEFF!I65</f>
        <v>0</v>
      </c>
      <c r="J3" s="71" t="str">
        <f>EEFF!J1</f>
        <v>REAL 2018</v>
      </c>
      <c r="K3" s="71" t="str">
        <f>EEFF!K1</f>
        <v>REAL 2019</v>
      </c>
      <c r="L3" s="190" t="str">
        <f>EEFF!L1</f>
        <v>REAL 2020</v>
      </c>
      <c r="M3" s="190" t="str">
        <f>EEFF!M1</f>
        <v>REAL 2021</v>
      </c>
      <c r="N3" s="190" t="str">
        <f>EEFF!N1</f>
        <v>REAL 2022</v>
      </c>
      <c r="O3" s="190" t="str">
        <f>EEFF!O1</f>
        <v>REAL 2023</v>
      </c>
      <c r="P3" s="190" t="str">
        <f>EEFF!P1</f>
        <v>LBE 2024</v>
      </c>
      <c r="Q3" s="190" t="str">
        <f>EEFF!Q1</f>
        <v>PRY 2025</v>
      </c>
      <c r="R3" s="190" t="str">
        <f>EEFF!R1</f>
        <v>PRY 2026</v>
      </c>
      <c r="S3" s="190" t="str">
        <f>EEFF!S1</f>
        <v>PRY 2027</v>
      </c>
      <c r="T3" s="190" t="str">
        <f>EEFF!T1</f>
        <v>PRY 2028</v>
      </c>
      <c r="U3" s="190" t="str">
        <f>EEFF!U1</f>
        <v>PRY 2029</v>
      </c>
      <c r="V3" s="190" t="str">
        <f>EEFF!V1</f>
        <v>PRY 2030</v>
      </c>
      <c r="W3" s="190" t="str">
        <f>EEFF!W1</f>
        <v>PRY 2031</v>
      </c>
      <c r="X3" s="190" t="str">
        <f>EEFF!X1</f>
        <v>PRY 2032</v>
      </c>
      <c r="Y3" s="190" t="str">
        <f>EEFF!Y1</f>
        <v>PRY 2033</v>
      </c>
      <c r="Z3" s="224" t="str">
        <f>EEFF!Z1</f>
        <v>PRY 2034</v>
      </c>
    </row>
    <row r="4" spans="1:26" ht="5.25" customHeight="1" x14ac:dyDescent="0.25">
      <c r="A4" s="74"/>
      <c r="B4" s="1"/>
      <c r="C4" s="1"/>
      <c r="D4" s="1"/>
      <c r="E4" s="1"/>
      <c r="F4" s="1"/>
      <c r="G4" s="1"/>
      <c r="H4" s="1"/>
      <c r="I4" s="1"/>
      <c r="J4" s="1"/>
      <c r="K4" s="1"/>
      <c r="L4" s="1"/>
      <c r="M4" s="1"/>
      <c r="N4" s="1"/>
      <c r="O4" s="1"/>
      <c r="P4" s="1"/>
      <c r="Q4" s="1"/>
      <c r="R4" s="1"/>
      <c r="S4" s="1"/>
      <c r="T4" s="1"/>
      <c r="U4" s="1"/>
      <c r="V4" s="1"/>
      <c r="W4" s="1"/>
      <c r="X4" s="1"/>
      <c r="Y4" s="1"/>
      <c r="Z4" s="75"/>
    </row>
    <row r="5" spans="1:26" x14ac:dyDescent="0.25">
      <c r="A5" s="74" t="str">
        <f>EEFF!E66</f>
        <v>Cartera</v>
      </c>
      <c r="B5" s="1">
        <f>EEFF!F66</f>
        <v>0</v>
      </c>
      <c r="C5" s="1"/>
      <c r="D5" s="1"/>
      <c r="E5" s="1"/>
      <c r="F5" s="1"/>
      <c r="G5" s="102">
        <f>EEFF!G66</f>
        <v>0</v>
      </c>
      <c r="H5" s="103">
        <f>EEFF!H66</f>
        <v>0</v>
      </c>
      <c r="I5" s="103">
        <f>EEFF!I66</f>
        <v>0</v>
      </c>
      <c r="J5" s="103">
        <f>EEFF!J66</f>
        <v>50.844482817587057</v>
      </c>
      <c r="K5" s="103">
        <f>EEFF!K66</f>
        <v>40.437065048367202</v>
      </c>
      <c r="L5" s="103">
        <f>EEFF!L66</f>
        <v>38.334444408081453</v>
      </c>
      <c r="M5" s="102">
        <f>EEFF!M66</f>
        <v>39.489619935474792</v>
      </c>
      <c r="N5" s="102">
        <f>EEFF!N66</f>
        <v>40.353001200064476</v>
      </c>
      <c r="O5" s="102">
        <f>EEFF!O66</f>
        <v>45.60332493634823</v>
      </c>
      <c r="P5" s="102">
        <f>EEFF!P66</f>
        <v>47.455578498630203</v>
      </c>
      <c r="Q5" s="102">
        <f>EEFF!Q66</f>
        <v>44.470634878347632</v>
      </c>
      <c r="R5" s="102">
        <f>EEFF!R66</f>
        <v>44.470634878347632</v>
      </c>
      <c r="S5" s="102">
        <f>EEFF!S66</f>
        <v>44.470634878347632</v>
      </c>
      <c r="T5" s="102">
        <f>EEFF!T66</f>
        <v>44.470634878347632</v>
      </c>
      <c r="U5" s="102">
        <f>EEFF!U66</f>
        <v>44.470634878347632</v>
      </c>
      <c r="V5" s="102">
        <f>EEFF!V66</f>
        <v>44.470634878347632</v>
      </c>
      <c r="W5" s="102">
        <f>EEFF!W66</f>
        <v>44.470634878347632</v>
      </c>
      <c r="X5" s="102">
        <f>EEFF!X66</f>
        <v>44.470634878347632</v>
      </c>
      <c r="Y5" s="102">
        <f>EEFF!Y66</f>
        <v>44.470634878347632</v>
      </c>
      <c r="Z5" s="104">
        <f>EEFF!Z66</f>
        <v>44.470634878347632</v>
      </c>
    </row>
    <row r="6" spans="1:26" x14ac:dyDescent="0.25">
      <c r="A6" s="74" t="str">
        <f>EEFF!E67</f>
        <v>Inventario</v>
      </c>
      <c r="B6" s="1">
        <f>EEFF!F67</f>
        <v>0</v>
      </c>
      <c r="C6" s="1"/>
      <c r="D6" s="1"/>
      <c r="E6" s="1"/>
      <c r="F6" s="1"/>
      <c r="G6" s="102">
        <f>EEFF!G67</f>
        <v>0</v>
      </c>
      <c r="H6" s="103">
        <f>EEFF!H67</f>
        <v>0</v>
      </c>
      <c r="I6" s="103">
        <f>EEFF!I67</f>
        <v>0</v>
      </c>
      <c r="J6" s="103">
        <f>EEFF!J67</f>
        <v>23.98974146098087</v>
      </c>
      <c r="K6" s="103">
        <f>EEFF!K67</f>
        <v>25.809638745727074</v>
      </c>
      <c r="L6" s="103">
        <f>EEFF!L67</f>
        <v>25.333549933453224</v>
      </c>
      <c r="M6" s="102">
        <f>EEFF!M67</f>
        <v>25.578712528683777</v>
      </c>
      <c r="N6" s="102">
        <f>EEFF!N67</f>
        <v>20.859395238893043</v>
      </c>
      <c r="O6" s="102">
        <f>EEFF!O67</f>
        <v>18.131501994692368</v>
      </c>
      <c r="P6" s="102">
        <f>EEFF!P67</f>
        <v>16.917949648139775</v>
      </c>
      <c r="Q6" s="102">
        <f>EEFF!Q67</f>
        <v>17.524725821416069</v>
      </c>
      <c r="R6" s="102">
        <f>EEFF!R67</f>
        <v>17.524725821416069</v>
      </c>
      <c r="S6" s="102">
        <f>EEFF!S67</f>
        <v>17.524725821416069</v>
      </c>
      <c r="T6" s="102">
        <f>EEFF!T67</f>
        <v>17.524725821416069</v>
      </c>
      <c r="U6" s="102">
        <f>EEFF!U67</f>
        <v>17.524725821416069</v>
      </c>
      <c r="V6" s="102">
        <f>EEFF!V67</f>
        <v>17.524725821416069</v>
      </c>
      <c r="W6" s="102">
        <f>EEFF!W67</f>
        <v>17.524725821416069</v>
      </c>
      <c r="X6" s="102">
        <f>EEFF!X67</f>
        <v>17.524725821416069</v>
      </c>
      <c r="Y6" s="102">
        <f>EEFF!Y67</f>
        <v>17.524725821416069</v>
      </c>
      <c r="Z6" s="104">
        <f>EEFF!Z67</f>
        <v>17.524725821416069</v>
      </c>
    </row>
    <row r="7" spans="1:26" x14ac:dyDescent="0.25">
      <c r="A7" s="105" t="str">
        <f>EEFF!E68</f>
        <v>Proveedores</v>
      </c>
      <c r="B7" s="21">
        <f>EEFF!F68</f>
        <v>0</v>
      </c>
      <c r="C7" s="21"/>
      <c r="D7" s="21"/>
      <c r="E7" s="21"/>
      <c r="F7" s="21"/>
      <c r="G7" s="106">
        <f>EEFF!G68</f>
        <v>0</v>
      </c>
      <c r="H7" s="107">
        <f>EEFF!H68</f>
        <v>0</v>
      </c>
      <c r="I7" s="107">
        <f>EEFF!I68</f>
        <v>0</v>
      </c>
      <c r="J7" s="107">
        <f>EEFF!J68</f>
        <v>32.522228033329874</v>
      </c>
      <c r="K7" s="107">
        <f>EEFF!K68</f>
        <v>41.084495933999499</v>
      </c>
      <c r="L7" s="107">
        <f>EEFF!L68</f>
        <v>53.059804253146901</v>
      </c>
      <c r="M7" s="106">
        <f>EEFF!M68</f>
        <v>50.613264402641711</v>
      </c>
      <c r="N7" s="106">
        <f>EEFF!N68</f>
        <v>54.061996527983148</v>
      </c>
      <c r="O7" s="106">
        <f>EEFF!O68</f>
        <v>47.66552107227286</v>
      </c>
      <c r="P7" s="106">
        <f>EEFF!P68</f>
        <v>34.074942267110444</v>
      </c>
      <c r="Q7" s="106">
        <f>EEFF!Q68</f>
        <v>34.074942267110444</v>
      </c>
      <c r="R7" s="106">
        <f>EEFF!R68</f>
        <v>35.074942267110444</v>
      </c>
      <c r="S7" s="106">
        <f>EEFF!S68</f>
        <v>36.074942267110444</v>
      </c>
      <c r="T7" s="106">
        <f>EEFF!T68</f>
        <v>37.074942267110444</v>
      </c>
      <c r="U7" s="106">
        <f>EEFF!U68</f>
        <v>38.074942267110444</v>
      </c>
      <c r="V7" s="106">
        <f>EEFF!V68</f>
        <v>39.074942267110444</v>
      </c>
      <c r="W7" s="106">
        <f>EEFF!W68</f>
        <v>40.074942267110444</v>
      </c>
      <c r="X7" s="106">
        <f>EEFF!X68</f>
        <v>41.074942267110444</v>
      </c>
      <c r="Y7" s="106">
        <f>EEFF!Y68</f>
        <v>42.074942267110444</v>
      </c>
      <c r="Z7" s="108">
        <f>EEFF!Z68</f>
        <v>43.074942267110444</v>
      </c>
    </row>
    <row r="8" spans="1:26" x14ac:dyDescent="0.25">
      <c r="A8" s="105" t="str">
        <f>EEFF!E70</f>
        <v>Política de Caja Mínima (Días Gasto)</v>
      </c>
      <c r="B8" s="21"/>
      <c r="C8" s="21"/>
      <c r="D8" s="21"/>
      <c r="E8" s="21"/>
      <c r="F8" s="21"/>
      <c r="G8" s="106"/>
      <c r="H8" s="107">
        <f>EEFF!H70</f>
        <v>0</v>
      </c>
      <c r="I8" s="107">
        <f>EEFF!I70</f>
        <v>0</v>
      </c>
      <c r="J8" s="107">
        <f>EEFF!J70</f>
        <v>6.3143853334160873</v>
      </c>
      <c r="K8" s="107">
        <f>EEFF!K70</f>
        <v>10</v>
      </c>
      <c r="L8" s="107">
        <f>EEFF!L70</f>
        <v>10</v>
      </c>
      <c r="M8" s="106">
        <f>EEFF!M70</f>
        <v>10</v>
      </c>
      <c r="N8" s="106">
        <f>EEFF!N70</f>
        <v>10</v>
      </c>
      <c r="O8" s="106">
        <f>EEFF!O70</f>
        <v>10</v>
      </c>
      <c r="P8" s="106">
        <f>EEFF!P70</f>
        <v>10</v>
      </c>
      <c r="Q8" s="106">
        <f>EEFF!Q70</f>
        <v>10</v>
      </c>
      <c r="R8" s="106">
        <f>EEFF!R70</f>
        <v>10</v>
      </c>
      <c r="S8" s="106">
        <f>EEFF!S70</f>
        <v>10</v>
      </c>
      <c r="T8" s="106">
        <f>EEFF!T70</f>
        <v>10</v>
      </c>
      <c r="U8" s="106">
        <f>EEFF!U70</f>
        <v>10</v>
      </c>
      <c r="V8" s="106">
        <f>EEFF!V70</f>
        <v>10</v>
      </c>
      <c r="W8" s="106">
        <f>EEFF!W70</f>
        <v>10</v>
      </c>
      <c r="X8" s="106">
        <f>EEFF!X70</f>
        <v>10</v>
      </c>
      <c r="Y8" s="106">
        <f>EEFF!Y70</f>
        <v>10</v>
      </c>
      <c r="Z8" s="108">
        <f>EEFF!Z70</f>
        <v>10</v>
      </c>
    </row>
    <row r="11" spans="1:26" hidden="1" outlineLevel="1" x14ac:dyDescent="0.25"/>
    <row r="12" spans="1:26" hidden="1" outlineLevel="1" x14ac:dyDescent="0.25"/>
    <row r="13" spans="1:26" ht="4.5" customHeight="1" collapsed="1" x14ac:dyDescent="0.25"/>
    <row r="18" spans="1:26" ht="4.5" customHeight="1" x14ac:dyDescent="0.25"/>
    <row r="20" spans="1:26" ht="4.5" customHeight="1" x14ac:dyDescent="0.25"/>
    <row r="25" spans="1:26" x14ac:dyDescent="0.25">
      <c r="A25" s="70" t="s">
        <v>320</v>
      </c>
      <c r="B25" s="71"/>
      <c r="C25" s="71">
        <v>25332713.579539966</v>
      </c>
      <c r="D25" s="71">
        <v>24744585.228687465</v>
      </c>
      <c r="E25" s="71">
        <v>32283758.529882774</v>
      </c>
      <c r="F25" s="71">
        <v>25471204.718627889</v>
      </c>
      <c r="G25" s="71"/>
      <c r="H25" s="71"/>
      <c r="I25" s="71"/>
      <c r="J25" s="71"/>
      <c r="K25" s="71"/>
      <c r="L25" s="71" t="str">
        <f t="shared" ref="L25:X25" si="0">L3</f>
        <v>REAL 2020</v>
      </c>
      <c r="M25" s="71" t="str">
        <f t="shared" si="0"/>
        <v>REAL 2021</v>
      </c>
      <c r="N25" s="71" t="str">
        <f t="shared" si="0"/>
        <v>REAL 2022</v>
      </c>
      <c r="O25" s="71" t="str">
        <f t="shared" si="0"/>
        <v>REAL 2023</v>
      </c>
      <c r="P25" s="71" t="str">
        <f t="shared" si="0"/>
        <v>LBE 2024</v>
      </c>
      <c r="Q25" s="71" t="str">
        <f t="shared" si="0"/>
        <v>PRY 2025</v>
      </c>
      <c r="R25" s="71" t="str">
        <f t="shared" si="0"/>
        <v>PRY 2026</v>
      </c>
      <c r="S25" s="71" t="str">
        <f t="shared" si="0"/>
        <v>PRY 2027</v>
      </c>
      <c r="T25" s="71" t="str">
        <f t="shared" si="0"/>
        <v>PRY 2028</v>
      </c>
      <c r="U25" s="71" t="str">
        <f t="shared" si="0"/>
        <v>PRY 2029</v>
      </c>
      <c r="V25" s="71" t="str">
        <f t="shared" si="0"/>
        <v>PRY 2030</v>
      </c>
      <c r="W25" s="71" t="str">
        <f t="shared" si="0"/>
        <v>PRY 2031</v>
      </c>
      <c r="X25" s="71" t="str">
        <f t="shared" si="0"/>
        <v>PRY 2032</v>
      </c>
      <c r="Y25" s="71" t="str">
        <f t="shared" ref="Y25:Z25" si="1">Y3</f>
        <v>PRY 2033</v>
      </c>
      <c r="Z25" s="266" t="str">
        <f t="shared" si="1"/>
        <v>PRY 2034</v>
      </c>
    </row>
    <row r="26" spans="1:26" x14ac:dyDescent="0.25">
      <c r="A26" s="74" t="s">
        <v>0</v>
      </c>
      <c r="B26" s="1"/>
      <c r="C26" s="1"/>
      <c r="D26" s="1"/>
      <c r="E26" s="1"/>
      <c r="F26" s="1"/>
      <c r="G26" s="1"/>
      <c r="H26" s="267"/>
      <c r="I26" s="268"/>
      <c r="J26" s="268"/>
      <c r="K26" s="268"/>
      <c r="L26" s="268">
        <f>Macros!L4</f>
        <v>1.61E-2</v>
      </c>
      <c r="M26" s="268">
        <f>Macros!M4</f>
        <v>5.62E-2</v>
      </c>
      <c r="N26" s="268">
        <f>Macros!N4</f>
        <v>0.13120000000000001</v>
      </c>
      <c r="O26" s="268">
        <f>Macros!O4</f>
        <v>9.2799999999999994E-2</v>
      </c>
      <c r="P26" s="268">
        <f>Macros!P4</f>
        <v>5.1999999999999998E-2</v>
      </c>
      <c r="Q26" s="268">
        <f>Macros!Q4</f>
        <v>4.3502510000000001E-2</v>
      </c>
      <c r="R26" s="268">
        <f>Macros!R4</f>
        <v>3.9375609999999998E-2</v>
      </c>
      <c r="S26" s="268">
        <f>Macros!S4</f>
        <v>3.7012610000000001E-2</v>
      </c>
      <c r="T26" s="268">
        <f>Macros!T4</f>
        <v>3.6395860000000002E-2</v>
      </c>
      <c r="U26" s="268">
        <f>Macros!U4</f>
        <v>3.559586E-2</v>
      </c>
      <c r="V26" s="268">
        <f>Macros!V4</f>
        <v>3.3000000000000002E-2</v>
      </c>
      <c r="W26" s="268">
        <f>Macros!W4</f>
        <v>0.03</v>
      </c>
      <c r="X26" s="268">
        <f>Macros!X4</f>
        <v>0.03</v>
      </c>
      <c r="Y26" s="268">
        <f>Macros!Y4</f>
        <v>0.03</v>
      </c>
      <c r="Z26" s="269">
        <f>Macros!Z4</f>
        <v>0.03</v>
      </c>
    </row>
    <row r="27" spans="1:26" x14ac:dyDescent="0.25">
      <c r="A27" s="74" t="s">
        <v>3</v>
      </c>
      <c r="B27" s="1"/>
      <c r="C27" s="1"/>
      <c r="D27" s="1">
        <v>0</v>
      </c>
      <c r="E27" s="1">
        <v>0</v>
      </c>
      <c r="F27" s="1">
        <v>0</v>
      </c>
      <c r="G27" s="1"/>
      <c r="H27" s="267"/>
      <c r="I27" s="98"/>
      <c r="J27" s="98"/>
      <c r="K27" s="98"/>
      <c r="L27" s="98">
        <f>Macros!L8</f>
        <v>3693.3608743169475</v>
      </c>
      <c r="M27" s="98">
        <f>Macros!M8</f>
        <v>3743.0876164383499</v>
      </c>
      <c r="N27" s="98">
        <f>Macros!N8</f>
        <v>4255.4398630137002</v>
      </c>
      <c r="O27" s="98">
        <f>Macros!O8</f>
        <v>4325.05</v>
      </c>
      <c r="P27" s="98">
        <f>Macros!P8</f>
        <v>4055.0251933011991</v>
      </c>
      <c r="Q27" s="98">
        <f>Macros!Q8</f>
        <v>4254.5686753583332</v>
      </c>
      <c r="R27" s="98">
        <f>Macros!R8</f>
        <v>4312.5173923724997</v>
      </c>
      <c r="S27" s="98">
        <f>Macros!S8</f>
        <v>4437.5</v>
      </c>
      <c r="T27" s="98">
        <f>Macros!T8</f>
        <v>4526.25</v>
      </c>
      <c r="U27" s="98">
        <f>Macros!U8</f>
        <v>4621.2499999991669</v>
      </c>
      <c r="V27" s="98">
        <f>Macros!V8</f>
        <v>4680.1482843128815</v>
      </c>
      <c r="W27" s="98">
        <f>Macros!W8</f>
        <v>4726.0320910218315</v>
      </c>
      <c r="X27" s="98">
        <f>Macros!X8</f>
        <v>4772.3657389730261</v>
      </c>
      <c r="Y27" s="98">
        <f>Macros!Y8</f>
        <v>4819.1536383747225</v>
      </c>
      <c r="Z27" s="99">
        <f>Macros!Z8</f>
        <v>4866.4002426725137</v>
      </c>
    </row>
    <row r="28" spans="1:26" x14ac:dyDescent="0.25">
      <c r="A28" s="105" t="s">
        <v>21</v>
      </c>
      <c r="B28" s="21"/>
      <c r="C28" s="106"/>
      <c r="D28" s="107"/>
      <c r="E28" s="107"/>
      <c r="F28" s="107"/>
      <c r="G28" s="106"/>
      <c r="H28" s="270"/>
      <c r="I28" s="271"/>
      <c r="J28" s="271"/>
      <c r="K28" s="271"/>
      <c r="L28" s="271">
        <f>Macros!L12</f>
        <v>12.88</v>
      </c>
      <c r="M28" s="271">
        <f>Macros!M12</f>
        <v>17.855408253423416</v>
      </c>
      <c r="N28" s="271">
        <f>Macros!N12</f>
        <v>18.820559310413717</v>
      </c>
      <c r="O28" s="271">
        <f>Macros!O12</f>
        <v>24.054359209948455</v>
      </c>
      <c r="P28" s="271">
        <f>Macros!P12</f>
        <v>23</v>
      </c>
      <c r="Q28" s="271">
        <f>Macros!Q12</f>
        <v>18</v>
      </c>
      <c r="R28" s="271">
        <f>Macros!R12</f>
        <v>18</v>
      </c>
      <c r="S28" s="271">
        <f>Macros!S12</f>
        <v>16.5</v>
      </c>
      <c r="T28" s="271">
        <f>Macros!T12</f>
        <v>16.5</v>
      </c>
      <c r="U28" s="271">
        <f>Macros!U12</f>
        <v>16.5</v>
      </c>
      <c r="V28" s="271">
        <f>Macros!V12</f>
        <v>16.5</v>
      </c>
      <c r="W28" s="271">
        <f>Macros!W12</f>
        <v>16.5</v>
      </c>
      <c r="X28" s="271">
        <f>Macros!X12</f>
        <v>16.5</v>
      </c>
      <c r="Y28" s="271">
        <f>Macros!Y12</f>
        <v>16.5</v>
      </c>
      <c r="Z28" s="272">
        <f>Macros!Z12</f>
        <v>16.5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1:AG135"/>
  <sheetViews>
    <sheetView showGridLines="0" tabSelected="1" zoomScaleNormal="100" workbookViewId="0">
      <pane xSplit="6" ySplit="2" topLeftCell="K53" activePane="bottomRight" state="frozen"/>
      <selection pane="topRight" activeCell="G1" sqref="G1"/>
      <selection pane="bottomLeft" activeCell="A3" sqref="A3"/>
      <selection pane="bottomRight" activeCell="Q68" sqref="Q68"/>
    </sheetView>
  </sheetViews>
  <sheetFormatPr baseColWidth="10" defaultColWidth="11.42578125" defaultRowHeight="12.75" outlineLevelRow="1" outlineLevelCol="1" x14ac:dyDescent="0.25"/>
  <cols>
    <col min="1" max="3" width="1.42578125" style="1" customWidth="1"/>
    <col min="4" max="4" width="12" style="1" bestFit="1" customWidth="1"/>
    <col min="5" max="5" width="27.85546875" style="1" customWidth="1"/>
    <col min="6" max="6" width="5.5703125" style="1" hidden="1" customWidth="1"/>
    <col min="7" max="10" width="12.5703125" style="1" hidden="1" customWidth="1" outlineLevel="1"/>
    <col min="11" max="11" width="14" style="1" bestFit="1" customWidth="1" collapsed="1"/>
    <col min="12" max="13" width="12.5703125" style="1" customWidth="1"/>
    <col min="14" max="15" width="11.7109375" style="1" customWidth="1"/>
    <col min="16" max="20" width="12.5703125" style="1" bestFit="1" customWidth="1"/>
    <col min="21" max="26" width="13.42578125" style="1" bestFit="1" customWidth="1"/>
    <col min="27" max="28" width="11.42578125" style="1"/>
    <col min="29" max="29" width="15.85546875" style="1" bestFit="1" customWidth="1"/>
    <col min="30" max="30" width="14.42578125" style="1" bestFit="1" customWidth="1"/>
    <col min="31" max="16384" width="11.42578125" style="1"/>
  </cols>
  <sheetData>
    <row r="1" spans="4:33" x14ac:dyDescent="0.25">
      <c r="G1" s="123" t="s">
        <v>5</v>
      </c>
      <c r="H1" s="123" t="s">
        <v>6</v>
      </c>
      <c r="I1" s="123" t="s">
        <v>7</v>
      </c>
      <c r="J1" s="123" t="s">
        <v>8</v>
      </c>
      <c r="K1" s="123" t="s">
        <v>9</v>
      </c>
      <c r="L1" s="123" t="s">
        <v>10</v>
      </c>
      <c r="M1" s="123" t="s">
        <v>11</v>
      </c>
      <c r="N1" s="123" t="s">
        <v>316</v>
      </c>
      <c r="O1" s="123" t="s">
        <v>330</v>
      </c>
      <c r="P1" s="123" t="s">
        <v>331</v>
      </c>
      <c r="Q1" s="123" t="s">
        <v>12</v>
      </c>
      <c r="R1" s="123" t="s">
        <v>13</v>
      </c>
      <c r="S1" s="123" t="s">
        <v>14</v>
      </c>
      <c r="T1" s="123" t="s">
        <v>15</v>
      </c>
      <c r="U1" s="123" t="s">
        <v>16</v>
      </c>
      <c r="V1" s="123" t="s">
        <v>17</v>
      </c>
      <c r="W1" s="123" t="s">
        <v>18</v>
      </c>
      <c r="X1" s="123" t="s">
        <v>19</v>
      </c>
      <c r="Y1" s="123" t="s">
        <v>318</v>
      </c>
      <c r="Z1" s="123" t="s">
        <v>332</v>
      </c>
    </row>
    <row r="2" spans="4:33" x14ac:dyDescent="0.25">
      <c r="E2" s="121" t="s">
        <v>346</v>
      </c>
      <c r="F2" s="122"/>
      <c r="G2" s="123">
        <v>2015</v>
      </c>
      <c r="H2" s="123">
        <v>2016</v>
      </c>
      <c r="I2" s="123">
        <v>2017</v>
      </c>
      <c r="J2" s="123">
        <v>2018</v>
      </c>
      <c r="K2" s="123">
        <v>2019</v>
      </c>
      <c r="L2" s="123">
        <v>2020</v>
      </c>
      <c r="M2" s="123">
        <v>2021</v>
      </c>
      <c r="N2" s="123">
        <v>2022</v>
      </c>
      <c r="O2" s="123">
        <v>2023</v>
      </c>
      <c r="P2" s="123">
        <v>2024</v>
      </c>
      <c r="Q2" s="123">
        <v>2025</v>
      </c>
      <c r="R2" s="123">
        <v>2026</v>
      </c>
      <c r="S2" s="123">
        <v>2027</v>
      </c>
      <c r="T2" s="123">
        <v>2028</v>
      </c>
      <c r="U2" s="123">
        <v>2029</v>
      </c>
      <c r="V2" s="123">
        <v>2030</v>
      </c>
      <c r="W2" s="123">
        <v>2031</v>
      </c>
      <c r="X2" s="123">
        <v>2032</v>
      </c>
      <c r="Y2" s="123">
        <v>2033</v>
      </c>
      <c r="Z2" s="123">
        <v>2034</v>
      </c>
    </row>
    <row r="4" spans="4:33" x14ac:dyDescent="0.25">
      <c r="E4" s="1" t="s">
        <v>20</v>
      </c>
      <c r="K4" s="29">
        <f>K5/J5-1</f>
        <v>8.0526117426489296E-3</v>
      </c>
      <c r="L4" s="29">
        <f>L5/K5-1</f>
        <v>4.2914979757085137E-2</v>
      </c>
      <c r="M4" s="29">
        <f>M5/L5-1</f>
        <v>0.38628946066951975</v>
      </c>
      <c r="N4" s="29">
        <f t="shared" ref="N4:Z4" si="0">N5/M5-1</f>
        <v>5.4053709850361509E-2</v>
      </c>
      <c r="O4" s="29">
        <f t="shared" si="0"/>
        <v>0.27808949846877251</v>
      </c>
      <c r="P4" s="29">
        <f>P5/O5-1</f>
        <v>-4.3832354906897297E-2</v>
      </c>
      <c r="Q4" s="29">
        <f>Q5/P5-1</f>
        <v>-0.21739130434782605</v>
      </c>
      <c r="R4" s="29">
        <f t="shared" si="0"/>
        <v>0</v>
      </c>
      <c r="S4" s="29">
        <f t="shared" si="0"/>
        <v>-8.333333333333337E-2</v>
      </c>
      <c r="T4" s="29">
        <f t="shared" si="0"/>
        <v>0</v>
      </c>
      <c r="U4" s="29">
        <f t="shared" si="0"/>
        <v>0</v>
      </c>
      <c r="V4" s="29">
        <f t="shared" si="0"/>
        <v>0</v>
      </c>
      <c r="W4" s="29">
        <f t="shared" si="0"/>
        <v>0</v>
      </c>
      <c r="X4" s="29">
        <f t="shared" si="0"/>
        <v>0</v>
      </c>
      <c r="Y4" s="29">
        <f t="shared" si="0"/>
        <v>0</v>
      </c>
      <c r="Z4" s="29">
        <f t="shared" si="0"/>
        <v>0</v>
      </c>
    </row>
    <row r="5" spans="4:33" x14ac:dyDescent="0.25">
      <c r="D5" s="218"/>
      <c r="E5" s="179" t="s">
        <v>21</v>
      </c>
      <c r="F5" s="180"/>
      <c r="G5" s="126">
        <v>13.141421850079746</v>
      </c>
      <c r="H5" s="126">
        <v>18.143677310866096</v>
      </c>
      <c r="I5" s="126">
        <v>15.834654959203014</v>
      </c>
      <c r="J5" s="126">
        <v>12.251344677982836</v>
      </c>
      <c r="K5" s="126">
        <f>Macros!K12</f>
        <v>12.35</v>
      </c>
      <c r="L5" s="126">
        <f>Macros!L12</f>
        <v>12.88</v>
      </c>
      <c r="M5" s="126">
        <f>Macros!M12</f>
        <v>17.855408253423416</v>
      </c>
      <c r="N5" s="126">
        <f>Macros!N12</f>
        <v>18.820559310413717</v>
      </c>
      <c r="O5" s="126">
        <f>Macros!O12</f>
        <v>24.054359209948455</v>
      </c>
      <c r="P5" s="126">
        <f>Macros!P12</f>
        <v>23</v>
      </c>
      <c r="Q5" s="126">
        <f>Macros!Q12</f>
        <v>18</v>
      </c>
      <c r="R5" s="126">
        <f>Macros!R12</f>
        <v>18</v>
      </c>
      <c r="S5" s="126">
        <f>Macros!S12</f>
        <v>16.5</v>
      </c>
      <c r="T5" s="126">
        <f>Macros!T12</f>
        <v>16.5</v>
      </c>
      <c r="U5" s="126">
        <f>Macros!U12</f>
        <v>16.5</v>
      </c>
      <c r="V5" s="126">
        <f>Macros!V12</f>
        <v>16.5</v>
      </c>
      <c r="W5" s="126">
        <f>Macros!W12</f>
        <v>16.5</v>
      </c>
      <c r="X5" s="126">
        <f>Macros!X12</f>
        <v>16.5</v>
      </c>
      <c r="Y5" s="126">
        <f>Macros!Y12</f>
        <v>16.5</v>
      </c>
      <c r="Z5" s="126">
        <f>Macros!Z12</f>
        <v>16.5</v>
      </c>
    </row>
    <row r="7" spans="4:33" x14ac:dyDescent="0.25">
      <c r="E7" s="1" t="s">
        <v>3</v>
      </c>
      <c r="I7" s="181">
        <f>Macros!I8</f>
        <v>2951.3226575342492</v>
      </c>
      <c r="J7" s="181">
        <f>Macros!J8</f>
        <v>2956.4302739726054</v>
      </c>
      <c r="K7" s="181">
        <f>Macros!K8</f>
        <v>3281.0921917808259</v>
      </c>
      <c r="L7" s="181">
        <f>Macros!L8</f>
        <v>3693.3608743169475</v>
      </c>
      <c r="M7" s="181">
        <f>Macros!M8</f>
        <v>3743.0876164383499</v>
      </c>
      <c r="N7" s="181">
        <f>Macros!N8</f>
        <v>4255.4398630137002</v>
      </c>
      <c r="O7" s="181">
        <f>Macros!O8</f>
        <v>4325.05</v>
      </c>
      <c r="P7" s="182">
        <f>Macros!P8</f>
        <v>4055.0251933011991</v>
      </c>
      <c r="Q7" s="182">
        <f>Macros!Q8</f>
        <v>4254.5686753583332</v>
      </c>
      <c r="R7" s="182">
        <f>Macros!R8</f>
        <v>4312.5173923724997</v>
      </c>
      <c r="S7" s="182">
        <f>Macros!S8</f>
        <v>4437.5</v>
      </c>
      <c r="T7" s="182">
        <f>Macros!T8</f>
        <v>4526.25</v>
      </c>
      <c r="U7" s="182">
        <f>Macros!U8</f>
        <v>4621.2499999991669</v>
      </c>
      <c r="V7" s="182">
        <f>Macros!V8</f>
        <v>4680.1482843128815</v>
      </c>
      <c r="W7" s="182">
        <f>Macros!W8</f>
        <v>4726.0320910218315</v>
      </c>
      <c r="X7" s="182">
        <f>Macros!X8</f>
        <v>4772.3657389730261</v>
      </c>
      <c r="Y7" s="182">
        <f>Macros!Y8</f>
        <v>4819.1536383747225</v>
      </c>
      <c r="Z7" s="182">
        <f>Macros!Z8</f>
        <v>4866.4002426725137</v>
      </c>
    </row>
    <row r="8" spans="4:33" x14ac:dyDescent="0.25">
      <c r="J8" s="31">
        <f>J7/I7-1</f>
        <v>1.7306194649091555E-3</v>
      </c>
      <c r="K8" s="31">
        <f>K7/J7-1</f>
        <v>0.1098155165932484</v>
      </c>
      <c r="L8" s="31">
        <f>L7/K7-1</f>
        <v>0.12564983195804724</v>
      </c>
      <c r="M8" s="31">
        <f t="shared" ref="M8:Z8" si="1">M7/L7-1</f>
        <v>1.3463818947992312E-2</v>
      </c>
      <c r="N8" s="31">
        <f t="shared" si="1"/>
        <v>0.13687957618872604</v>
      </c>
      <c r="O8" s="31">
        <f t="shared" si="1"/>
        <v>1.635791815349541E-2</v>
      </c>
      <c r="P8" s="31">
        <f>P7/O7-1</f>
        <v>-6.2432759551635519E-2</v>
      </c>
      <c r="Q8" s="31">
        <f t="shared" si="1"/>
        <v>4.9208937687187371E-2</v>
      </c>
      <c r="R8" s="31">
        <f t="shared" si="1"/>
        <v>1.3620350600942244E-2</v>
      </c>
      <c r="S8" s="31">
        <f t="shared" si="1"/>
        <v>2.8981357350246428E-2</v>
      </c>
      <c r="T8" s="31">
        <f t="shared" si="1"/>
        <v>2.0000000000000018E-2</v>
      </c>
      <c r="U8" s="31">
        <f t="shared" si="1"/>
        <v>2.0988677160821201E-2</v>
      </c>
      <c r="V8" s="31">
        <f t="shared" si="1"/>
        <v>1.2745098039215641E-2</v>
      </c>
      <c r="W8" s="31">
        <f t="shared" si="1"/>
        <v>9.8039215686274161E-3</v>
      </c>
      <c r="X8" s="31">
        <f t="shared" si="1"/>
        <v>9.8039215686274161E-3</v>
      </c>
      <c r="Y8" s="31">
        <f t="shared" si="1"/>
        <v>9.8039215686274161E-3</v>
      </c>
      <c r="Z8" s="31">
        <f t="shared" si="1"/>
        <v>9.8039215686274161E-3</v>
      </c>
    </row>
    <row r="9" spans="4:33" x14ac:dyDescent="0.25">
      <c r="AC9" s="198">
        <v>202158476</v>
      </c>
      <c r="AD9" s="198">
        <v>146810254</v>
      </c>
      <c r="AE9" s="225">
        <f>(AC9+AC12)/AC14</f>
        <v>0.45729546156058776</v>
      </c>
      <c r="AF9" s="225">
        <f>(AD9+AD12)/AD14</f>
        <v>0.37814651011494577</v>
      </c>
      <c r="AG9" s="13">
        <f>AVERAGE(AE9:AF9)</f>
        <v>0.41772098583776673</v>
      </c>
    </row>
    <row r="10" spans="4:33" x14ac:dyDescent="0.25">
      <c r="AC10" s="198">
        <v>116970073</v>
      </c>
      <c r="AD10" s="198">
        <v>128838071</v>
      </c>
      <c r="AE10" s="225">
        <f>(AC10+AC11)/AC14</f>
        <v>0.28775215620181455</v>
      </c>
      <c r="AF10" s="225">
        <f>(AD10+AD11)/AD14</f>
        <v>0.36753980149696486</v>
      </c>
      <c r="AG10" s="13">
        <f>AVERAGE(AE10:AF10)</f>
        <v>0.32764597884938973</v>
      </c>
    </row>
    <row r="11" spans="4:33" x14ac:dyDescent="0.25">
      <c r="E11" s="23" t="s">
        <v>22</v>
      </c>
      <c r="AC11" s="198">
        <v>8943576</v>
      </c>
      <c r="AD11" s="198">
        <v>12218030</v>
      </c>
    </row>
    <row r="12" spans="4:33" x14ac:dyDescent="0.25">
      <c r="E12" s="3" t="s">
        <v>23</v>
      </c>
      <c r="J12" s="15">
        <f t="shared" ref="J12:K14" si="2">K12</f>
        <v>0.37814651011494577</v>
      </c>
      <c r="K12" s="15">
        <f t="shared" si="2"/>
        <v>0.37814651011494577</v>
      </c>
      <c r="L12" s="226">
        <f>AF9</f>
        <v>0.37814651011494577</v>
      </c>
      <c r="M12" s="226">
        <f>(202158476-2056621)/437691547</f>
        <v>0.45717550720713368</v>
      </c>
      <c r="N12" s="226">
        <f>(261919507-2076691)/530076470</f>
        <v>0.49019873679735304</v>
      </c>
      <c r="O12" s="226">
        <f>N12</f>
        <v>0.49019873679735304</v>
      </c>
      <c r="P12" s="183">
        <f t="shared" ref="P12:Z12" si="3">O12</f>
        <v>0.49019873679735304</v>
      </c>
      <c r="Q12" s="183">
        <f t="shared" si="3"/>
        <v>0.49019873679735304</v>
      </c>
      <c r="R12" s="183">
        <f t="shared" si="3"/>
        <v>0.49019873679735304</v>
      </c>
      <c r="S12" s="183">
        <f t="shared" si="3"/>
        <v>0.49019873679735304</v>
      </c>
      <c r="T12" s="183">
        <f t="shared" si="3"/>
        <v>0.49019873679735304</v>
      </c>
      <c r="U12" s="183">
        <f t="shared" si="3"/>
        <v>0.49019873679735304</v>
      </c>
      <c r="V12" s="183">
        <f t="shared" si="3"/>
        <v>0.49019873679735304</v>
      </c>
      <c r="W12" s="183">
        <f t="shared" si="3"/>
        <v>0.49019873679735304</v>
      </c>
      <c r="X12" s="183">
        <f t="shared" si="3"/>
        <v>0.49019873679735304</v>
      </c>
      <c r="Y12" s="183">
        <f t="shared" si="3"/>
        <v>0.49019873679735304</v>
      </c>
      <c r="Z12" s="183">
        <f t="shared" si="3"/>
        <v>0.49019873679735304</v>
      </c>
      <c r="AC12" s="198">
        <v>-2056621</v>
      </c>
      <c r="AD12" s="198">
        <v>-1683462</v>
      </c>
    </row>
    <row r="13" spans="4:33" x14ac:dyDescent="0.25">
      <c r="E13" s="3" t="s">
        <v>24</v>
      </c>
      <c r="J13" s="15">
        <f t="shared" si="2"/>
        <v>0.36753980149696486</v>
      </c>
      <c r="K13" s="15">
        <f t="shared" si="2"/>
        <v>0.36753980149696486</v>
      </c>
      <c r="L13" s="226">
        <f>AF10</f>
        <v>0.36753980149696486</v>
      </c>
      <c r="M13" s="226">
        <f>(116970073+8943576)/437691547</f>
        <v>0.28767667519062229</v>
      </c>
      <c r="N13" s="226">
        <f>(121399764+7622141)/530076470</f>
        <v>0.243402437765253</v>
      </c>
      <c r="O13" s="226">
        <f>N13</f>
        <v>0.243402437765253</v>
      </c>
      <c r="P13" s="183">
        <f t="shared" ref="P13:Z13" si="4">O13</f>
        <v>0.243402437765253</v>
      </c>
      <c r="Q13" s="183">
        <f t="shared" si="4"/>
        <v>0.243402437765253</v>
      </c>
      <c r="R13" s="183">
        <f t="shared" si="4"/>
        <v>0.243402437765253</v>
      </c>
      <c r="S13" s="183">
        <f t="shared" si="4"/>
        <v>0.243402437765253</v>
      </c>
      <c r="T13" s="183">
        <f t="shared" si="4"/>
        <v>0.243402437765253</v>
      </c>
      <c r="U13" s="183">
        <f t="shared" si="4"/>
        <v>0.243402437765253</v>
      </c>
      <c r="V13" s="183">
        <f t="shared" si="4"/>
        <v>0.243402437765253</v>
      </c>
      <c r="W13" s="183">
        <f t="shared" si="4"/>
        <v>0.243402437765253</v>
      </c>
      <c r="X13" s="183">
        <f t="shared" si="4"/>
        <v>0.243402437765253</v>
      </c>
      <c r="Y13" s="183">
        <f t="shared" si="4"/>
        <v>0.243402437765253</v>
      </c>
      <c r="Z13" s="183">
        <f t="shared" si="4"/>
        <v>0.243402437765253</v>
      </c>
      <c r="AB13" s="1" t="s">
        <v>25</v>
      </c>
      <c r="AC13" s="198">
        <f>SUM(AC9:AC12)</f>
        <v>326015504</v>
      </c>
      <c r="AD13" s="198">
        <f>SUM(AD9:AD12)</f>
        <v>286182893</v>
      </c>
    </row>
    <row r="14" spans="4:33" x14ac:dyDescent="0.25">
      <c r="E14" s="3" t="s">
        <v>26</v>
      </c>
      <c r="J14" s="15">
        <f t="shared" si="2"/>
        <v>0.25431368838808938</v>
      </c>
      <c r="K14" s="15">
        <f t="shared" si="2"/>
        <v>0.25431368838808938</v>
      </c>
      <c r="L14" s="226">
        <f>1-L13-L12</f>
        <v>0.25431368838808938</v>
      </c>
      <c r="M14" s="226">
        <f>1-M13-M12</f>
        <v>0.25514781760224398</v>
      </c>
      <c r="N14" s="226">
        <f>1-N13-N12</f>
        <v>0.2663988254373939</v>
      </c>
      <c r="O14" s="226">
        <f>N14</f>
        <v>0.2663988254373939</v>
      </c>
      <c r="P14" s="183">
        <f>O14</f>
        <v>0.2663988254373939</v>
      </c>
      <c r="Q14" s="183">
        <f t="shared" ref="Q14:Z14" si="5">P14</f>
        <v>0.2663988254373939</v>
      </c>
      <c r="R14" s="183">
        <f t="shared" si="5"/>
        <v>0.2663988254373939</v>
      </c>
      <c r="S14" s="183">
        <f t="shared" si="5"/>
        <v>0.2663988254373939</v>
      </c>
      <c r="T14" s="183">
        <f t="shared" si="5"/>
        <v>0.2663988254373939</v>
      </c>
      <c r="U14" s="183">
        <f t="shared" si="5"/>
        <v>0.2663988254373939</v>
      </c>
      <c r="V14" s="183">
        <f t="shared" si="5"/>
        <v>0.2663988254373939</v>
      </c>
      <c r="W14" s="183">
        <f t="shared" si="5"/>
        <v>0.2663988254373939</v>
      </c>
      <c r="X14" s="183">
        <f t="shared" si="5"/>
        <v>0.2663988254373939</v>
      </c>
      <c r="Y14" s="183">
        <f t="shared" si="5"/>
        <v>0.2663988254373939</v>
      </c>
      <c r="Z14" s="183">
        <f t="shared" si="5"/>
        <v>0.2663988254373939</v>
      </c>
      <c r="AB14" s="1" t="s">
        <v>27</v>
      </c>
      <c r="AC14" s="198">
        <v>437576735</v>
      </c>
      <c r="AD14" s="198">
        <v>383784560</v>
      </c>
    </row>
    <row r="17" spans="5:29" x14ac:dyDescent="0.25">
      <c r="E17" s="3" t="s">
        <v>28</v>
      </c>
      <c r="P17" s="259">
        <v>9.2799999999999994E-2</v>
      </c>
      <c r="Q17" s="356">
        <v>8.5000000000000006E-2</v>
      </c>
      <c r="R17" s="259">
        <v>0.05</v>
      </c>
      <c r="S17" s="259">
        <v>4.2999999999999997E-2</v>
      </c>
      <c r="T17" s="259">
        <v>3.6999999999999998E-2</v>
      </c>
      <c r="U17" s="259">
        <v>3.5000000000000003E-2</v>
      </c>
      <c r="V17" s="259">
        <v>3.5000000000000003E-2</v>
      </c>
      <c r="W17" s="259">
        <v>3.5000000000000003E-2</v>
      </c>
      <c r="X17" s="259">
        <v>3.5000000000000003E-2</v>
      </c>
      <c r="Y17" s="259">
        <v>3.5000000000000003E-2</v>
      </c>
      <c r="Z17" s="259">
        <v>3.5000000000000003E-2</v>
      </c>
    </row>
    <row r="18" spans="5:29" x14ac:dyDescent="0.25">
      <c r="E18" s="3" t="s">
        <v>29</v>
      </c>
      <c r="J18" s="29">
        <f t="shared" ref="J18:Y18" si="6">(((1+J4)*(1+J8))-1)</f>
        <v>1.7306194649091555E-3</v>
      </c>
      <c r="K18" s="29">
        <f>(((1+K4)*(1+K8))-1)</f>
        <v>0.11875243005434122</v>
      </c>
      <c r="L18" s="29">
        <f t="shared" si="6"/>
        <v>0.17395707171009311</v>
      </c>
      <c r="M18" s="29">
        <f>(((1+M4)*(1+M8))-1)</f>
        <v>0.40495421097748396</v>
      </c>
      <c r="N18" s="29">
        <f t="shared" si="6"/>
        <v>0.19833213493483348</v>
      </c>
      <c r="O18" s="29">
        <f t="shared" si="6"/>
        <v>0.29899638187756672</v>
      </c>
      <c r="P18" s="29">
        <f>(((1+P4)*(1+P8))-1)</f>
        <v>-0.10352853958404851</v>
      </c>
      <c r="Q18" s="29">
        <f>(((1+Q4)*(1+Q8))-1)</f>
        <v>-0.17887996181002719</v>
      </c>
      <c r="R18" s="29">
        <f>(((1+R4)*(1+R8))-1)</f>
        <v>1.3620350600942244E-2</v>
      </c>
      <c r="S18" s="29">
        <f t="shared" si="6"/>
        <v>-5.6767089095607459E-2</v>
      </c>
      <c r="T18" s="29">
        <f t="shared" si="6"/>
        <v>2.0000000000000018E-2</v>
      </c>
      <c r="U18" s="29">
        <f t="shared" si="6"/>
        <v>2.0988677160821201E-2</v>
      </c>
      <c r="V18" s="29">
        <f t="shared" si="6"/>
        <v>1.2745098039215641E-2</v>
      </c>
      <c r="W18" s="29">
        <f t="shared" si="6"/>
        <v>9.8039215686274161E-3</v>
      </c>
      <c r="X18" s="29">
        <f t="shared" si="6"/>
        <v>9.8039215686274161E-3</v>
      </c>
      <c r="Y18" s="29">
        <f t="shared" si="6"/>
        <v>9.8039215686274161E-3</v>
      </c>
      <c r="Z18" s="29">
        <f t="shared" ref="Z18" si="7">(((1+Z4)*(1+Z8))-1)</f>
        <v>9.8039215686274161E-3</v>
      </c>
    </row>
    <row r="19" spans="5:29" x14ac:dyDescent="0.25">
      <c r="E19" s="3" t="s">
        <v>30</v>
      </c>
      <c r="J19" s="184"/>
      <c r="K19" s="184">
        <v>3.1800000000000002E-2</v>
      </c>
      <c r="L19" s="184">
        <v>3.7999999999999999E-2</v>
      </c>
      <c r="M19" s="184">
        <v>1.7999999999999999E-2</v>
      </c>
      <c r="N19" s="260">
        <v>1.7999999999999999E-2</v>
      </c>
      <c r="O19" s="260">
        <v>5.62E-2</v>
      </c>
      <c r="P19" s="184">
        <f>Macros!O4</f>
        <v>9.2799999999999994E-2</v>
      </c>
      <c r="Q19" s="184">
        <f>Macros!P4</f>
        <v>5.1999999999999998E-2</v>
      </c>
      <c r="R19" s="184">
        <f>Macros!Q4</f>
        <v>4.3502510000000001E-2</v>
      </c>
      <c r="S19" s="184">
        <f>Macros!R4</f>
        <v>3.9375609999999998E-2</v>
      </c>
      <c r="T19" s="184">
        <f>Macros!S4</f>
        <v>3.7012610000000001E-2</v>
      </c>
      <c r="U19" s="184">
        <f>Macros!T4</f>
        <v>3.6395860000000002E-2</v>
      </c>
      <c r="V19" s="184">
        <f>Macros!U4</f>
        <v>3.559586E-2</v>
      </c>
      <c r="W19" s="184">
        <f>Macros!V4</f>
        <v>3.3000000000000002E-2</v>
      </c>
      <c r="X19" s="184">
        <f>Macros!W4</f>
        <v>0.03</v>
      </c>
      <c r="Y19" s="184">
        <f>Macros!X4</f>
        <v>0.03</v>
      </c>
      <c r="Z19" s="184">
        <f>Macros!Y4</f>
        <v>0.03</v>
      </c>
    </row>
    <row r="20" spans="5:29" x14ac:dyDescent="0.25">
      <c r="E20" s="23" t="s">
        <v>31</v>
      </c>
      <c r="F20" s="23"/>
      <c r="G20" s="185"/>
      <c r="H20" s="185">
        <f t="shared" ref="H20:K20" si="8">H39/G39-1</f>
        <v>0.15864487174654784</v>
      </c>
      <c r="I20" s="185">
        <f t="shared" si="8"/>
        <v>-4.918707074761608E-2</v>
      </c>
      <c r="J20" s="185">
        <f t="shared" si="8"/>
        <v>-8.0873694742172875E-2</v>
      </c>
      <c r="K20" s="185">
        <f t="shared" si="8"/>
        <v>0.12448487050725054</v>
      </c>
      <c r="L20" s="185">
        <f>L39/K39-1</f>
        <v>7.0425600741757188E-2</v>
      </c>
      <c r="M20" s="185">
        <f>M39/L39-1</f>
        <v>0.14046158344671289</v>
      </c>
      <c r="N20" s="185">
        <f>N39/M39-1</f>
        <v>0.21133596395454268</v>
      </c>
      <c r="O20" s="185">
        <f>((O17)*O12)+((((1+O4)*(1+O8))-1)*O13)+(Macros!N4*EEFF!O14)</f>
        <v>0.10772797412937635</v>
      </c>
      <c r="P20" s="186">
        <f>((P17)*P12)+((((1+P4)*(1+P8))-1)*P13)+(P19*P14)</f>
        <v>4.5013154862350614E-2</v>
      </c>
      <c r="Q20" s="186">
        <f>((Q17)*Q12)+((((1+Q4)*(1+Q8))-1)*Q13)+(Q19*EEFF!Q14)</f>
        <v>1.1979812778603516E-2</v>
      </c>
      <c r="R20" s="186">
        <f>((R17)*R12)+((((1+R4)*(1+R8))-1)*R13)+(R19*EEFF!R14)</f>
        <v>3.9414180946932907E-2</v>
      </c>
      <c r="S20" s="186">
        <f>((S17)*S12)+((((1+S4)*(1+S8))-1)*S13)+(S19*EEFF!S14)</f>
        <v>1.7750914066458914E-2</v>
      </c>
      <c r="T20" s="186">
        <f>((T17)*T12)+((((1+T4)*(1+T8))-1)*T13)+(T19*EEFF!T14)</f>
        <v>3.2865517847179469E-2</v>
      </c>
      <c r="U20" s="186">
        <f>((U17)*U12)+((((1+U4)*(1+U8))-1)*U13)+(U19*EEFF!U14)</f>
        <v>3.1961465329102962E-2</v>
      </c>
      <c r="V20" s="186">
        <f>((V17)*V12)+((((1+V4)*(1+V8))-1)*V13)+(V19*EEFF!V14)</f>
        <v>2.9741839014643508E-2</v>
      </c>
      <c r="W20" s="186">
        <f>((W17)*W12)+((((1+W4)*(1+W8))-1)*W13)+(W19*EEFF!W14)</f>
        <v>2.8334415436804615E-2</v>
      </c>
      <c r="X20" s="186">
        <f>((X17)*X12)+((((1+X4)*(1+X8))-1)*X13)+(X19*EEFF!X14)</f>
        <v>2.7535218960492432E-2</v>
      </c>
      <c r="Y20" s="186">
        <f>((Y17)*Y12)+((((1+Y4)*(1+Y8))-1)*Y13)+(Y19*EEFF!Y14)</f>
        <v>2.7535218960492432E-2</v>
      </c>
      <c r="Z20" s="186">
        <f>((Z17)*Z12)+((((1+Z4)*(1+Z8))-1)*Z13)+(Z19*EEFF!Z14)</f>
        <v>2.7535218960492432E-2</v>
      </c>
    </row>
    <row r="21" spans="5:29" x14ac:dyDescent="0.25">
      <c r="K21" s="29"/>
    </row>
    <row r="22" spans="5:29" x14ac:dyDescent="0.25">
      <c r="E22" s="5" t="s">
        <v>32</v>
      </c>
      <c r="J22" s="29">
        <f>J40/J39</f>
        <v>0.86074788200161212</v>
      </c>
      <c r="K22" s="29">
        <f t="shared" ref="K22:L22" si="9">K40/K39</f>
        <v>0.79803037335740834</v>
      </c>
      <c r="L22" s="29">
        <f t="shared" si="9"/>
        <v>0.77857645185100721</v>
      </c>
      <c r="M22" s="29">
        <f>M40/M39</f>
        <v>0.75076192412735809</v>
      </c>
      <c r="N22" s="29">
        <f>N40/N39</f>
        <v>0.74044270252293287</v>
      </c>
      <c r="O22" s="29">
        <f>O40/O39</f>
        <v>0.78827714992710407</v>
      </c>
      <c r="P22" s="29">
        <f>AVERAGE(O22,L22:M22)-0.9%</f>
        <v>0.76353850863515649</v>
      </c>
      <c r="Q22" s="300">
        <f>AVERAGE(N22:P22)</f>
        <v>0.76408612036173107</v>
      </c>
      <c r="R22" s="300">
        <f t="shared" ref="R22:Z22" si="10">AVERAGE(O22:Q22)</f>
        <v>0.77196725964133062</v>
      </c>
      <c r="S22" s="300">
        <f t="shared" si="10"/>
        <v>0.76653062954607265</v>
      </c>
      <c r="T22" s="300">
        <f t="shared" si="10"/>
        <v>0.76752800318304482</v>
      </c>
      <c r="U22" s="300">
        <f t="shared" si="10"/>
        <v>0.76867529745681606</v>
      </c>
      <c r="V22" s="300">
        <f t="shared" si="10"/>
        <v>0.76757797672864447</v>
      </c>
      <c r="W22" s="300">
        <f t="shared" si="10"/>
        <v>0.76792709245616841</v>
      </c>
      <c r="X22" s="300">
        <f t="shared" si="10"/>
        <v>0.76806012221387621</v>
      </c>
      <c r="Y22" s="300">
        <f t="shared" si="10"/>
        <v>0.76785506379956303</v>
      </c>
      <c r="Z22" s="300">
        <f t="shared" si="10"/>
        <v>0.76794742615653588</v>
      </c>
    </row>
    <row r="23" spans="5:29" x14ac:dyDescent="0.25">
      <c r="L23" s="124"/>
      <c r="M23" s="124"/>
      <c r="N23" s="124"/>
      <c r="O23" s="124"/>
      <c r="P23" s="124"/>
      <c r="Q23" s="225"/>
      <c r="R23" s="124"/>
      <c r="S23" s="124"/>
      <c r="T23" s="124"/>
      <c r="U23" s="124"/>
      <c r="V23" s="124"/>
      <c r="W23" s="124"/>
      <c r="X23" s="124"/>
      <c r="Y23" s="124"/>
      <c r="Z23" s="124"/>
    </row>
    <row r="24" spans="5:29" x14ac:dyDescent="0.25">
      <c r="L24" s="124"/>
      <c r="M24" s="187"/>
      <c r="N24" s="187"/>
      <c r="O24" s="187"/>
      <c r="P24" s="124"/>
      <c r="Q24" s="20"/>
      <c r="R24" s="124"/>
      <c r="S24" s="124"/>
      <c r="T24" s="124"/>
      <c r="U24" s="124"/>
      <c r="V24" s="124"/>
      <c r="W24" s="124"/>
      <c r="X24" s="124"/>
      <c r="Y24" s="124"/>
      <c r="Z24" s="124"/>
    </row>
    <row r="25" spans="5:29" x14ac:dyDescent="0.25">
      <c r="L25" s="124"/>
      <c r="M25" s="175"/>
      <c r="N25" s="175"/>
      <c r="O25" s="175"/>
    </row>
    <row r="26" spans="5:29" x14ac:dyDescent="0.25">
      <c r="L26" s="124"/>
      <c r="M26" s="175"/>
      <c r="N26" s="175"/>
      <c r="O26" s="175"/>
    </row>
    <row r="28" spans="5:29" x14ac:dyDescent="0.25">
      <c r="E28" s="1" t="s">
        <v>33</v>
      </c>
      <c r="G28" s="293"/>
      <c r="H28" s="293">
        <f t="shared" ref="H28:M28" si="11">H39/G39-1</f>
        <v>0.15864487174654784</v>
      </c>
      <c r="I28" s="293">
        <f t="shared" si="11"/>
        <v>-4.918707074761608E-2</v>
      </c>
      <c r="J28" s="293">
        <f t="shared" si="11"/>
        <v>-8.0873694742172875E-2</v>
      </c>
      <c r="K28" s="293">
        <f t="shared" si="11"/>
        <v>0.12448487050725054</v>
      </c>
      <c r="L28" s="293">
        <f t="shared" si="11"/>
        <v>7.0425600741757188E-2</v>
      </c>
      <c r="M28" s="293">
        <f t="shared" si="11"/>
        <v>0.14046158344671289</v>
      </c>
      <c r="N28" s="293">
        <f>N39/M39-1</f>
        <v>0.21133596395454268</v>
      </c>
      <c r="O28" s="293">
        <f t="shared" ref="O28:Z28" si="12">O39/N39-1</f>
        <v>4.6281663219082336E-2</v>
      </c>
      <c r="P28" s="29">
        <v>-0.05</v>
      </c>
      <c r="Q28" s="29">
        <f t="shared" si="12"/>
        <v>1.1979812778603494E-2</v>
      </c>
      <c r="R28" s="29">
        <f t="shared" si="12"/>
        <v>3.9414180946932831E-2</v>
      </c>
      <c r="S28" s="29">
        <f t="shared" si="12"/>
        <v>1.77509140664589E-2</v>
      </c>
      <c r="T28" s="29">
        <f t="shared" si="12"/>
        <v>3.2865517847179504E-2</v>
      </c>
      <c r="U28" s="29">
        <f t="shared" si="12"/>
        <v>3.1961465329102934E-2</v>
      </c>
      <c r="V28" s="29">
        <f t="shared" si="12"/>
        <v>2.9741839014643556E-2</v>
      </c>
      <c r="W28" s="29">
        <f t="shared" si="12"/>
        <v>2.8334415436804594E-2</v>
      </c>
      <c r="X28" s="29">
        <f t="shared" si="12"/>
        <v>2.7535218960492491E-2</v>
      </c>
      <c r="Y28" s="29">
        <f t="shared" si="12"/>
        <v>2.7535218960492491E-2</v>
      </c>
      <c r="Z28" s="29">
        <f t="shared" si="12"/>
        <v>2.7535218960492491E-2</v>
      </c>
    </row>
    <row r="29" spans="5:29" x14ac:dyDescent="0.25">
      <c r="E29" s="1" t="s">
        <v>34</v>
      </c>
      <c r="J29" s="2"/>
      <c r="K29" s="29"/>
      <c r="L29" s="29"/>
      <c r="M29" s="29"/>
      <c r="N29" s="29"/>
      <c r="O29" s="29"/>
      <c r="P29" s="29"/>
      <c r="Q29" s="29"/>
      <c r="R29" s="29"/>
      <c r="S29" s="29"/>
      <c r="T29" s="29"/>
      <c r="U29" s="29"/>
      <c r="V29" s="29"/>
      <c r="W29" s="29"/>
      <c r="X29" s="29"/>
      <c r="Y29" s="29"/>
      <c r="Z29" s="29"/>
      <c r="AA29" s="1" t="s">
        <v>35</v>
      </c>
      <c r="AB29" s="120">
        <f>((1+(K39/G39)-1)^(1/4))-1</f>
        <v>3.2983914226975664E-2</v>
      </c>
      <c r="AC29" s="120">
        <f>((1+(W39/H39)-1)^(1/10))-1</f>
        <v>6.7430196881431259E-2</v>
      </c>
    </row>
    <row r="30" spans="5:29" x14ac:dyDescent="0.25">
      <c r="E30" s="1" t="s">
        <v>36</v>
      </c>
      <c r="J30" s="2"/>
      <c r="K30" s="29"/>
      <c r="L30" s="29"/>
      <c r="M30" s="29"/>
      <c r="N30" s="29"/>
      <c r="O30" s="29"/>
      <c r="P30" s="29"/>
      <c r="Q30" s="29"/>
      <c r="R30" s="29"/>
      <c r="S30" s="29"/>
      <c r="T30" s="29"/>
      <c r="U30" s="29"/>
      <c r="V30" s="29"/>
      <c r="W30" s="29"/>
      <c r="X30" s="29"/>
      <c r="Y30" s="29"/>
      <c r="Z30" s="29"/>
    </row>
    <row r="31" spans="5:29" x14ac:dyDescent="0.25">
      <c r="E31" s="1" t="s">
        <v>37</v>
      </c>
      <c r="J31" s="2"/>
      <c r="K31" s="29"/>
      <c r="L31" s="29"/>
      <c r="M31" s="29"/>
      <c r="N31" s="29"/>
      <c r="O31" s="29"/>
      <c r="P31" s="29"/>
      <c r="Q31" s="29"/>
      <c r="R31" s="29"/>
      <c r="S31" s="29"/>
      <c r="T31" s="29"/>
      <c r="U31" s="29"/>
      <c r="V31" s="29"/>
      <c r="W31" s="29"/>
      <c r="X31" s="29"/>
      <c r="Y31" s="29"/>
      <c r="Z31" s="29"/>
    </row>
    <row r="32" spans="5:29" x14ac:dyDescent="0.25">
      <c r="E32" s="80" t="s">
        <v>38</v>
      </c>
      <c r="F32" s="80"/>
      <c r="G32" s="80"/>
      <c r="H32" s="188">
        <f t="shared" ref="H32:M32" si="13">H43/G43-1</f>
        <v>0.12716395289613724</v>
      </c>
      <c r="I32" s="188">
        <f t="shared" si="13"/>
        <v>-0.15355963857848942</v>
      </c>
      <c r="J32" s="188">
        <f t="shared" si="13"/>
        <v>0.11006602524028231</v>
      </c>
      <c r="K32" s="188">
        <f t="shared" si="13"/>
        <v>3.9754626631104184E-2</v>
      </c>
      <c r="L32" s="188">
        <f t="shared" si="13"/>
        <v>8.7472416317973423E-2</v>
      </c>
      <c r="M32" s="188">
        <f t="shared" si="13"/>
        <v>0.16380872054870355</v>
      </c>
      <c r="N32" s="188">
        <f t="shared" ref="N32" si="14">N43/M43-1</f>
        <v>3.4978663523022702E-2</v>
      </c>
      <c r="O32" s="188">
        <f t="shared" ref="O32" si="15">O43/N43-1</f>
        <v>8.498845942655664E-2</v>
      </c>
      <c r="P32" s="189">
        <f t="shared" ref="P32" si="16">P43/O43-1</f>
        <v>0.19263122083291817</v>
      </c>
      <c r="Q32" s="189">
        <f t="shared" ref="Q32" si="17">Q43/P43-1</f>
        <v>5.2000000000000046E-2</v>
      </c>
      <c r="R32" s="189">
        <f t="shared" ref="R32" si="18">R43/Q43-1</f>
        <v>4.3502509999999939E-2</v>
      </c>
      <c r="S32" s="189">
        <f t="shared" ref="S32" si="19">S43/R43-1</f>
        <v>3.9375610000000005E-2</v>
      </c>
      <c r="T32" s="189">
        <f t="shared" ref="T32" si="20">T43/S43-1</f>
        <v>3.7012610000000112E-2</v>
      </c>
      <c r="U32" s="189">
        <f t="shared" ref="U32" si="21">U43/T43-1</f>
        <v>3.6395860000000058E-2</v>
      </c>
      <c r="V32" s="189">
        <f t="shared" ref="V32" si="22">V43/U43-1</f>
        <v>3.5595859999999924E-2</v>
      </c>
      <c r="W32" s="189">
        <f t="shared" ref="W32" si="23">W43/V43-1</f>
        <v>3.2999999999999918E-2</v>
      </c>
      <c r="X32" s="189">
        <f t="shared" ref="X32" si="24">X43/W43-1</f>
        <v>3.0000000000000027E-2</v>
      </c>
      <c r="Y32" s="189">
        <f t="shared" ref="Y32:Z32" si="25">Y43/X43-1</f>
        <v>3.0000000000000027E-2</v>
      </c>
      <c r="Z32" s="189">
        <f t="shared" si="25"/>
        <v>3.0000000000000027E-2</v>
      </c>
    </row>
    <row r="33" spans="4:27" x14ac:dyDescent="0.25">
      <c r="E33" s="1" t="s">
        <v>39</v>
      </c>
      <c r="G33" s="30">
        <f t="shared" ref="G33:M33" si="26">G79/G39</f>
        <v>0.10456852751899472</v>
      </c>
      <c r="H33" s="30">
        <f t="shared" si="26"/>
        <v>0.1010059737160048</v>
      </c>
      <c r="I33" s="30">
        <f t="shared" si="26"/>
        <v>8.8920133202604543E-2</v>
      </c>
      <c r="J33" s="30">
        <f t="shared" si="26"/>
        <v>6.3404777116066957E-2</v>
      </c>
      <c r="K33" s="30">
        <f t="shared" si="26"/>
        <v>8.9453825550295851E-2</v>
      </c>
      <c r="L33" s="30">
        <f t="shared" si="26"/>
        <v>0.11206216842074106</v>
      </c>
      <c r="M33" s="30">
        <f t="shared" si="26"/>
        <v>8.7474031112599937E-2</v>
      </c>
      <c r="N33" s="30">
        <f t="shared" ref="N33:Y33" si="27">N79/N39</f>
        <v>9.028762799205281E-2</v>
      </c>
      <c r="O33" s="30">
        <f t="shared" si="27"/>
        <v>7.8384238973543824E-2</v>
      </c>
      <c r="P33" s="31">
        <f>P79/P39</f>
        <v>7.1236692499622417E-2</v>
      </c>
      <c r="Q33" s="31">
        <f t="shared" si="27"/>
        <v>7.1236692499622417E-2</v>
      </c>
      <c r="R33" s="31">
        <f t="shared" si="27"/>
        <v>7.1236692499622431E-2</v>
      </c>
      <c r="S33" s="31">
        <f t="shared" si="27"/>
        <v>7.1236692499622431E-2</v>
      </c>
      <c r="T33" s="31">
        <f t="shared" si="27"/>
        <v>7.1236692499622445E-2</v>
      </c>
      <c r="U33" s="31">
        <f t="shared" si="27"/>
        <v>7.1236692499622431E-2</v>
      </c>
      <c r="V33" s="31">
        <f t="shared" si="27"/>
        <v>7.1236692499622431E-2</v>
      </c>
      <c r="W33" s="31">
        <f t="shared" si="27"/>
        <v>7.1236692499622431E-2</v>
      </c>
      <c r="X33" s="31">
        <f t="shared" si="27"/>
        <v>7.1236692499622431E-2</v>
      </c>
      <c r="Y33" s="31">
        <f t="shared" si="27"/>
        <v>7.1236692499622431E-2</v>
      </c>
      <c r="Z33" s="31">
        <f t="shared" ref="Z33" si="28">Z79/Z39</f>
        <v>7.1236692499622431E-2</v>
      </c>
    </row>
    <row r="34" spans="4:27" x14ac:dyDescent="0.25">
      <c r="J34" s="30"/>
      <c r="K34" s="31"/>
      <c r="L34" s="31"/>
      <c r="M34" s="127">
        <f>M39/L39-1</f>
        <v>0.14046158344671289</v>
      </c>
      <c r="N34" s="127">
        <f t="shared" ref="N34:Z34" si="29">N39/M39-1</f>
        <v>0.21133596395454268</v>
      </c>
      <c r="O34" s="127">
        <f t="shared" si="29"/>
        <v>4.6281663219082336E-2</v>
      </c>
      <c r="P34" s="127">
        <f>P39/O39-1</f>
        <v>4.531842245850104E-2</v>
      </c>
      <c r="Q34" s="127">
        <f t="shared" si="29"/>
        <v>1.1979812778603494E-2</v>
      </c>
      <c r="R34" s="127">
        <f t="shared" si="29"/>
        <v>3.9414180946932831E-2</v>
      </c>
      <c r="S34" s="127">
        <f t="shared" si="29"/>
        <v>1.77509140664589E-2</v>
      </c>
      <c r="T34" s="127">
        <f t="shared" si="29"/>
        <v>3.2865517847179504E-2</v>
      </c>
      <c r="U34" s="127">
        <f t="shared" si="29"/>
        <v>3.1961465329102934E-2</v>
      </c>
      <c r="V34" s="127">
        <f t="shared" si="29"/>
        <v>2.9741839014643556E-2</v>
      </c>
      <c r="W34" s="127">
        <f t="shared" si="29"/>
        <v>2.8334415436804594E-2</v>
      </c>
      <c r="X34" s="127">
        <f t="shared" si="29"/>
        <v>2.7535218960492491E-2</v>
      </c>
      <c r="Y34" s="127">
        <f t="shared" si="29"/>
        <v>2.7535218960492491E-2</v>
      </c>
      <c r="Z34" s="127">
        <f t="shared" si="29"/>
        <v>2.7535218960492491E-2</v>
      </c>
    </row>
    <row r="35" spans="4:27" x14ac:dyDescent="0.25">
      <c r="E35" s="1" t="s">
        <v>40</v>
      </c>
      <c r="J35" s="231">
        <f>J49/(I115)</f>
        <v>7.3116685547782195E-2</v>
      </c>
      <c r="K35" s="127"/>
      <c r="L35" s="127"/>
      <c r="M35" s="127"/>
      <c r="N35" s="127"/>
      <c r="O35" s="127"/>
      <c r="P35" s="127">
        <f>'BG a Nov'!AC23</f>
        <v>0.11411425564561296</v>
      </c>
      <c r="Q35" s="127">
        <f>P35</f>
        <v>0.11411425564561296</v>
      </c>
      <c r="R35" s="127">
        <f t="shared" ref="R35:Z35" si="30">Q35</f>
        <v>0.11411425564561296</v>
      </c>
      <c r="S35" s="127">
        <f t="shared" si="30"/>
        <v>0.11411425564561296</v>
      </c>
      <c r="T35" s="127">
        <f t="shared" si="30"/>
        <v>0.11411425564561296</v>
      </c>
      <c r="U35" s="127">
        <f t="shared" si="30"/>
        <v>0.11411425564561296</v>
      </c>
      <c r="V35" s="127">
        <f t="shared" si="30"/>
        <v>0.11411425564561296</v>
      </c>
      <c r="W35" s="127">
        <f t="shared" si="30"/>
        <v>0.11411425564561296</v>
      </c>
      <c r="X35" s="127">
        <f t="shared" si="30"/>
        <v>0.11411425564561296</v>
      </c>
      <c r="Y35" s="127">
        <f t="shared" si="30"/>
        <v>0.11411425564561296</v>
      </c>
      <c r="Z35" s="127">
        <f t="shared" si="30"/>
        <v>0.11411425564561296</v>
      </c>
    </row>
    <row r="36" spans="4:27" x14ac:dyDescent="0.25">
      <c r="D36" s="13"/>
      <c r="J36" s="109"/>
      <c r="K36" s="110"/>
      <c r="L36" s="110"/>
    </row>
    <row r="37" spans="4:27" x14ac:dyDescent="0.25">
      <c r="E37" s="71" t="s">
        <v>41</v>
      </c>
      <c r="F37" s="71"/>
      <c r="G37" s="72">
        <f>G$2</f>
        <v>2015</v>
      </c>
      <c r="H37" s="72">
        <f t="shared" ref="H37:Z37" si="31">H$2</f>
        <v>2016</v>
      </c>
      <c r="I37" s="72">
        <f t="shared" si="31"/>
        <v>2017</v>
      </c>
      <c r="J37" s="72">
        <f t="shared" si="31"/>
        <v>2018</v>
      </c>
      <c r="K37" s="72">
        <f t="shared" si="31"/>
        <v>2019</v>
      </c>
      <c r="L37" s="72">
        <f t="shared" si="31"/>
        <v>2020</v>
      </c>
      <c r="M37" s="72">
        <f t="shared" si="31"/>
        <v>2021</v>
      </c>
      <c r="N37" s="72">
        <f t="shared" si="31"/>
        <v>2022</v>
      </c>
      <c r="O37" s="72">
        <f t="shared" si="31"/>
        <v>2023</v>
      </c>
      <c r="P37" s="72">
        <f t="shared" si="31"/>
        <v>2024</v>
      </c>
      <c r="Q37" s="72">
        <f t="shared" si="31"/>
        <v>2025</v>
      </c>
      <c r="R37" s="72">
        <f t="shared" si="31"/>
        <v>2026</v>
      </c>
      <c r="S37" s="72">
        <f t="shared" si="31"/>
        <v>2027</v>
      </c>
      <c r="T37" s="72">
        <f t="shared" si="31"/>
        <v>2028</v>
      </c>
      <c r="U37" s="72">
        <f t="shared" si="31"/>
        <v>2029</v>
      </c>
      <c r="V37" s="72">
        <f t="shared" si="31"/>
        <v>2030</v>
      </c>
      <c r="W37" s="72">
        <f t="shared" si="31"/>
        <v>2031</v>
      </c>
      <c r="X37" s="72">
        <f t="shared" si="31"/>
        <v>2032</v>
      </c>
      <c r="Y37" s="72">
        <f t="shared" si="31"/>
        <v>2033</v>
      </c>
      <c r="Z37" s="72">
        <f t="shared" si="31"/>
        <v>2034</v>
      </c>
    </row>
    <row r="38" spans="4:27" x14ac:dyDescent="0.25">
      <c r="P38" s="302"/>
    </row>
    <row r="39" spans="4:27" ht="20.100000000000001" customHeight="1" x14ac:dyDescent="0.25">
      <c r="E39" s="3" t="s">
        <v>42</v>
      </c>
      <c r="F39" s="3"/>
      <c r="G39" s="110">
        <v>314888483</v>
      </c>
      <c r="H39" s="110">
        <v>364843926</v>
      </c>
      <c r="I39" s="110">
        <v>346898322</v>
      </c>
      <c r="J39" s="110">
        <v>318843373</v>
      </c>
      <c r="K39" s="110">
        <v>358534549</v>
      </c>
      <c r="L39" s="110">
        <v>383784560</v>
      </c>
      <c r="M39" s="110">
        <v>437691547</v>
      </c>
      <c r="N39" s="110">
        <v>530191512</v>
      </c>
      <c r="O39" s="110">
        <v>554729657</v>
      </c>
      <c r="P39" s="97">
        <f>'ER a Nov'!G9*1000/11*12</f>
        <v>579869129.94618535</v>
      </c>
      <c r="Q39" s="98">
        <f t="shared" ref="Q39:Z39" si="32">P39*(1+Q20)</f>
        <v>586815853.55903232</v>
      </c>
      <c r="R39" s="98">
        <f t="shared" si="32"/>
        <v>609944719.79373682</v>
      </c>
      <c r="S39" s="98">
        <f t="shared" si="32"/>
        <v>620771796.10008574</v>
      </c>
      <c r="T39" s="98">
        <f t="shared" si="32"/>
        <v>641173782.64383876</v>
      </c>
      <c r="U39" s="98">
        <f t="shared" si="32"/>
        <v>661666636.26773965</v>
      </c>
      <c r="V39" s="98">
        <f t="shared" si="32"/>
        <v>681345818.84497547</v>
      </c>
      <c r="W39" s="98">
        <f t="shared" si="32"/>
        <v>700651354.33225882</v>
      </c>
      <c r="X39" s="98">
        <f t="shared" si="32"/>
        <v>719943942.78876317</v>
      </c>
      <c r="Y39" s="98">
        <f t="shared" si="32"/>
        <v>739767756.89273202</v>
      </c>
      <c r="Z39" s="98">
        <f t="shared" si="32"/>
        <v>760137424.05868578</v>
      </c>
    </row>
    <row r="40" spans="4:27" ht="20.100000000000001" customHeight="1" x14ac:dyDescent="0.25">
      <c r="E40" s="3" t="s">
        <v>43</v>
      </c>
      <c r="F40" s="3"/>
      <c r="G40" s="110">
        <v>226994086</v>
      </c>
      <c r="H40" s="110">
        <v>264275695</v>
      </c>
      <c r="I40" s="110">
        <v>282099170</v>
      </c>
      <c r="J40" s="110">
        <v>274443758</v>
      </c>
      <c r="K40" s="110">
        <v>286121460</v>
      </c>
      <c r="L40" s="110">
        <v>298805621</v>
      </c>
      <c r="M40" s="110">
        <v>328602148</v>
      </c>
      <c r="N40" s="110">
        <v>392576436</v>
      </c>
      <c r="O40" s="110">
        <v>437280713</v>
      </c>
      <c r="P40" s="97">
        <f>-'ER a Nov'!G11*1000/11*12</f>
        <v>448129246.44487631</v>
      </c>
      <c r="Q40" s="98">
        <f>Q39*Q22</f>
        <v>448377848.91267872</v>
      </c>
      <c r="R40" s="98">
        <f t="shared" ref="R40:Y40" si="33">R39*R22</f>
        <v>470857353.87187028</v>
      </c>
      <c r="S40" s="98">
        <f t="shared" si="33"/>
        <v>475840595.66904497</v>
      </c>
      <c r="T40" s="98">
        <f t="shared" si="33"/>
        <v>492118833.08594519</v>
      </c>
      <c r="U40" s="98">
        <f t="shared" si="33"/>
        <v>508606798.45035571</v>
      </c>
      <c r="V40" s="98">
        <f t="shared" si="33"/>
        <v>522986045.0815478</v>
      </c>
      <c r="W40" s="98">
        <f t="shared" si="33"/>
        <v>538049157.35784817</v>
      </c>
      <c r="X40" s="98">
        <f t="shared" si="33"/>
        <v>552960232.68547738</v>
      </c>
      <c r="Y40" s="98">
        <f t="shared" si="33"/>
        <v>568034418.16572833</v>
      </c>
      <c r="Z40" s="98">
        <f t="shared" ref="Z40" si="34">Z39*Z22</f>
        <v>583745578.33112705</v>
      </c>
    </row>
    <row r="41" spans="4:27" ht="20.100000000000001" customHeight="1" x14ac:dyDescent="0.25">
      <c r="E41" s="7" t="s">
        <v>44</v>
      </c>
      <c r="F41" s="7"/>
      <c r="G41" s="10">
        <f t="shared" ref="G41:Y41" si="35">G39-G40</f>
        <v>87894397</v>
      </c>
      <c r="H41" s="10">
        <f t="shared" si="35"/>
        <v>100568231</v>
      </c>
      <c r="I41" s="10">
        <f t="shared" si="35"/>
        <v>64799152</v>
      </c>
      <c r="J41" s="10">
        <f t="shared" si="35"/>
        <v>44399615</v>
      </c>
      <c r="K41" s="10">
        <f t="shared" si="35"/>
        <v>72413089</v>
      </c>
      <c r="L41" s="10">
        <f t="shared" si="35"/>
        <v>84978939</v>
      </c>
      <c r="M41" s="10">
        <f t="shared" si="35"/>
        <v>109089399</v>
      </c>
      <c r="N41" s="10">
        <f t="shared" si="35"/>
        <v>137615076</v>
      </c>
      <c r="O41" s="10">
        <f t="shared" si="35"/>
        <v>117448944</v>
      </c>
      <c r="P41" s="303">
        <f t="shared" si="35"/>
        <v>131739883.50130904</v>
      </c>
      <c r="Q41" s="8">
        <f t="shared" si="35"/>
        <v>138438004.6463536</v>
      </c>
      <c r="R41" s="8">
        <f t="shared" si="35"/>
        <v>139087365.92186654</v>
      </c>
      <c r="S41" s="8">
        <f t="shared" si="35"/>
        <v>144931200.43104076</v>
      </c>
      <c r="T41" s="8">
        <f t="shared" si="35"/>
        <v>149054949.55789357</v>
      </c>
      <c r="U41" s="8">
        <f t="shared" si="35"/>
        <v>153059837.81738394</v>
      </c>
      <c r="V41" s="8">
        <f t="shared" si="35"/>
        <v>158359773.76342767</v>
      </c>
      <c r="W41" s="8">
        <f t="shared" si="35"/>
        <v>162602196.97441065</v>
      </c>
      <c r="X41" s="8">
        <f t="shared" si="35"/>
        <v>166983710.10328579</v>
      </c>
      <c r="Y41" s="8">
        <f t="shared" si="35"/>
        <v>171733338.72700369</v>
      </c>
      <c r="Z41" s="8">
        <f t="shared" ref="Z41" si="36">Z39-Z40</f>
        <v>176391845.72755873</v>
      </c>
    </row>
    <row r="42" spans="4:27" ht="20.100000000000001" customHeight="1" x14ac:dyDescent="0.25">
      <c r="E42" s="7" t="s">
        <v>45</v>
      </c>
      <c r="F42" s="7"/>
      <c r="G42" s="111">
        <f>G41/G$39</f>
        <v>0.27912864949081034</v>
      </c>
      <c r="H42" s="111">
        <f>H41/H$39</f>
        <v>0.27564726677127138</v>
      </c>
      <c r="I42" s="111">
        <f>I41/I$39</f>
        <v>0.18679580698577147</v>
      </c>
      <c r="J42" s="111">
        <f>J41/J$39</f>
        <v>0.13925211799838788</v>
      </c>
      <c r="K42" s="111">
        <f t="shared" ref="K42:Y42" si="37">K41/K39</f>
        <v>0.20196962664259172</v>
      </c>
      <c r="L42" s="111">
        <f t="shared" si="37"/>
        <v>0.22142354814899276</v>
      </c>
      <c r="M42" s="111">
        <f t="shared" si="37"/>
        <v>0.24923807587264188</v>
      </c>
      <c r="N42" s="111">
        <f t="shared" si="37"/>
        <v>0.25955729747706713</v>
      </c>
      <c r="O42" s="111">
        <f t="shared" si="37"/>
        <v>0.21172285007289596</v>
      </c>
      <c r="P42" s="222">
        <f t="shared" si="37"/>
        <v>0.22718899265000558</v>
      </c>
      <c r="Q42" s="304">
        <f t="shared" si="37"/>
        <v>0.23591387963826893</v>
      </c>
      <c r="R42" s="304">
        <f t="shared" si="37"/>
        <v>0.22803274035866938</v>
      </c>
      <c r="S42" s="304">
        <f t="shared" si="37"/>
        <v>0.23346937045392735</v>
      </c>
      <c r="T42" s="304">
        <f t="shared" si="37"/>
        <v>0.23247199681695516</v>
      </c>
      <c r="U42" s="304">
        <f t="shared" si="37"/>
        <v>0.23132470254318391</v>
      </c>
      <c r="V42" s="304">
        <f t="shared" si="37"/>
        <v>0.23242202327135553</v>
      </c>
      <c r="W42" s="304">
        <f t="shared" si="37"/>
        <v>0.23207290754383153</v>
      </c>
      <c r="X42" s="304">
        <f t="shared" si="37"/>
        <v>0.23193987778612374</v>
      </c>
      <c r="Y42" s="304">
        <f t="shared" si="37"/>
        <v>0.23214493620043705</v>
      </c>
      <c r="Z42" s="304">
        <f t="shared" ref="Z42" si="38">Z41/Z39</f>
        <v>0.23205257384346406</v>
      </c>
    </row>
    <row r="43" spans="4:27" ht="20.100000000000001" customHeight="1" x14ac:dyDescent="0.25">
      <c r="E43" s="3" t="s">
        <v>46</v>
      </c>
      <c r="F43" s="3"/>
      <c r="G43" s="110">
        <f>8578025+19231499</f>
        <v>27809524</v>
      </c>
      <c r="H43" s="110">
        <f>8875975+22469918</f>
        <v>31345893</v>
      </c>
      <c r="I43" s="110">
        <f>9852519+16679910</f>
        <v>26532429</v>
      </c>
      <c r="J43" s="110">
        <f>9570947+19881801</f>
        <v>29452748</v>
      </c>
      <c r="K43" s="110">
        <f>20750834+9872797</f>
        <v>30623631</v>
      </c>
      <c r="L43" s="110">
        <f>11287412+22014942</f>
        <v>33302354</v>
      </c>
      <c r="M43" s="110">
        <v>38757570</v>
      </c>
      <c r="N43" s="110">
        <v>40113258</v>
      </c>
      <c r="O43" s="110">
        <v>43522422</v>
      </c>
      <c r="P43" s="97">
        <f>-('ER a Nov'!G15+'ER a Nov'!G16+'ER a Nov'!G23)*1000/11*12</f>
        <v>51906199.28346546</v>
      </c>
      <c r="Q43" s="98">
        <f>P43*(1+Macros!P$4)</f>
        <v>54605321.646205664</v>
      </c>
      <c r="R43" s="98">
        <f>Q43*(1+Macros!Q$4)</f>
        <v>56980790.19717294</v>
      </c>
      <c r="S43" s="98">
        <f>R43*(1+Macros!R$4)</f>
        <v>59224443.569468647</v>
      </c>
      <c r="T43" s="98">
        <f>S43*(1+Macros!S$4)</f>
        <v>61416494.801772408</v>
      </c>
      <c r="U43" s="98">
        <f>T43*(1+Macros!T$4)</f>
        <v>63651800.948268451</v>
      </c>
      <c r="V43" s="98">
        <f>U43*(1+Macros!U$4)</f>
        <v>65917541.543570876</v>
      </c>
      <c r="W43" s="98">
        <f>V43*(1+Macros!V$4)</f>
        <v>68092820.414508715</v>
      </c>
      <c r="X43" s="98">
        <f>W43*(1+Macros!W$4)</f>
        <v>70135605.026943982</v>
      </c>
      <c r="Y43" s="98">
        <f>X43*(1+Macros!X$4)</f>
        <v>72239673.177752301</v>
      </c>
      <c r="Z43" s="98">
        <f>Y43*(1+Macros!Y$4)</f>
        <v>74406863.373084873</v>
      </c>
    </row>
    <row r="44" spans="4:27" ht="20.100000000000001" customHeight="1" x14ac:dyDescent="0.25">
      <c r="E44" s="7" t="s">
        <v>47</v>
      </c>
      <c r="F44" s="7"/>
      <c r="G44" s="10">
        <f t="shared" ref="G44:Y44" si="39">G41-G43</f>
        <v>60084873</v>
      </c>
      <c r="H44" s="10">
        <f t="shared" si="39"/>
        <v>69222338</v>
      </c>
      <c r="I44" s="10">
        <f t="shared" si="39"/>
        <v>38266723</v>
      </c>
      <c r="J44" s="10">
        <f t="shared" si="39"/>
        <v>14946867</v>
      </c>
      <c r="K44" s="10">
        <f t="shared" si="39"/>
        <v>41789458</v>
      </c>
      <c r="L44" s="10">
        <f t="shared" si="39"/>
        <v>51676585</v>
      </c>
      <c r="M44" s="10">
        <f t="shared" si="39"/>
        <v>70331829</v>
      </c>
      <c r="N44" s="10">
        <f t="shared" si="39"/>
        <v>97501818</v>
      </c>
      <c r="O44" s="10">
        <f t="shared" si="39"/>
        <v>73926522</v>
      </c>
      <c r="P44" s="303">
        <f>P41-P43</f>
        <v>79833684.217843577</v>
      </c>
      <c r="Q44" s="16">
        <f t="shared" si="39"/>
        <v>83832683.000147939</v>
      </c>
      <c r="R44" s="16">
        <f t="shared" si="39"/>
        <v>82106575.724693596</v>
      </c>
      <c r="S44" s="16">
        <f t="shared" si="39"/>
        <v>85706756.861572117</v>
      </c>
      <c r="T44" s="16">
        <f t="shared" si="39"/>
        <v>87638454.756121159</v>
      </c>
      <c r="U44" s="16">
        <f t="shared" si="39"/>
        <v>89408036.869115502</v>
      </c>
      <c r="V44" s="16">
        <f t="shared" si="39"/>
        <v>92442232.219856799</v>
      </c>
      <c r="W44" s="16">
        <f t="shared" si="39"/>
        <v>94509376.559901938</v>
      </c>
      <c r="X44" s="16">
        <f t="shared" si="39"/>
        <v>96848105.076341808</v>
      </c>
      <c r="Y44" s="16">
        <f t="shared" si="39"/>
        <v>99493665.549251392</v>
      </c>
      <c r="Z44" s="16">
        <f t="shared" ref="Z44" si="40">Z41-Z43</f>
        <v>101984982.35447386</v>
      </c>
    </row>
    <row r="45" spans="4:27" ht="20.100000000000001" customHeight="1" x14ac:dyDescent="0.25">
      <c r="E45" s="83" t="s">
        <v>48</v>
      </c>
      <c r="F45" s="83"/>
      <c r="G45" s="115">
        <f>G44/G$39</f>
        <v>0.19081318067768138</v>
      </c>
      <c r="H45" s="115">
        <f>H44/H$39</f>
        <v>0.18973137022980066</v>
      </c>
      <c r="I45" s="115">
        <f>I44/I$39</f>
        <v>0.11031106400105331</v>
      </c>
      <c r="J45" s="115">
        <f>J44/J$39</f>
        <v>4.6878399445360278E-2</v>
      </c>
      <c r="K45" s="115">
        <f t="shared" ref="K45:Y45" si="41">K44/K39</f>
        <v>0.11655629315656271</v>
      </c>
      <c r="L45" s="115">
        <f t="shared" si="41"/>
        <v>0.1346499843558063</v>
      </c>
      <c r="M45" s="115">
        <f t="shared" si="41"/>
        <v>0.16068811354037871</v>
      </c>
      <c r="N45" s="115">
        <f t="shared" si="41"/>
        <v>0.18389924356239035</v>
      </c>
      <c r="O45" s="115">
        <f t="shared" si="41"/>
        <v>0.13326585493877785</v>
      </c>
      <c r="P45" s="100">
        <f t="shared" si="41"/>
        <v>0.13767534792764796</v>
      </c>
      <c r="Q45" s="273">
        <f t="shared" si="41"/>
        <v>0.14286028997291664</v>
      </c>
      <c r="R45" s="273">
        <f t="shared" si="41"/>
        <v>0.13461314289671911</v>
      </c>
      <c r="S45" s="273">
        <f t="shared" si="41"/>
        <v>0.13806483703031153</v>
      </c>
      <c r="T45" s="273">
        <f t="shared" si="41"/>
        <v>0.1366844015280064</v>
      </c>
      <c r="U45" s="273">
        <f t="shared" si="41"/>
        <v>0.13512550273569643</v>
      </c>
      <c r="V45" s="273">
        <f t="shared" si="41"/>
        <v>0.13567593674613845</v>
      </c>
      <c r="W45" s="273">
        <f t="shared" si="41"/>
        <v>0.1348878810774185</v>
      </c>
      <c r="X45" s="273">
        <f t="shared" si="41"/>
        <v>0.1345217305408426</v>
      </c>
      <c r="Y45" s="273">
        <f t="shared" si="41"/>
        <v>0.13449310898214531</v>
      </c>
      <c r="Z45" s="273">
        <f t="shared" ref="Z45" si="42">Z44/Z39</f>
        <v>0.13416650611666264</v>
      </c>
    </row>
    <row r="46" spans="4:27" x14ac:dyDescent="0.25">
      <c r="E46" s="3" t="s">
        <v>49</v>
      </c>
      <c r="F46" s="3"/>
      <c r="J46" s="110">
        <v>1610785</v>
      </c>
      <c r="K46" s="110">
        <v>641094</v>
      </c>
      <c r="L46" s="110">
        <v>1433522</v>
      </c>
      <c r="M46" s="110">
        <v>1405684</v>
      </c>
      <c r="N46" s="110">
        <v>1328655</v>
      </c>
      <c r="O46" s="110">
        <v>2243642</v>
      </c>
      <c r="P46" s="305">
        <f>'ER a Nov'!G28*1000/11*12</f>
        <v>5707063.2917127265</v>
      </c>
      <c r="Q46" s="12">
        <f>P46*(1+Macros!P$4)</f>
        <v>6003830.5828817887</v>
      </c>
      <c r="R46" s="12">
        <f>Q46*(1+Macros!Q$4)</f>
        <v>6265012.2828519093</v>
      </c>
      <c r="S46" s="12">
        <f>R46*(1+Macros!R$4)</f>
        <v>6511700.9631466959</v>
      </c>
      <c r="T46" s="12">
        <f>S46*(1+Macros!S$4)</f>
        <v>6752716.0113322698</v>
      </c>
      <c r="U46" s="12">
        <f>T46*(1+Macros!T$4)</f>
        <v>6998486.9179004775</v>
      </c>
      <c r="V46" s="12">
        <f>U46*(1+Macros!U$4)</f>
        <v>7247604.0784418937</v>
      </c>
      <c r="W46" s="12">
        <f>V46*(1+Macros!V$4)</f>
        <v>7486775.0130304759</v>
      </c>
      <c r="X46" s="12">
        <f>W46*(1+Macros!W$4)</f>
        <v>7711378.2634213902</v>
      </c>
      <c r="Y46" s="12">
        <f>X46*(1+Macros!X$4)</f>
        <v>7942719.6113240318</v>
      </c>
      <c r="Z46" s="12">
        <f>Y46*(1+Macros!Y$4)</f>
        <v>8181001.1996637527</v>
      </c>
    </row>
    <row r="47" spans="4:27" x14ac:dyDescent="0.25">
      <c r="E47" s="3" t="s">
        <v>50</v>
      </c>
      <c r="F47" s="3"/>
      <c r="J47" s="110">
        <v>3552862</v>
      </c>
      <c r="K47" s="110">
        <v>4657439</v>
      </c>
      <c r="L47" s="110">
        <v>6877373</v>
      </c>
      <c r="M47" s="110">
        <v>4333583</v>
      </c>
      <c r="N47" s="110">
        <v>9528970</v>
      </c>
      <c r="O47" s="110">
        <v>9949822</v>
      </c>
      <c r="P47" s="305">
        <f>-'ER a Nov'!G34*1000/11*12</f>
        <v>8699042.1685527284</v>
      </c>
      <c r="Q47" s="12">
        <f>P47*(1+Macros!P$4)</f>
        <v>9151392.3613174707</v>
      </c>
      <c r="R47" s="12">
        <f>Q47*(1+Macros!Q$4)</f>
        <v>9549500.899029607</v>
      </c>
      <c r="S47" s="12">
        <f>R47*(1+Macros!R$4)</f>
        <v>9925518.3221244458</v>
      </c>
      <c r="T47" s="12">
        <f>S47*(1+Macros!S$4)</f>
        <v>10292887.660829093</v>
      </c>
      <c r="U47" s="12">
        <f>T47*(1+Macros!T$4)</f>
        <v>10667506.159128357</v>
      </c>
      <c r="V47" s="12">
        <f>U47*(1+Macros!U$4)</f>
        <v>11047225.214917827</v>
      </c>
      <c r="W47" s="12">
        <f>V47*(1+Macros!V$4)</f>
        <v>11411783.647010114</v>
      </c>
      <c r="X47" s="12">
        <f>W47*(1+Macros!W$4)</f>
        <v>11754137.156420417</v>
      </c>
      <c r="Y47" s="12">
        <f>X47*(1+Macros!X$4)</f>
        <v>12106761.271113031</v>
      </c>
      <c r="Z47" s="12">
        <f>Y47*(1+Macros!Y$4)</f>
        <v>12469964.109246422</v>
      </c>
    </row>
    <row r="48" spans="4:27" x14ac:dyDescent="0.25">
      <c r="E48" s="3" t="s">
        <v>51</v>
      </c>
      <c r="F48" s="3"/>
      <c r="J48" s="110">
        <v>1770160</v>
      </c>
      <c r="K48" s="110">
        <v>2024717</v>
      </c>
      <c r="L48" s="110">
        <f>1237132+663013</f>
        <v>1900145</v>
      </c>
      <c r="M48" s="110">
        <v>1590005</v>
      </c>
      <c r="N48" s="110">
        <f>4374679+504496</f>
        <v>4879175</v>
      </c>
      <c r="O48" s="110">
        <f>6275557+128727</f>
        <v>6404284</v>
      </c>
      <c r="P48" s="305">
        <f>'ER a Nov'!G29*1000/11*12</f>
        <v>2732787.6650727275</v>
      </c>
      <c r="Q48" s="12">
        <f>P48*(1+Macros!P$4)</f>
        <v>2874892.6236565094</v>
      </c>
      <c r="R48" s="12">
        <f>Q48*(1+Macros!Q$4)</f>
        <v>2999957.6687660529</v>
      </c>
      <c r="S48" s="12">
        <f>R48*(1+Macros!R$4)</f>
        <v>3118082.8319478943</v>
      </c>
      <c r="T48" s="12">
        <f>S48*(1+Macros!S$4)</f>
        <v>3233491.2157544778</v>
      </c>
      <c r="U48" s="12">
        <f>T48*(1+Macros!T$4)</f>
        <v>3351176.9093543077</v>
      </c>
      <c r="V48" s="12">
        <f>U48*(1+Macros!U$4)</f>
        <v>3470464.9334549159</v>
      </c>
      <c r="W48" s="12">
        <f>V48*(1+Macros!V$4)</f>
        <v>3584990.2762589278</v>
      </c>
      <c r="X48" s="12">
        <f>W48*(1+Macros!W$4)</f>
        <v>3692539.9845466958</v>
      </c>
      <c r="Y48" s="12">
        <f>X48*(1+Macros!X$4)</f>
        <v>3803316.1840830967</v>
      </c>
      <c r="Z48" s="12">
        <f>Y48*(1+Macros!Y$4)</f>
        <v>3917415.6696055895</v>
      </c>
      <c r="AA48" s="1" t="s">
        <v>52</v>
      </c>
    </row>
    <row r="49" spans="5:27" x14ac:dyDescent="0.25">
      <c r="E49" s="3" t="s">
        <v>53</v>
      </c>
      <c r="F49" s="3"/>
      <c r="J49" s="110">
        <f>12474600+2509313+1148568</f>
        <v>16132481</v>
      </c>
      <c r="K49" s="110">
        <v>16157523</v>
      </c>
      <c r="L49" s="110">
        <f>9699197+1614477</f>
        <v>11313674</v>
      </c>
      <c r="M49" s="110">
        <v>6545801</v>
      </c>
      <c r="N49" s="110">
        <v>11182718</v>
      </c>
      <c r="O49" s="110">
        <v>26110544</v>
      </c>
      <c r="P49" s="305">
        <f>-'ER a Nov'!G33*1000/11*12</f>
        <v>31672719.317465454</v>
      </c>
      <c r="Q49" s="12">
        <f ca="1">Q115*Q35</f>
        <v>25230125.381274894</v>
      </c>
      <c r="R49" s="12">
        <f t="shared" ref="R49:Y49" ca="1" si="43">R115*R35</f>
        <v>25230125.381274894</v>
      </c>
      <c r="S49" s="12">
        <f t="shared" ca="1" si="43"/>
        <v>25230125.381274894</v>
      </c>
      <c r="T49" s="12">
        <f t="shared" ca="1" si="43"/>
        <v>25230125.381274894</v>
      </c>
      <c r="U49" s="12">
        <f t="shared" ca="1" si="43"/>
        <v>25230125.381274894</v>
      </c>
      <c r="V49" s="12">
        <f t="shared" ca="1" si="43"/>
        <v>25230125.381274894</v>
      </c>
      <c r="W49" s="12">
        <f t="shared" ca="1" si="43"/>
        <v>25230125.381274894</v>
      </c>
      <c r="X49" s="12">
        <f t="shared" ca="1" si="43"/>
        <v>25230125.381274894</v>
      </c>
      <c r="Y49" s="12">
        <f t="shared" ca="1" si="43"/>
        <v>25230125.381274894</v>
      </c>
      <c r="Z49" s="12">
        <f t="shared" ref="Z49" ca="1" si="44">Z115*Z35</f>
        <v>25230125.381274894</v>
      </c>
    </row>
    <row r="50" spans="5:27" x14ac:dyDescent="0.25">
      <c r="E50" s="7" t="s">
        <v>54</v>
      </c>
      <c r="F50" s="7"/>
      <c r="G50" s="7"/>
      <c r="H50" s="7"/>
      <c r="I50" s="7"/>
      <c r="J50" s="10">
        <f t="shared" ref="J50:Y50" si="45">J44+J46-J47+J48-J49</f>
        <v>-1357531</v>
      </c>
      <c r="K50" s="10">
        <f t="shared" si="45"/>
        <v>23640307</v>
      </c>
      <c r="L50" s="10">
        <f t="shared" si="45"/>
        <v>36819205</v>
      </c>
      <c r="M50" s="10">
        <f t="shared" si="45"/>
        <v>62448134</v>
      </c>
      <c r="N50" s="10">
        <f t="shared" si="45"/>
        <v>82997960</v>
      </c>
      <c r="O50" s="10">
        <f t="shared" si="45"/>
        <v>46514082</v>
      </c>
      <c r="P50" s="303">
        <f t="shared" si="45"/>
        <v>47901773.688610852</v>
      </c>
      <c r="Q50" s="16">
        <f t="shared" ca="1" si="45"/>
        <v>58329888.464093879</v>
      </c>
      <c r="R50" s="16">
        <f t="shared" ca="1" si="45"/>
        <v>56591919.396007046</v>
      </c>
      <c r="S50" s="16">
        <f t="shared" ca="1" si="45"/>
        <v>60180896.953267366</v>
      </c>
      <c r="T50" s="16">
        <f t="shared" ca="1" si="45"/>
        <v>62101648.94110392</v>
      </c>
      <c r="U50" s="16">
        <f t="shared" ca="1" si="45"/>
        <v>63860069.155967042</v>
      </c>
      <c r="V50" s="16">
        <f t="shared" ca="1" si="45"/>
        <v>66882950.635560885</v>
      </c>
      <c r="W50" s="16">
        <f t="shared" ca="1" si="45"/>
        <v>68939232.820906326</v>
      </c>
      <c r="X50" s="16">
        <f t="shared" ca="1" si="45"/>
        <v>71267760.786614582</v>
      </c>
      <c r="Y50" s="16">
        <f t="shared" ca="1" si="45"/>
        <v>73902814.692270592</v>
      </c>
      <c r="Z50" s="16">
        <f t="shared" ref="Z50" ca="1" si="46">Z44+Z46-Z47+Z48-Z49</f>
        <v>76383309.733221889</v>
      </c>
    </row>
    <row r="51" spans="5:27" outlineLevel="1" x14ac:dyDescent="0.25">
      <c r="E51" s="3" t="s">
        <v>55</v>
      </c>
      <c r="F51" s="3"/>
      <c r="J51" s="110">
        <v>1114182</v>
      </c>
      <c r="K51" s="110">
        <v>3275530</v>
      </c>
      <c r="L51" s="110">
        <v>9266063</v>
      </c>
      <c r="M51" s="110">
        <v>15608145</v>
      </c>
      <c r="N51" s="110">
        <v>27299183</v>
      </c>
      <c r="O51" s="110">
        <v>15108517</v>
      </c>
      <c r="P51" s="305">
        <f t="shared" ref="P51" si="47">IF(P50&gt;0,P50*35%,0)</f>
        <v>16765620.791013798</v>
      </c>
      <c r="Q51" s="12">
        <f ca="1">IF(Q50&gt;0,Q50*35%,0)</f>
        <v>20415460.962432858</v>
      </c>
      <c r="R51" s="12">
        <f t="shared" ref="R51:Y51" ca="1" si="48">IF(R50&gt;0,R50*35%,0)</f>
        <v>19807171.788602464</v>
      </c>
      <c r="S51" s="12">
        <f t="shared" ca="1" si="48"/>
        <v>21063313.933643576</v>
      </c>
      <c r="T51" s="12">
        <f t="shared" ca="1" si="48"/>
        <v>21735577.129386369</v>
      </c>
      <c r="U51" s="12">
        <f t="shared" ca="1" si="48"/>
        <v>22351024.204588462</v>
      </c>
      <c r="V51" s="12">
        <f t="shared" ca="1" si="48"/>
        <v>23409032.722446308</v>
      </c>
      <c r="W51" s="12">
        <f t="shared" ca="1" si="48"/>
        <v>24128731.487317212</v>
      </c>
      <c r="X51" s="12">
        <f t="shared" ca="1" si="48"/>
        <v>24943716.275315102</v>
      </c>
      <c r="Y51" s="12">
        <f t="shared" ca="1" si="48"/>
        <v>25865985.142294705</v>
      </c>
      <c r="Z51" s="12">
        <f t="shared" ref="Z51" ca="1" si="49">IF(Z50&gt;0,Z50*35%,0)</f>
        <v>26734158.406627659</v>
      </c>
    </row>
    <row r="52" spans="5:27" outlineLevel="1" x14ac:dyDescent="0.25">
      <c r="E52" s="3" t="s">
        <v>56</v>
      </c>
      <c r="F52" s="3"/>
      <c r="J52" s="110">
        <v>-3757900</v>
      </c>
      <c r="K52" s="110">
        <v>3867723</v>
      </c>
      <c r="L52" s="110">
        <v>-284114</v>
      </c>
      <c r="M52" s="110">
        <v>6487427</v>
      </c>
      <c r="N52" s="110">
        <v>4969038</v>
      </c>
      <c r="O52" s="110">
        <v>684720</v>
      </c>
      <c r="P52" s="261"/>
    </row>
    <row r="53" spans="5:27" x14ac:dyDescent="0.25">
      <c r="E53" s="306" t="s">
        <v>57</v>
      </c>
      <c r="F53" s="306"/>
      <c r="J53" s="110">
        <f t="shared" ref="J53:O53" si="50">SUM(J51:J52)</f>
        <v>-2643718</v>
      </c>
      <c r="K53" s="110">
        <f t="shared" si="50"/>
        <v>7143253</v>
      </c>
      <c r="L53" s="110">
        <f t="shared" si="50"/>
        <v>8981949</v>
      </c>
      <c r="M53" s="110">
        <f t="shared" si="50"/>
        <v>22095572</v>
      </c>
      <c r="N53" s="110">
        <f t="shared" si="50"/>
        <v>32268221</v>
      </c>
      <c r="O53" s="110">
        <f t="shared" si="50"/>
        <v>15793237</v>
      </c>
      <c r="P53" s="305">
        <f t="shared" ref="P53" si="51">SUM(P51:P52)</f>
        <v>16765620.791013798</v>
      </c>
      <c r="Q53" s="12">
        <f t="shared" ref="Q53:Y53" ca="1" si="52">Q51</f>
        <v>20415460.962432858</v>
      </c>
      <c r="R53" s="12">
        <f t="shared" ca="1" si="52"/>
        <v>19807171.788602464</v>
      </c>
      <c r="S53" s="12">
        <f t="shared" ca="1" si="52"/>
        <v>21063313.933643576</v>
      </c>
      <c r="T53" s="12">
        <f t="shared" ca="1" si="52"/>
        <v>21735577.129386369</v>
      </c>
      <c r="U53" s="12">
        <f t="shared" ca="1" si="52"/>
        <v>22351024.204588462</v>
      </c>
      <c r="V53" s="12">
        <f t="shared" ca="1" si="52"/>
        <v>23409032.722446308</v>
      </c>
      <c r="W53" s="12">
        <f t="shared" ca="1" si="52"/>
        <v>24128731.487317212</v>
      </c>
      <c r="X53" s="12">
        <f t="shared" ca="1" si="52"/>
        <v>24943716.275315102</v>
      </c>
      <c r="Y53" s="12">
        <f t="shared" ca="1" si="52"/>
        <v>25865985.142294705</v>
      </c>
      <c r="Z53" s="12">
        <f t="shared" ref="Z53" ca="1" si="53">Z51</f>
        <v>26734158.406627659</v>
      </c>
    </row>
    <row r="54" spans="5:27" x14ac:dyDescent="0.25">
      <c r="E54" s="7" t="s">
        <v>58</v>
      </c>
      <c r="F54" s="7"/>
      <c r="G54" s="7"/>
      <c r="H54" s="7"/>
      <c r="I54" s="7"/>
      <c r="J54" s="10">
        <f t="shared" ref="J54:Y54" si="54">J50-J53</f>
        <v>1286187</v>
      </c>
      <c r="K54" s="10">
        <f t="shared" si="54"/>
        <v>16497054</v>
      </c>
      <c r="L54" s="10">
        <f t="shared" si="54"/>
        <v>27837256</v>
      </c>
      <c r="M54" s="10">
        <f t="shared" si="54"/>
        <v>40352562</v>
      </c>
      <c r="N54" s="10">
        <f t="shared" si="54"/>
        <v>50729739</v>
      </c>
      <c r="O54" s="10">
        <f t="shared" si="54"/>
        <v>30720845</v>
      </c>
      <c r="P54" s="303">
        <f t="shared" si="54"/>
        <v>31136152.897597052</v>
      </c>
      <c r="Q54" s="16">
        <f t="shared" ca="1" si="54"/>
        <v>37914427.501661018</v>
      </c>
      <c r="R54" s="16">
        <f t="shared" ca="1" si="54"/>
        <v>36784747.607404582</v>
      </c>
      <c r="S54" s="16">
        <f t="shared" ca="1" si="54"/>
        <v>39117583.019623786</v>
      </c>
      <c r="T54" s="16">
        <f t="shared" ca="1" si="54"/>
        <v>40366071.811717555</v>
      </c>
      <c r="U54" s="16">
        <f t="shared" ca="1" si="54"/>
        <v>41509044.951378584</v>
      </c>
      <c r="V54" s="16">
        <f t="shared" ca="1" si="54"/>
        <v>43473917.913114578</v>
      </c>
      <c r="W54" s="16">
        <f t="shared" ca="1" si="54"/>
        <v>44810501.333589114</v>
      </c>
      <c r="X54" s="16">
        <f t="shared" ca="1" si="54"/>
        <v>46324044.511299476</v>
      </c>
      <c r="Y54" s="16">
        <f t="shared" ca="1" si="54"/>
        <v>48036829.549975887</v>
      </c>
      <c r="Z54" s="16">
        <f t="shared" ref="Z54" ca="1" si="55">Z50-Z53</f>
        <v>49649151.326594234</v>
      </c>
    </row>
    <row r="55" spans="5:27" x14ac:dyDescent="0.25">
      <c r="E55" s="83" t="s">
        <v>59</v>
      </c>
      <c r="F55" s="83"/>
      <c r="G55" s="83"/>
      <c r="H55" s="83"/>
      <c r="I55" s="83"/>
      <c r="J55" s="115">
        <f t="shared" ref="J55:Y55" si="56">J54/J39</f>
        <v>4.0339147961529062E-3</v>
      </c>
      <c r="K55" s="115">
        <f t="shared" si="56"/>
        <v>4.601245276365263E-2</v>
      </c>
      <c r="L55" s="115">
        <f t="shared" si="56"/>
        <v>7.2533548509611745E-2</v>
      </c>
      <c r="M55" s="115">
        <f t="shared" si="56"/>
        <v>9.2194062865920509E-2</v>
      </c>
      <c r="N55" s="115">
        <f t="shared" si="56"/>
        <v>9.5681914651247757E-2</v>
      </c>
      <c r="O55" s="115">
        <f t="shared" si="56"/>
        <v>5.5379849648096245E-2</v>
      </c>
      <c r="P55" s="100">
        <f t="shared" si="56"/>
        <v>5.3695137902041168E-2</v>
      </c>
      <c r="Q55" s="101">
        <f t="shared" ca="1" si="56"/>
        <v>6.461043489488294E-2</v>
      </c>
      <c r="R55" s="101">
        <f t="shared" ca="1" si="56"/>
        <v>6.030833026941191E-2</v>
      </c>
      <c r="S55" s="101">
        <f t="shared" ca="1" si="56"/>
        <v>6.3014433428475125E-2</v>
      </c>
      <c r="T55" s="101">
        <f t="shared" ca="1" si="56"/>
        <v>6.2956522715683513E-2</v>
      </c>
      <c r="U55" s="101">
        <f t="shared" ca="1" si="56"/>
        <v>6.2734075856565E-2</v>
      </c>
      <c r="V55" s="101">
        <f t="shared" ca="1" si="56"/>
        <v>6.3805950973342754E-2</v>
      </c>
      <c r="W55" s="101">
        <f t="shared" ca="1" si="56"/>
        <v>6.3955490925004813E-2</v>
      </c>
      <c r="X55" s="101">
        <f t="shared" ca="1" si="56"/>
        <v>6.4343960353162227E-2</v>
      </c>
      <c r="Y55" s="101">
        <f t="shared" ca="1" si="56"/>
        <v>6.4935013864008309E-2</v>
      </c>
      <c r="Z55" s="101">
        <f t="shared" ref="Z55" ca="1" si="57">Z54/Z39</f>
        <v>6.5316020176321585E-2</v>
      </c>
    </row>
    <row r="56" spans="5:27" outlineLevel="1" x14ac:dyDescent="0.25"/>
    <row r="57" spans="5:27" x14ac:dyDescent="0.25">
      <c r="P57" s="20"/>
    </row>
    <row r="58" spans="5:27" ht="20.100000000000001" customHeight="1" x14ac:dyDescent="0.25">
      <c r="E58" s="116" t="s">
        <v>60</v>
      </c>
      <c r="F58" s="116"/>
      <c r="G58" s="22"/>
      <c r="H58" s="22"/>
      <c r="I58" s="22"/>
      <c r="J58" s="117">
        <f>(174615+134555+30897943)*0+27418300+392300</f>
        <v>27810600</v>
      </c>
      <c r="K58" s="117">
        <f>K59-K44</f>
        <v>27140442</v>
      </c>
      <c r="L58" s="191">
        <v>36475287.061526999</v>
      </c>
      <c r="M58" s="191">
        <f>M59-M44</f>
        <v>32302259</v>
      </c>
      <c r="N58" s="191">
        <f>34849889+174284+3477583*0</f>
        <v>35024173</v>
      </c>
      <c r="O58" s="191">
        <f>31606509+29761+2125537*0</f>
        <v>31636270</v>
      </c>
      <c r="P58" s="118">
        <f>O58*(1+Macros!O4)</f>
        <v>34572115.855999999</v>
      </c>
      <c r="Q58" s="119">
        <f>P58*(1+Macros!P$4)</f>
        <v>36369865.880511999</v>
      </c>
      <c r="R58" s="119">
        <f>Q58*(1+Macros!Q$4)</f>
        <v>37952046.334677629</v>
      </c>
      <c r="S58" s="119">
        <f>R58*(1+Macros!R$4)</f>
        <v>39446431.309853822</v>
      </c>
      <c r="T58" s="119">
        <f>S58*(1+Macros!S$4)</f>
        <v>40906446.687817238</v>
      </c>
      <c r="U58" s="119">
        <f>T58*(1+Macros!T$4)</f>
        <v>42395271.994564503</v>
      </c>
      <c r="V58" s="119">
        <f>U58*(1+Macros!U$4)</f>
        <v>43904368.161144942</v>
      </c>
      <c r="W58" s="119">
        <f>V58*(1+Macros!V$4)</f>
        <v>45353212.310462721</v>
      </c>
      <c r="X58" s="119">
        <f>W58*(1+Macros!W$4)</f>
        <v>46713808.679776601</v>
      </c>
      <c r="Y58" s="119">
        <f>X58*(1+Macros!X$4)</f>
        <v>48115222.940169901</v>
      </c>
      <c r="Z58" s="119">
        <f>Y58*(1+Macros!Y$4)</f>
        <v>49558679.628375001</v>
      </c>
    </row>
    <row r="59" spans="5:27" ht="20.100000000000001" customHeight="1" x14ac:dyDescent="0.25">
      <c r="E59" s="7" t="s">
        <v>61</v>
      </c>
      <c r="F59" s="7"/>
      <c r="G59" s="10">
        <v>70372000</v>
      </c>
      <c r="H59" s="10">
        <v>98418000</v>
      </c>
      <c r="I59" s="10">
        <v>78001000</v>
      </c>
      <c r="J59" s="10">
        <f>J44+J58</f>
        <v>42757467</v>
      </c>
      <c r="K59" s="10">
        <v>68929900</v>
      </c>
      <c r="L59" s="10">
        <v>86680031.134038493</v>
      </c>
      <c r="M59" s="10">
        <f>70331829+31921981+380278+2715089*0</f>
        <v>102634088</v>
      </c>
      <c r="N59" s="10">
        <f t="shared" ref="N59:O59" si="58">N44+N58</f>
        <v>132525991</v>
      </c>
      <c r="O59" s="10">
        <f t="shared" si="58"/>
        <v>105562792</v>
      </c>
      <c r="P59" s="303">
        <f>P44+P58</f>
        <v>114405800.07384357</v>
      </c>
      <c r="Q59" s="16">
        <f t="shared" ref="Q59:Y59" si="59">Q44+Q58</f>
        <v>120202548.88065994</v>
      </c>
      <c r="R59" s="16">
        <f t="shared" si="59"/>
        <v>120058622.05937123</v>
      </c>
      <c r="S59" s="16">
        <f t="shared" si="59"/>
        <v>125153188.17142594</v>
      </c>
      <c r="T59" s="16">
        <f t="shared" si="59"/>
        <v>128544901.4439384</v>
      </c>
      <c r="U59" s="16">
        <f t="shared" si="59"/>
        <v>131803308.86368001</v>
      </c>
      <c r="V59" s="16">
        <f t="shared" si="59"/>
        <v>136346600.38100174</v>
      </c>
      <c r="W59" s="16">
        <f t="shared" si="59"/>
        <v>139862588.87036467</v>
      </c>
      <c r="X59" s="16">
        <f t="shared" si="59"/>
        <v>143561913.75611842</v>
      </c>
      <c r="Y59" s="16">
        <f t="shared" si="59"/>
        <v>147608888.48942131</v>
      </c>
      <c r="Z59" s="16">
        <f t="shared" ref="Z59" si="60">Z44+Z58</f>
        <v>151543661.98284885</v>
      </c>
    </row>
    <row r="60" spans="5:27" ht="20.100000000000001" customHeight="1" x14ac:dyDescent="0.25">
      <c r="E60" s="83" t="s">
        <v>62</v>
      </c>
      <c r="F60" s="83"/>
      <c r="G60" s="115">
        <f t="shared" ref="G60:Y60" si="61">G59/G39</f>
        <v>0.22348229230092229</v>
      </c>
      <c r="H60" s="115">
        <f t="shared" si="61"/>
        <v>0.26975370284772127</v>
      </c>
      <c r="I60" s="115">
        <f t="shared" si="61"/>
        <v>0.22485262987233476</v>
      </c>
      <c r="J60" s="115">
        <f t="shared" si="61"/>
        <v>0.13410178984651502</v>
      </c>
      <c r="K60" s="115">
        <f t="shared" si="61"/>
        <v>0.19225455452551102</v>
      </c>
      <c r="L60" s="115">
        <f t="shared" si="61"/>
        <v>0.22585596235043559</v>
      </c>
      <c r="M60" s="115">
        <f t="shared" si="61"/>
        <v>0.23448953653199064</v>
      </c>
      <c r="N60" s="115">
        <f t="shared" si="61"/>
        <v>0.24995871869031355</v>
      </c>
      <c r="O60" s="115">
        <f t="shared" si="61"/>
        <v>0.19029592283002816</v>
      </c>
      <c r="P60" s="100">
        <f t="shared" si="61"/>
        <v>0.19729589689394395</v>
      </c>
      <c r="Q60" s="101">
        <f t="shared" si="61"/>
        <v>0.20483861871084885</v>
      </c>
      <c r="R60" s="101">
        <f t="shared" si="61"/>
        <v>0.19683525106991842</v>
      </c>
      <c r="S60" s="101">
        <f t="shared" si="61"/>
        <v>0.2016090114880924</v>
      </c>
      <c r="T60" s="101">
        <f t="shared" si="61"/>
        <v>0.20048371428084877</v>
      </c>
      <c r="U60" s="101">
        <f t="shared" si="61"/>
        <v>0.19919896461327172</v>
      </c>
      <c r="V60" s="101">
        <f t="shared" si="61"/>
        <v>0.20011365243590681</v>
      </c>
      <c r="W60" s="101">
        <f t="shared" si="61"/>
        <v>0.19961795264587448</v>
      </c>
      <c r="X60" s="101">
        <f t="shared" si="61"/>
        <v>0.1994070721673403</v>
      </c>
      <c r="Y60" s="101">
        <f t="shared" si="61"/>
        <v>0.19953409311785528</v>
      </c>
      <c r="Z60" s="101">
        <f t="shared" ref="Z60" si="62">Z59/Z39</f>
        <v>0.19936350610616568</v>
      </c>
    </row>
    <row r="61" spans="5:27" x14ac:dyDescent="0.25">
      <c r="E61" s="1" t="s">
        <v>344</v>
      </c>
      <c r="L61" s="20">
        <f t="shared" ref="L61:P61" si="63">L59/K59-1</f>
        <v>0.25750989242750233</v>
      </c>
      <c r="M61" s="20">
        <f t="shared" si="63"/>
        <v>0.18405688896547345</v>
      </c>
      <c r="N61" s="20">
        <f t="shared" si="63"/>
        <v>0.29124731931168912</v>
      </c>
      <c r="O61" s="20">
        <f t="shared" si="63"/>
        <v>-0.20345593190093558</v>
      </c>
      <c r="P61" s="20">
        <f t="shared" si="63"/>
        <v>8.3770123035809441E-2</v>
      </c>
      <c r="Q61" s="20">
        <f>Q59/P59-1</f>
        <v>5.0668312297758034E-2</v>
      </c>
      <c r="R61" s="20">
        <f t="shared" ref="R61:AA61" si="64">R59/Q59-1</f>
        <v>-1.1973691292652688E-3</v>
      </c>
      <c r="S61" s="20">
        <f t="shared" si="64"/>
        <v>4.2433987869153977E-2</v>
      </c>
      <c r="T61" s="20">
        <f t="shared" si="64"/>
        <v>2.7100494378670792E-2</v>
      </c>
      <c r="U61" s="20">
        <f t="shared" si="64"/>
        <v>2.534839875514372E-2</v>
      </c>
      <c r="V61" s="20">
        <f t="shared" si="64"/>
        <v>3.44702386949991E-2</v>
      </c>
      <c r="W61" s="20">
        <f t="shared" si="64"/>
        <v>2.5787137189618115E-2</v>
      </c>
      <c r="X61" s="20">
        <f t="shared" si="64"/>
        <v>2.6449709787529807E-2</v>
      </c>
      <c r="Y61" s="20">
        <f t="shared" si="64"/>
        <v>2.818975191552453E-2</v>
      </c>
      <c r="Z61" s="20">
        <f t="shared" si="64"/>
        <v>2.6656751728806105E-2</v>
      </c>
      <c r="AA61" s="20">
        <f t="shared" si="64"/>
        <v>-1</v>
      </c>
    </row>
    <row r="62" spans="5:27" x14ac:dyDescent="0.25">
      <c r="E62" s="1" t="s">
        <v>345</v>
      </c>
      <c r="L62" s="265">
        <f t="shared" ref="L62:P62" si="65">L58/K58-1</f>
        <v>0.34394594832048053</v>
      </c>
      <c r="M62" s="265">
        <f t="shared" si="65"/>
        <v>-0.11440699711253488</v>
      </c>
      <c r="N62" s="265">
        <f t="shared" si="65"/>
        <v>8.4263890027010291E-2</v>
      </c>
      <c r="O62" s="265">
        <f t="shared" si="65"/>
        <v>-9.6730421015222778E-2</v>
      </c>
      <c r="P62" s="265">
        <f t="shared" si="65"/>
        <v>9.2799999999999994E-2</v>
      </c>
      <c r="Q62" s="265">
        <f>Q58/P58-1</f>
        <v>5.2000000000000046E-2</v>
      </c>
      <c r="R62" s="265">
        <f t="shared" ref="R62:AA62" si="66">R58/Q58-1</f>
        <v>4.3502509999999939E-2</v>
      </c>
      <c r="S62" s="265">
        <f t="shared" si="66"/>
        <v>3.9375610000000005E-2</v>
      </c>
      <c r="T62" s="265">
        <f t="shared" si="66"/>
        <v>3.7012610000000112E-2</v>
      </c>
      <c r="U62" s="265">
        <f t="shared" si="66"/>
        <v>3.6395860000000058E-2</v>
      </c>
      <c r="V62" s="265">
        <f t="shared" si="66"/>
        <v>3.5595859999999924E-2</v>
      </c>
      <c r="W62" s="265">
        <f t="shared" si="66"/>
        <v>3.2999999999999918E-2</v>
      </c>
      <c r="X62" s="265">
        <f t="shared" si="66"/>
        <v>3.0000000000000027E-2</v>
      </c>
      <c r="Y62" s="265">
        <f t="shared" si="66"/>
        <v>3.0000000000000027E-2</v>
      </c>
      <c r="Z62" s="265">
        <f t="shared" si="66"/>
        <v>3.0000000000000027E-2</v>
      </c>
      <c r="AA62" s="265">
        <f t="shared" si="66"/>
        <v>-1</v>
      </c>
    </row>
    <row r="64" spans="5:27" x14ac:dyDescent="0.25">
      <c r="E64" s="5" t="s">
        <v>63</v>
      </c>
      <c r="F64" s="5"/>
      <c r="G64" s="5"/>
      <c r="H64" s="5"/>
      <c r="I64" s="5"/>
      <c r="J64" s="5"/>
      <c r="K64" s="5"/>
      <c r="L64" s="5"/>
      <c r="M64" s="5"/>
      <c r="N64" s="5"/>
      <c r="O64" s="5"/>
      <c r="P64" s="5"/>
      <c r="Q64" s="5"/>
      <c r="R64" s="5"/>
      <c r="S64" s="5"/>
      <c r="T64" s="5"/>
      <c r="U64" s="5"/>
      <c r="V64" s="5"/>
      <c r="W64" s="5"/>
      <c r="X64" s="5"/>
      <c r="Y64" s="5"/>
      <c r="Z64" s="5"/>
    </row>
    <row r="66" spans="5:27" x14ac:dyDescent="0.25">
      <c r="E66" s="1" t="s">
        <v>64</v>
      </c>
      <c r="G66" s="112">
        <f t="shared" ref="G66:M66" si="67">(G105/G39)*360</f>
        <v>0</v>
      </c>
      <c r="H66" s="112">
        <f t="shared" si="67"/>
        <v>0</v>
      </c>
      <c r="I66" s="112">
        <f t="shared" si="67"/>
        <v>0</v>
      </c>
      <c r="J66" s="112">
        <f t="shared" si="67"/>
        <v>50.844482817587057</v>
      </c>
      <c r="K66" s="112">
        <f t="shared" si="67"/>
        <v>40.437065048367202</v>
      </c>
      <c r="L66" s="112">
        <f t="shared" si="67"/>
        <v>38.334444408081453</v>
      </c>
      <c r="M66" s="112">
        <f t="shared" si="67"/>
        <v>39.489619935474792</v>
      </c>
      <c r="N66" s="112">
        <f t="shared" ref="N66" si="68">(N105/N39)*360</f>
        <v>40.353001200064476</v>
      </c>
      <c r="O66" s="112">
        <f>(O105/O39)*360</f>
        <v>45.60332493634823</v>
      </c>
      <c r="P66" s="112">
        <f>(P105/P39)*360</f>
        <v>47.455578498630203</v>
      </c>
      <c r="Q66" s="357">
        <v>44.470634878347632</v>
      </c>
      <c r="R66" s="113">
        <f>Q66</f>
        <v>44.470634878347632</v>
      </c>
      <c r="S66" s="113">
        <f t="shared" ref="S66:Z66" si="69">R66</f>
        <v>44.470634878347632</v>
      </c>
      <c r="T66" s="113">
        <f t="shared" si="69"/>
        <v>44.470634878347632</v>
      </c>
      <c r="U66" s="113">
        <f t="shared" si="69"/>
        <v>44.470634878347632</v>
      </c>
      <c r="V66" s="113">
        <f t="shared" si="69"/>
        <v>44.470634878347632</v>
      </c>
      <c r="W66" s="113">
        <f t="shared" si="69"/>
        <v>44.470634878347632</v>
      </c>
      <c r="X66" s="113">
        <f t="shared" si="69"/>
        <v>44.470634878347632</v>
      </c>
      <c r="Y66" s="113">
        <f t="shared" si="69"/>
        <v>44.470634878347632</v>
      </c>
      <c r="Z66" s="113">
        <f t="shared" si="69"/>
        <v>44.470634878347632</v>
      </c>
    </row>
    <row r="67" spans="5:27" x14ac:dyDescent="0.25">
      <c r="E67" s="1" t="s">
        <v>65</v>
      </c>
      <c r="G67" s="112">
        <f t="shared" ref="G67:M67" si="70">G106/G40*360</f>
        <v>0</v>
      </c>
      <c r="H67" s="112">
        <f t="shared" si="70"/>
        <v>0</v>
      </c>
      <c r="I67" s="112">
        <f t="shared" si="70"/>
        <v>0</v>
      </c>
      <c r="J67" s="112">
        <f t="shared" si="70"/>
        <v>23.98974146098087</v>
      </c>
      <c r="K67" s="112">
        <f t="shared" si="70"/>
        <v>25.809638745727074</v>
      </c>
      <c r="L67" s="112">
        <f t="shared" si="70"/>
        <v>25.333549933453224</v>
      </c>
      <c r="M67" s="112">
        <f t="shared" si="70"/>
        <v>25.578712528683777</v>
      </c>
      <c r="N67" s="112">
        <f t="shared" ref="N67" si="71">N106/N40*360</f>
        <v>20.859395238893043</v>
      </c>
      <c r="O67" s="112">
        <f>O106/O40*360</f>
        <v>18.131501994692368</v>
      </c>
      <c r="P67" s="112">
        <f>P106/P40*360</f>
        <v>16.917949648139775</v>
      </c>
      <c r="Q67" s="113">
        <f>AVERAGE(O67:P67)</f>
        <v>17.524725821416069</v>
      </c>
      <c r="R67" s="113">
        <f t="shared" ref="R67:Z67" si="72">Q67</f>
        <v>17.524725821416069</v>
      </c>
      <c r="S67" s="113">
        <f t="shared" si="72"/>
        <v>17.524725821416069</v>
      </c>
      <c r="T67" s="113">
        <f t="shared" si="72"/>
        <v>17.524725821416069</v>
      </c>
      <c r="U67" s="113">
        <f t="shared" si="72"/>
        <v>17.524725821416069</v>
      </c>
      <c r="V67" s="113">
        <f t="shared" si="72"/>
        <v>17.524725821416069</v>
      </c>
      <c r="W67" s="113">
        <f t="shared" si="72"/>
        <v>17.524725821416069</v>
      </c>
      <c r="X67" s="113">
        <f t="shared" si="72"/>
        <v>17.524725821416069</v>
      </c>
      <c r="Y67" s="113">
        <f t="shared" si="72"/>
        <v>17.524725821416069</v>
      </c>
      <c r="Z67" s="113">
        <f t="shared" si="72"/>
        <v>17.524725821416069</v>
      </c>
    </row>
    <row r="68" spans="5:27" x14ac:dyDescent="0.25">
      <c r="E68" s="1" t="s">
        <v>66</v>
      </c>
      <c r="G68" s="112">
        <f t="shared" ref="G68:M68" si="73">G116/G40*360</f>
        <v>0</v>
      </c>
      <c r="H68" s="112">
        <f t="shared" si="73"/>
        <v>0</v>
      </c>
      <c r="I68" s="112">
        <f t="shared" si="73"/>
        <v>0</v>
      </c>
      <c r="J68" s="112">
        <f t="shared" si="73"/>
        <v>32.522228033329874</v>
      </c>
      <c r="K68" s="112">
        <f t="shared" si="73"/>
        <v>41.084495933999499</v>
      </c>
      <c r="L68" s="112">
        <f t="shared" si="73"/>
        <v>53.059804253146901</v>
      </c>
      <c r="M68" s="112">
        <f t="shared" si="73"/>
        <v>50.613264402641711</v>
      </c>
      <c r="N68" s="112">
        <f t="shared" ref="N68" si="74">N116/N40*360</f>
        <v>54.061996527983148</v>
      </c>
      <c r="O68" s="112">
        <f>O116/O40*360</f>
        <v>47.66552107227286</v>
      </c>
      <c r="P68" s="112">
        <f>P116/P40*360</f>
        <v>34.074942267110444</v>
      </c>
      <c r="Q68" s="357">
        <v>34.074942267110444</v>
      </c>
      <c r="R68" s="113">
        <f t="shared" ref="R68:Z68" si="75">Q68+1</f>
        <v>35.074942267110444</v>
      </c>
      <c r="S68" s="113">
        <f t="shared" si="75"/>
        <v>36.074942267110444</v>
      </c>
      <c r="T68" s="113">
        <f t="shared" si="75"/>
        <v>37.074942267110444</v>
      </c>
      <c r="U68" s="113">
        <f t="shared" si="75"/>
        <v>38.074942267110444</v>
      </c>
      <c r="V68" s="113">
        <f t="shared" si="75"/>
        <v>39.074942267110444</v>
      </c>
      <c r="W68" s="113">
        <f t="shared" si="75"/>
        <v>40.074942267110444</v>
      </c>
      <c r="X68" s="113">
        <f t="shared" si="75"/>
        <v>41.074942267110444</v>
      </c>
      <c r="Y68" s="113">
        <f t="shared" si="75"/>
        <v>42.074942267110444</v>
      </c>
      <c r="Z68" s="113">
        <f t="shared" si="75"/>
        <v>43.074942267110444</v>
      </c>
    </row>
    <row r="69" spans="5:27" x14ac:dyDescent="0.25">
      <c r="J69" s="11"/>
      <c r="AA69" s="1" t="s">
        <v>67</v>
      </c>
    </row>
    <row r="70" spans="5:27" x14ac:dyDescent="0.25">
      <c r="E70" s="1" t="s">
        <v>68</v>
      </c>
      <c r="J70" s="114">
        <f>J104/J43*360</f>
        <v>6.3143853334160873</v>
      </c>
      <c r="K70" s="1">
        <v>10</v>
      </c>
      <c r="L70" s="1">
        <f>K70</f>
        <v>10</v>
      </c>
      <c r="M70" s="1">
        <f t="shared" ref="M70:Z70" si="76">L70</f>
        <v>10</v>
      </c>
      <c r="N70" s="1">
        <f t="shared" si="76"/>
        <v>10</v>
      </c>
      <c r="O70" s="1">
        <f t="shared" si="76"/>
        <v>10</v>
      </c>
      <c r="P70" s="1">
        <f t="shared" si="76"/>
        <v>10</v>
      </c>
      <c r="Q70" s="1">
        <f t="shared" si="76"/>
        <v>10</v>
      </c>
      <c r="R70" s="1">
        <f t="shared" si="76"/>
        <v>10</v>
      </c>
      <c r="S70" s="1">
        <f t="shared" si="76"/>
        <v>10</v>
      </c>
      <c r="T70" s="1">
        <f t="shared" si="76"/>
        <v>10</v>
      </c>
      <c r="U70" s="1">
        <f t="shared" si="76"/>
        <v>10</v>
      </c>
      <c r="V70" s="1">
        <f t="shared" si="76"/>
        <v>10</v>
      </c>
      <c r="W70" s="1">
        <f t="shared" si="76"/>
        <v>10</v>
      </c>
      <c r="X70" s="1">
        <f t="shared" si="76"/>
        <v>10</v>
      </c>
      <c r="Y70" s="1">
        <f t="shared" si="76"/>
        <v>10</v>
      </c>
      <c r="Z70" s="1">
        <f t="shared" si="76"/>
        <v>10</v>
      </c>
    </row>
    <row r="72" spans="5:27" x14ac:dyDescent="0.25">
      <c r="E72" s="5" t="s">
        <v>69</v>
      </c>
      <c r="F72" s="5"/>
      <c r="G72" s="6">
        <f t="shared" ref="G72:Z72" si="77">G$2</f>
        <v>2015</v>
      </c>
      <c r="H72" s="6">
        <f t="shared" si="77"/>
        <v>2016</v>
      </c>
      <c r="I72" s="6">
        <f t="shared" si="77"/>
        <v>2017</v>
      </c>
      <c r="J72" s="6">
        <f t="shared" si="77"/>
        <v>2018</v>
      </c>
      <c r="K72" s="6">
        <f t="shared" si="77"/>
        <v>2019</v>
      </c>
      <c r="L72" s="6">
        <f t="shared" si="77"/>
        <v>2020</v>
      </c>
      <c r="M72" s="6">
        <f t="shared" si="77"/>
        <v>2021</v>
      </c>
      <c r="N72" s="6">
        <f t="shared" si="77"/>
        <v>2022</v>
      </c>
      <c r="O72" s="6">
        <f t="shared" si="77"/>
        <v>2023</v>
      </c>
      <c r="P72" s="6">
        <f t="shared" si="77"/>
        <v>2024</v>
      </c>
      <c r="Q72" s="6">
        <f t="shared" si="77"/>
        <v>2025</v>
      </c>
      <c r="R72" s="6">
        <f t="shared" si="77"/>
        <v>2026</v>
      </c>
      <c r="S72" s="6">
        <f t="shared" si="77"/>
        <v>2027</v>
      </c>
      <c r="T72" s="6">
        <f t="shared" si="77"/>
        <v>2028</v>
      </c>
      <c r="U72" s="6">
        <f t="shared" si="77"/>
        <v>2029</v>
      </c>
      <c r="V72" s="6">
        <f t="shared" si="77"/>
        <v>2030</v>
      </c>
      <c r="W72" s="6">
        <f t="shared" si="77"/>
        <v>2031</v>
      </c>
      <c r="X72" s="6">
        <f t="shared" si="77"/>
        <v>2032</v>
      </c>
      <c r="Y72" s="6">
        <f t="shared" si="77"/>
        <v>2033</v>
      </c>
      <c r="Z72" s="6">
        <f t="shared" si="77"/>
        <v>2034</v>
      </c>
    </row>
    <row r="74" spans="5:27" x14ac:dyDescent="0.25">
      <c r="E74" s="3" t="s">
        <v>61</v>
      </c>
      <c r="F74" s="3"/>
      <c r="K74" s="12">
        <f t="shared" ref="K74:Y74" si="78">K59</f>
        <v>68929900</v>
      </c>
      <c r="L74" s="12">
        <f t="shared" si="78"/>
        <v>86680031.134038493</v>
      </c>
      <c r="M74" s="12">
        <f t="shared" si="78"/>
        <v>102634088</v>
      </c>
      <c r="N74" s="12">
        <f t="shared" si="78"/>
        <v>132525991</v>
      </c>
      <c r="O74" s="12">
        <f t="shared" ref="O74" si="79">O59</f>
        <v>105562792</v>
      </c>
      <c r="P74" s="12">
        <f>P59</f>
        <v>114405800.07384357</v>
      </c>
      <c r="Q74" s="12">
        <f t="shared" si="78"/>
        <v>120202548.88065994</v>
      </c>
      <c r="R74" s="12">
        <f t="shared" si="78"/>
        <v>120058622.05937123</v>
      </c>
      <c r="S74" s="12">
        <f t="shared" si="78"/>
        <v>125153188.17142594</v>
      </c>
      <c r="T74" s="12">
        <f t="shared" si="78"/>
        <v>128544901.4439384</v>
      </c>
      <c r="U74" s="12">
        <f t="shared" si="78"/>
        <v>131803308.86368001</v>
      </c>
      <c r="V74" s="12">
        <f t="shared" si="78"/>
        <v>136346600.38100174</v>
      </c>
      <c r="W74" s="12">
        <f t="shared" si="78"/>
        <v>139862588.87036467</v>
      </c>
      <c r="X74" s="12">
        <f t="shared" si="78"/>
        <v>143561913.75611842</v>
      </c>
      <c r="Y74" s="12">
        <f t="shared" si="78"/>
        <v>147608888.48942131</v>
      </c>
      <c r="Z74" s="12">
        <f t="shared" ref="Z74" si="80">Z59</f>
        <v>151543661.98284885</v>
      </c>
    </row>
    <row r="75" spans="5:27" outlineLevel="1" x14ac:dyDescent="0.25">
      <c r="E75" s="79" t="s">
        <v>64</v>
      </c>
      <c r="F75" s="79"/>
      <c r="G75" s="80"/>
      <c r="H75" s="80"/>
      <c r="I75" s="80"/>
      <c r="J75" s="80"/>
      <c r="K75" s="19">
        <f t="shared" ref="K75:N76" si="81">K105-J105</f>
        <v>-4759282</v>
      </c>
      <c r="L75" s="19">
        <f t="shared" si="81"/>
        <v>594675</v>
      </c>
      <c r="M75" s="19">
        <f t="shared" si="81"/>
        <v>7144736.0000000075</v>
      </c>
      <c r="N75" s="19">
        <f t="shared" ref="N75" si="82">N105-M105</f>
        <v>11418182.999999985</v>
      </c>
      <c r="O75" s="19">
        <f>O105-N105</f>
        <v>10840828.000000007</v>
      </c>
      <c r="P75" s="19">
        <f>P105-O105</f>
        <v>6168078.3752599955</v>
      </c>
      <c r="Q75" s="19">
        <f t="shared" ref="Q75:Q76" si="83">Q105-P105</f>
        <v>-3949865.1406776607</v>
      </c>
      <c r="R75" s="19">
        <f t="shared" ref="R75:R76" si="84">R105-Q105</f>
        <v>2857098.2374269068</v>
      </c>
      <c r="S75" s="19">
        <f t="shared" ref="S75:S76" si="85">S105-R105</f>
        <v>1337463.7700545937</v>
      </c>
      <c r="T75" s="19">
        <f t="shared" ref="T75:T76" si="86">T105-S105</f>
        <v>2520248.0399449915</v>
      </c>
      <c r="U75" s="19">
        <f t="shared" ref="U75:U76" si="87">U105-T105</f>
        <v>2531472.8086775541</v>
      </c>
      <c r="V75" s="19">
        <f t="shared" ref="V75:V76" si="88">V105-U105</f>
        <v>2430960.3974905461</v>
      </c>
      <c r="W75" s="19">
        <f t="shared" ref="W75:W76" si="89">W105-V105</f>
        <v>2384803.9438498914</v>
      </c>
      <c r="X75" s="19">
        <f t="shared" ref="X75:X76" si="90">X105-W105</f>
        <v>2383204.6030761898</v>
      </c>
      <c r="Y75" s="19">
        <f t="shared" ref="Y75:Z76" si="91">Y105-X105</f>
        <v>2448826.6636495441</v>
      </c>
      <c r="Z75" s="19">
        <f t="shared" si="91"/>
        <v>2516255.6420294344</v>
      </c>
    </row>
    <row r="76" spans="5:27" outlineLevel="1" x14ac:dyDescent="0.25">
      <c r="E76" s="79" t="s">
        <v>70</v>
      </c>
      <c r="F76" s="79"/>
      <c r="G76" s="80"/>
      <c r="H76" s="80"/>
      <c r="I76" s="80"/>
      <c r="J76" s="80"/>
      <c r="K76" s="19">
        <f t="shared" si="81"/>
        <v>2224602</v>
      </c>
      <c r="L76" s="19">
        <f t="shared" si="81"/>
        <v>514210</v>
      </c>
      <c r="M76" s="19">
        <f t="shared" si="81"/>
        <v>2320591</v>
      </c>
      <c r="N76" s="19">
        <f t="shared" si="81"/>
        <v>-600869</v>
      </c>
      <c r="O76" s="19">
        <f t="shared" ref="O76" si="92">O106-N106</f>
        <v>-723197</v>
      </c>
      <c r="P76" s="19">
        <f t="shared" ref="P76" si="93">P106-O106</f>
        <v>-964244.70218545198</v>
      </c>
      <c r="Q76" s="19">
        <f t="shared" si="83"/>
        <v>767418.99827160314</v>
      </c>
      <c r="R76" s="19">
        <f t="shared" si="84"/>
        <v>1094297.6694749855</v>
      </c>
      <c r="S76" s="19">
        <f t="shared" si="85"/>
        <v>242583.18388140947</v>
      </c>
      <c r="T76" s="19">
        <f t="shared" si="86"/>
        <v>792421.24329747632</v>
      </c>
      <c r="U76" s="19">
        <f t="shared" si="87"/>
        <v>802630.75656750053</v>
      </c>
      <c r="V76" s="19">
        <f t="shared" si="88"/>
        <v>699978.7631393373</v>
      </c>
      <c r="W76" s="19">
        <f t="shared" si="89"/>
        <v>733269.20183158293</v>
      </c>
      <c r="X76" s="19">
        <f t="shared" si="90"/>
        <v>725868.07449773327</v>
      </c>
      <c r="Y76" s="19">
        <f t="shared" si="91"/>
        <v>733808.24311824888</v>
      </c>
      <c r="Z76" s="19">
        <f t="shared" si="91"/>
        <v>764816.03954157233</v>
      </c>
    </row>
    <row r="77" spans="5:27" outlineLevel="1" x14ac:dyDescent="0.25">
      <c r="E77" s="79" t="s">
        <v>66</v>
      </c>
      <c r="F77" s="79"/>
      <c r="G77" s="80"/>
      <c r="H77" s="80"/>
      <c r="I77" s="80"/>
      <c r="J77" s="80"/>
      <c r="K77" s="19">
        <f>-(K116-J116)</f>
        <v>-7860093</v>
      </c>
      <c r="L77" s="19">
        <f t="shared" ref="L77:Z77" si="94">-(L116-K116)</f>
        <v>-11387255</v>
      </c>
      <c r="M77" s="19">
        <f t="shared" si="94"/>
        <v>-2158499.0000000075</v>
      </c>
      <c r="N77" s="19">
        <f t="shared" si="94"/>
        <v>-12755106.999999993</v>
      </c>
      <c r="O77" s="19">
        <f t="shared" ref="O77" si="95">-(O116-N116)</f>
        <v>1056258</v>
      </c>
      <c r="P77" s="19">
        <f>-(P116-O116)</f>
        <v>15481207.886630915</v>
      </c>
      <c r="Q77" s="19">
        <f>-(Q116-P116)</f>
        <v>-23530.874271743</v>
      </c>
      <c r="R77" s="19">
        <f t="shared" si="94"/>
        <v>-3435681.0765265152</v>
      </c>
      <c r="S77" s="19">
        <f t="shared" si="94"/>
        <v>-1807298.6500222161</v>
      </c>
      <c r="T77" s="19">
        <f t="shared" si="94"/>
        <v>-2998209.1891970411</v>
      </c>
      <c r="U77" s="19">
        <f t="shared" si="94"/>
        <v>-3110825.4512166604</v>
      </c>
      <c r="V77" s="19">
        <f t="shared" si="94"/>
        <v>-2973541.7511353493</v>
      </c>
      <c r="W77" s="19">
        <f t="shared" si="94"/>
        <v>-3129553.8886591345</v>
      </c>
      <c r="X77" s="19">
        <f t="shared" si="94"/>
        <v>-3195890.8766132072</v>
      </c>
      <c r="Y77" s="19">
        <f t="shared" si="94"/>
        <v>-3297793.6569187492</v>
      </c>
      <c r="Z77" s="19">
        <f t="shared" si="94"/>
        <v>-3457754.8201100156</v>
      </c>
    </row>
    <row r="78" spans="5:27" x14ac:dyDescent="0.25">
      <c r="E78" s="3" t="s">
        <v>71</v>
      </c>
      <c r="F78" s="3"/>
      <c r="K78" s="12">
        <f t="shared" ref="K78:Y78" si="96">SUM(K75:K77)</f>
        <v>-10394773</v>
      </c>
      <c r="L78" s="12">
        <f t="shared" si="96"/>
        <v>-10278370</v>
      </c>
      <c r="M78" s="12">
        <f t="shared" si="96"/>
        <v>7306828</v>
      </c>
      <c r="N78" s="12">
        <f t="shared" si="96"/>
        <v>-1937793.0000000075</v>
      </c>
      <c r="O78" s="12">
        <f t="shared" ref="O78" si="97">SUM(O75:O77)</f>
        <v>11173889.000000007</v>
      </c>
      <c r="P78" s="12">
        <f>SUM(P75:P77)</f>
        <v>20685041.559705459</v>
      </c>
      <c r="Q78" s="12">
        <f t="shared" si="96"/>
        <v>-3205977.0166778006</v>
      </c>
      <c r="R78" s="12">
        <f t="shared" si="96"/>
        <v>515714.83037537709</v>
      </c>
      <c r="S78" s="12">
        <f t="shared" si="96"/>
        <v>-227251.69608621299</v>
      </c>
      <c r="T78" s="12">
        <f t="shared" si="96"/>
        <v>314460.0940454267</v>
      </c>
      <c r="U78" s="12">
        <f t="shared" si="96"/>
        <v>223278.11402839422</v>
      </c>
      <c r="V78" s="12">
        <f t="shared" si="96"/>
        <v>157397.40949453413</v>
      </c>
      <c r="W78" s="12">
        <f t="shared" si="96"/>
        <v>-11480.742977660149</v>
      </c>
      <c r="X78" s="12">
        <f t="shared" si="96"/>
        <v>-86818.19903928414</v>
      </c>
      <c r="Y78" s="12">
        <f t="shared" si="96"/>
        <v>-115158.75015095621</v>
      </c>
      <c r="Z78" s="12">
        <f t="shared" ref="Z78" si="98">SUM(Z75:Z77)</f>
        <v>-176683.1385390088</v>
      </c>
    </row>
    <row r="79" spans="5:27" x14ac:dyDescent="0.25">
      <c r="E79" s="3" t="s">
        <v>72</v>
      </c>
      <c r="F79" s="3"/>
      <c r="G79" s="17">
        <f>88831957-36513961-19390571</f>
        <v>32927425</v>
      </c>
      <c r="H79" s="17">
        <v>36851416</v>
      </c>
      <c r="I79" s="17">
        <v>30846245</v>
      </c>
      <c r="J79" s="17">
        <v>20216193</v>
      </c>
      <c r="K79" s="129">
        <v>32072287</v>
      </c>
      <c r="L79" s="17">
        <f>49180314-6172584</f>
        <v>43007730</v>
      </c>
      <c r="M79" s="17">
        <f>41475364-3188720</f>
        <v>38286644</v>
      </c>
      <c r="N79" s="17">
        <f>52111419-4241685</f>
        <v>47869734</v>
      </c>
      <c r="O79" s="17">
        <f>54656702-11174640</f>
        <v>43482062</v>
      </c>
      <c r="P79" s="12">
        <f t="shared" ref="P79:Z79" si="99">O79*(1+P28)</f>
        <v>41307958.899999999</v>
      </c>
      <c r="Q79" s="12">
        <f t="shared" si="99"/>
        <v>41802820.513888247</v>
      </c>
      <c r="R79" s="12">
        <f t="shared" si="99"/>
        <v>43450444.445714794</v>
      </c>
      <c r="S79" s="12">
        <f t="shared" si="99"/>
        <v>44221729.551220126</v>
      </c>
      <c r="T79" s="12">
        <f t="shared" si="99"/>
        <v>45675099.593018897</v>
      </c>
      <c r="U79" s="12">
        <f t="shared" si="99"/>
        <v>47134942.70506449</v>
      </c>
      <c r="V79" s="12">
        <f t="shared" si="99"/>
        <v>48536822.582962967</v>
      </c>
      <c r="W79" s="12">
        <f t="shared" si="99"/>
        <v>49912085.078011118</v>
      </c>
      <c r="X79" s="12">
        <f t="shared" si="99"/>
        <v>51286425.269408882</v>
      </c>
      <c r="Y79" s="12">
        <f t="shared" si="99"/>
        <v>52698608.21890299</v>
      </c>
      <c r="Z79" s="12">
        <f t="shared" si="99"/>
        <v>54149675.935123697</v>
      </c>
    </row>
    <row r="80" spans="5:27" x14ac:dyDescent="0.25">
      <c r="E80" s="3" t="s">
        <v>55</v>
      </c>
      <c r="F80" s="3"/>
      <c r="K80" s="12">
        <v>0</v>
      </c>
      <c r="L80" s="12">
        <f>K53</f>
        <v>7143253</v>
      </c>
      <c r="M80" s="12">
        <f>L53</f>
        <v>8981949</v>
      </c>
      <c r="N80" s="12">
        <f>M53</f>
        <v>22095572</v>
      </c>
      <c r="O80" s="12">
        <f t="shared" ref="O80" si="100">N53</f>
        <v>32268221</v>
      </c>
      <c r="P80" s="12">
        <f t="shared" ref="P80" si="101">O53</f>
        <v>15793237</v>
      </c>
      <c r="Q80" s="12">
        <f t="shared" ref="Q80:Z80" si="102">P53</f>
        <v>16765620.791013798</v>
      </c>
      <c r="R80" s="12">
        <f t="shared" ca="1" si="102"/>
        <v>20415460.962432858</v>
      </c>
      <c r="S80" s="12">
        <f t="shared" ca="1" si="102"/>
        <v>19807171.788602464</v>
      </c>
      <c r="T80" s="12">
        <f t="shared" ca="1" si="102"/>
        <v>21063313.933643576</v>
      </c>
      <c r="U80" s="12">
        <f t="shared" ca="1" si="102"/>
        <v>21735577.129386369</v>
      </c>
      <c r="V80" s="12">
        <f t="shared" ca="1" si="102"/>
        <v>22351024.204588462</v>
      </c>
      <c r="W80" s="12">
        <f t="shared" ca="1" si="102"/>
        <v>23409032.722446308</v>
      </c>
      <c r="X80" s="12">
        <f t="shared" ca="1" si="102"/>
        <v>24128731.487317212</v>
      </c>
      <c r="Y80" s="12">
        <f t="shared" ca="1" si="102"/>
        <v>24943716.275315102</v>
      </c>
      <c r="Z80" s="12">
        <f t="shared" ca="1" si="102"/>
        <v>25865985.142294705</v>
      </c>
    </row>
    <row r="81" spans="4:27" x14ac:dyDescent="0.25">
      <c r="E81" s="7" t="s">
        <v>73</v>
      </c>
      <c r="F81" s="7"/>
      <c r="G81" s="7"/>
      <c r="H81" s="7"/>
      <c r="I81" s="7"/>
      <c r="J81" s="7"/>
      <c r="K81" s="8">
        <f t="shared" ref="K81:Y81" si="103">K74-K78-K79-K80</f>
        <v>47252386</v>
      </c>
      <c r="L81" s="8">
        <f t="shared" si="103"/>
        <v>46807418.134038493</v>
      </c>
      <c r="M81" s="8">
        <f t="shared" si="103"/>
        <v>48058667</v>
      </c>
      <c r="N81" s="8">
        <f t="shared" si="103"/>
        <v>64498478</v>
      </c>
      <c r="O81" s="8">
        <f t="shared" ref="O81:P81" si="104">O74-O78-O79-O80</f>
        <v>18638620</v>
      </c>
      <c r="P81" s="8">
        <f t="shared" si="104"/>
        <v>36619562.614138104</v>
      </c>
      <c r="Q81" s="8">
        <f t="shared" si="103"/>
        <v>64840084.592435695</v>
      </c>
      <c r="R81" s="8">
        <f t="shared" ca="1" si="103"/>
        <v>55677001.820848197</v>
      </c>
      <c r="S81" s="8">
        <f t="shared" ca="1" si="103"/>
        <v>61351538.527689554</v>
      </c>
      <c r="T81" s="8">
        <f t="shared" ca="1" si="103"/>
        <v>61492027.823230505</v>
      </c>
      <c r="U81" s="8">
        <f t="shared" ca="1" si="103"/>
        <v>62709510.915200755</v>
      </c>
      <c r="V81" s="8">
        <f t="shared" ca="1" si="103"/>
        <v>65301356.183955774</v>
      </c>
      <c r="W81" s="8">
        <f t="shared" ca="1" si="103"/>
        <v>66552951.812884882</v>
      </c>
      <c r="X81" s="8">
        <f t="shared" ca="1" si="103"/>
        <v>68233575.198431611</v>
      </c>
      <c r="Y81" s="8">
        <f t="shared" ca="1" si="103"/>
        <v>70081722.745354161</v>
      </c>
      <c r="Z81" s="8">
        <f t="shared" ref="Z81" ca="1" si="105">Z74-Z78-Z79-Z80</f>
        <v>71704684.043969467</v>
      </c>
    </row>
    <row r="82" spans="4:27" x14ac:dyDescent="0.25">
      <c r="E82" s="3" t="s">
        <v>49</v>
      </c>
      <c r="F82" s="3"/>
      <c r="K82" s="12">
        <f t="shared" ref="K82:Y82" si="106">K46</f>
        <v>641094</v>
      </c>
      <c r="L82" s="12">
        <f t="shared" si="106"/>
        <v>1433522</v>
      </c>
      <c r="M82" s="12">
        <f t="shared" si="106"/>
        <v>1405684</v>
      </c>
      <c r="N82" s="12">
        <f t="shared" si="106"/>
        <v>1328655</v>
      </c>
      <c r="O82" s="12">
        <f t="shared" ref="O82:P82" si="107">O46</f>
        <v>2243642</v>
      </c>
      <c r="P82" s="12">
        <f t="shared" si="107"/>
        <v>5707063.2917127265</v>
      </c>
      <c r="Q82" s="12">
        <f t="shared" si="106"/>
        <v>6003830.5828817887</v>
      </c>
      <c r="R82" s="12">
        <f t="shared" si="106"/>
        <v>6265012.2828519093</v>
      </c>
      <c r="S82" s="12">
        <f t="shared" si="106"/>
        <v>6511700.9631466959</v>
      </c>
      <c r="T82" s="12">
        <f t="shared" si="106"/>
        <v>6752716.0113322698</v>
      </c>
      <c r="U82" s="12">
        <f t="shared" si="106"/>
        <v>6998486.9179004775</v>
      </c>
      <c r="V82" s="12">
        <f t="shared" si="106"/>
        <v>7247604.0784418937</v>
      </c>
      <c r="W82" s="12">
        <f t="shared" si="106"/>
        <v>7486775.0130304759</v>
      </c>
      <c r="X82" s="12">
        <f t="shared" si="106"/>
        <v>7711378.2634213902</v>
      </c>
      <c r="Y82" s="12">
        <f t="shared" si="106"/>
        <v>7942719.6113240318</v>
      </c>
      <c r="Z82" s="12">
        <f t="shared" ref="Z82" si="108">Z46</f>
        <v>8181001.1996637527</v>
      </c>
    </row>
    <row r="83" spans="4:27" x14ac:dyDescent="0.25">
      <c r="E83" s="3" t="s">
        <v>50</v>
      </c>
      <c r="F83" s="3"/>
      <c r="K83" s="12">
        <f t="shared" ref="K83:Y83" si="109">K47</f>
        <v>4657439</v>
      </c>
      <c r="L83" s="12">
        <f t="shared" si="109"/>
        <v>6877373</v>
      </c>
      <c r="M83" s="12">
        <f t="shared" si="109"/>
        <v>4333583</v>
      </c>
      <c r="N83" s="12">
        <f t="shared" si="109"/>
        <v>9528970</v>
      </c>
      <c r="O83" s="12">
        <f t="shared" ref="O83:P83" si="110">O47</f>
        <v>9949822</v>
      </c>
      <c r="P83" s="12">
        <f t="shared" si="110"/>
        <v>8699042.1685527284</v>
      </c>
      <c r="Q83" s="12">
        <f t="shared" si="109"/>
        <v>9151392.3613174707</v>
      </c>
      <c r="R83" s="12">
        <f t="shared" si="109"/>
        <v>9549500.899029607</v>
      </c>
      <c r="S83" s="12">
        <f t="shared" si="109"/>
        <v>9925518.3221244458</v>
      </c>
      <c r="T83" s="12">
        <f t="shared" si="109"/>
        <v>10292887.660829093</v>
      </c>
      <c r="U83" s="12">
        <f t="shared" si="109"/>
        <v>10667506.159128357</v>
      </c>
      <c r="V83" s="12">
        <f t="shared" si="109"/>
        <v>11047225.214917827</v>
      </c>
      <c r="W83" s="12">
        <f t="shared" si="109"/>
        <v>11411783.647010114</v>
      </c>
      <c r="X83" s="12">
        <f t="shared" si="109"/>
        <v>11754137.156420417</v>
      </c>
      <c r="Y83" s="12">
        <f t="shared" si="109"/>
        <v>12106761.271113031</v>
      </c>
      <c r="Z83" s="12">
        <f t="shared" ref="Z83" si="111">Z47</f>
        <v>12469964.109246422</v>
      </c>
    </row>
    <row r="84" spans="4:27" x14ac:dyDescent="0.25">
      <c r="E84" s="3" t="s">
        <v>51</v>
      </c>
      <c r="F84" s="3"/>
      <c r="K84" s="12">
        <f t="shared" ref="K84:Y84" si="112">K48</f>
        <v>2024717</v>
      </c>
      <c r="L84" s="12">
        <f t="shared" si="112"/>
        <v>1900145</v>
      </c>
      <c r="M84" s="12">
        <f t="shared" si="112"/>
        <v>1590005</v>
      </c>
      <c r="N84" s="12">
        <f t="shared" si="112"/>
        <v>4879175</v>
      </c>
      <c r="O84" s="12">
        <f t="shared" ref="O84:P84" si="113">O48</f>
        <v>6404284</v>
      </c>
      <c r="P84" s="12">
        <f t="shared" si="113"/>
        <v>2732787.6650727275</v>
      </c>
      <c r="Q84" s="12">
        <f t="shared" si="112"/>
        <v>2874892.6236565094</v>
      </c>
      <c r="R84" s="12">
        <f t="shared" si="112"/>
        <v>2999957.6687660529</v>
      </c>
      <c r="S84" s="12">
        <f t="shared" si="112"/>
        <v>3118082.8319478943</v>
      </c>
      <c r="T84" s="12">
        <f t="shared" si="112"/>
        <v>3233491.2157544778</v>
      </c>
      <c r="U84" s="12">
        <f t="shared" si="112"/>
        <v>3351176.9093543077</v>
      </c>
      <c r="V84" s="12">
        <f t="shared" si="112"/>
        <v>3470464.9334549159</v>
      </c>
      <c r="W84" s="12">
        <f t="shared" si="112"/>
        <v>3584990.2762589278</v>
      </c>
      <c r="X84" s="12">
        <f t="shared" si="112"/>
        <v>3692539.9845466958</v>
      </c>
      <c r="Y84" s="12">
        <f t="shared" si="112"/>
        <v>3803316.1840830967</v>
      </c>
      <c r="Z84" s="12">
        <f t="shared" ref="Z84" si="114">Z48</f>
        <v>3917415.6696055895</v>
      </c>
    </row>
    <row r="85" spans="4:27" x14ac:dyDescent="0.25">
      <c r="E85" s="3" t="s">
        <v>53</v>
      </c>
      <c r="F85" s="3"/>
      <c r="K85" s="12">
        <f t="shared" ref="K85:Y85" si="115">K49</f>
        <v>16157523</v>
      </c>
      <c r="L85" s="12">
        <f t="shared" si="115"/>
        <v>11313674</v>
      </c>
      <c r="M85" s="12">
        <f t="shared" si="115"/>
        <v>6545801</v>
      </c>
      <c r="N85" s="12">
        <f t="shared" si="115"/>
        <v>11182718</v>
      </c>
      <c r="O85" s="12">
        <f t="shared" ref="O85:P85" si="116">O49</f>
        <v>26110544</v>
      </c>
      <c r="P85" s="12">
        <f t="shared" si="116"/>
        <v>31672719.317465454</v>
      </c>
      <c r="Q85" s="12">
        <f ca="1">Q49</f>
        <v>25230125.381274894</v>
      </c>
      <c r="R85" s="12">
        <f t="shared" ca="1" si="115"/>
        <v>25230125.381274894</v>
      </c>
      <c r="S85" s="12">
        <f t="shared" ca="1" si="115"/>
        <v>25230125.381274894</v>
      </c>
      <c r="T85" s="12">
        <f t="shared" ca="1" si="115"/>
        <v>25230125.381274894</v>
      </c>
      <c r="U85" s="12">
        <f t="shared" ca="1" si="115"/>
        <v>25230125.381274894</v>
      </c>
      <c r="V85" s="12">
        <f t="shared" ca="1" si="115"/>
        <v>25230125.381274894</v>
      </c>
      <c r="W85" s="12">
        <f t="shared" ca="1" si="115"/>
        <v>25230125.381274894</v>
      </c>
      <c r="X85" s="12">
        <f t="shared" ca="1" si="115"/>
        <v>25230125.381274894</v>
      </c>
      <c r="Y85" s="12">
        <f t="shared" ca="1" si="115"/>
        <v>25230125.381274894</v>
      </c>
      <c r="Z85" s="12">
        <f t="shared" ref="Z85" ca="1" si="117">Z49</f>
        <v>25230125.381274894</v>
      </c>
    </row>
    <row r="86" spans="4:27" x14ac:dyDescent="0.25">
      <c r="E86" s="3" t="s">
        <v>74</v>
      </c>
      <c r="F86" s="3"/>
      <c r="K86" s="12">
        <v>-1</v>
      </c>
      <c r="L86" s="12">
        <v>0</v>
      </c>
      <c r="M86" s="12">
        <v>0</v>
      </c>
      <c r="N86" s="12">
        <v>0</v>
      </c>
      <c r="O86" s="12">
        <v>0</v>
      </c>
      <c r="P86" s="12">
        <v>0</v>
      </c>
      <c r="Q86" s="12">
        <v>0</v>
      </c>
      <c r="R86" s="12">
        <v>0</v>
      </c>
      <c r="S86" s="12">
        <v>0</v>
      </c>
      <c r="T86" s="12">
        <v>0</v>
      </c>
      <c r="U86" s="12">
        <v>0</v>
      </c>
      <c r="V86" s="12">
        <v>0</v>
      </c>
      <c r="W86" s="12">
        <v>0</v>
      </c>
      <c r="X86" s="12">
        <v>0</v>
      </c>
      <c r="Y86" s="12">
        <v>0</v>
      </c>
      <c r="Z86" s="12">
        <v>0</v>
      </c>
    </row>
    <row r="87" spans="4:27" x14ac:dyDescent="0.25">
      <c r="D87" s="13">
        <v>1</v>
      </c>
      <c r="E87" s="3" t="s">
        <v>75</v>
      </c>
      <c r="F87" s="3"/>
      <c r="K87" s="12">
        <f t="shared" ref="K87:Z88" si="118">$D87*IF(K$97&lt;0,-K$97,0)</f>
        <v>0</v>
      </c>
      <c r="L87" s="12">
        <f t="shared" si="118"/>
        <v>0</v>
      </c>
      <c r="M87" s="12">
        <f t="shared" si="118"/>
        <v>0</v>
      </c>
      <c r="N87" s="12">
        <f t="shared" si="118"/>
        <v>0</v>
      </c>
      <c r="O87" s="12">
        <f>MAX(O95-O92-(O81+O82-O83+O84-O85-O86+O88-O89),0)</f>
        <v>14212524.765841872</v>
      </c>
      <c r="P87" s="12">
        <f>$D87*IF(P$97&lt;0,-P$97,0)+19308755.4471863</f>
        <v>19308755.447186299</v>
      </c>
      <c r="Q87" s="12">
        <f t="shared" ca="1" si="118"/>
        <v>0</v>
      </c>
      <c r="R87" s="12">
        <f t="shared" ca="1" si="118"/>
        <v>0</v>
      </c>
      <c r="S87" s="12">
        <f t="shared" ca="1" si="118"/>
        <v>0</v>
      </c>
      <c r="T87" s="12">
        <f t="shared" ca="1" si="118"/>
        <v>0</v>
      </c>
      <c r="U87" s="12">
        <f t="shared" ca="1" si="118"/>
        <v>0</v>
      </c>
      <c r="V87" s="12">
        <f t="shared" ca="1" si="118"/>
        <v>0</v>
      </c>
      <c r="W87" s="12">
        <f t="shared" ca="1" si="118"/>
        <v>0</v>
      </c>
      <c r="X87" s="12">
        <f t="shared" ca="1" si="118"/>
        <v>0</v>
      </c>
      <c r="Y87" s="12">
        <f t="shared" ca="1" si="118"/>
        <v>0</v>
      </c>
      <c r="Z87" s="12">
        <f t="shared" ca="1" si="118"/>
        <v>0</v>
      </c>
    </row>
    <row r="88" spans="4:27" x14ac:dyDescent="0.25">
      <c r="D88" s="13">
        <f>1-D87</f>
        <v>0</v>
      </c>
      <c r="E88" s="3" t="s">
        <v>76</v>
      </c>
      <c r="F88" s="3"/>
      <c r="K88" s="12">
        <f t="shared" si="118"/>
        <v>0</v>
      </c>
      <c r="L88" s="12">
        <f t="shared" si="118"/>
        <v>0</v>
      </c>
      <c r="M88" s="12">
        <f t="shared" si="118"/>
        <v>0</v>
      </c>
      <c r="N88" s="12">
        <f t="shared" si="118"/>
        <v>0</v>
      </c>
      <c r="O88" s="12">
        <f t="shared" si="118"/>
        <v>0</v>
      </c>
      <c r="P88" s="12">
        <f t="shared" si="118"/>
        <v>0</v>
      </c>
      <c r="Q88" s="12">
        <f t="shared" ca="1" si="118"/>
        <v>0</v>
      </c>
      <c r="R88" s="12">
        <f t="shared" ca="1" si="118"/>
        <v>0</v>
      </c>
      <c r="S88" s="12">
        <f t="shared" ca="1" si="118"/>
        <v>0</v>
      </c>
      <c r="T88" s="12">
        <f t="shared" ca="1" si="118"/>
        <v>0</v>
      </c>
      <c r="U88" s="12">
        <f t="shared" ca="1" si="118"/>
        <v>0</v>
      </c>
      <c r="V88" s="12">
        <f t="shared" ca="1" si="118"/>
        <v>0</v>
      </c>
      <c r="W88" s="12">
        <f t="shared" ca="1" si="118"/>
        <v>0</v>
      </c>
      <c r="X88" s="12">
        <f t="shared" ca="1" si="118"/>
        <v>0</v>
      </c>
      <c r="Y88" s="12">
        <f t="shared" ca="1" si="118"/>
        <v>0</v>
      </c>
      <c r="Z88" s="12">
        <f t="shared" ca="1" si="118"/>
        <v>0</v>
      </c>
    </row>
    <row r="89" spans="4:27" x14ac:dyDescent="0.25">
      <c r="D89" s="13"/>
      <c r="E89" s="3" t="s">
        <v>77</v>
      </c>
      <c r="F89" s="3"/>
      <c r="K89" s="12"/>
      <c r="L89" s="12"/>
      <c r="M89" s="12"/>
      <c r="N89" s="12"/>
      <c r="O89" s="12">
        <f>594000/Valoración!F44</f>
        <v>7902088.5991752027</v>
      </c>
      <c r="P89" s="12"/>
      <c r="Q89" s="12"/>
      <c r="R89" s="12"/>
      <c r="S89" s="12"/>
      <c r="T89" s="12"/>
      <c r="U89" s="12"/>
      <c r="V89" s="12"/>
      <c r="W89" s="12"/>
      <c r="X89" s="12"/>
      <c r="Y89" s="12"/>
      <c r="Z89" s="12"/>
    </row>
    <row r="90" spans="4:27" x14ac:dyDescent="0.25">
      <c r="E90" s="7" t="s">
        <v>78</v>
      </c>
      <c r="F90" s="7"/>
      <c r="G90" s="7"/>
      <c r="H90" s="7"/>
      <c r="I90" s="7"/>
      <c r="J90" s="7"/>
      <c r="K90" s="8">
        <f>K81+K82-K83+K84-K85-K86+K87+K88</f>
        <v>29103236</v>
      </c>
      <c r="L90" s="8">
        <f>L81+L82-L83+L84-L85-L86+L87+L88</f>
        <v>31950038.134038493</v>
      </c>
      <c r="M90" s="8">
        <f>M81+M82-M83+M84-M85-M86+M87+M88</f>
        <v>40174972</v>
      </c>
      <c r="N90" s="8">
        <f>N81+N82-N83+N84-N85-N86+N87+N88</f>
        <v>49994620</v>
      </c>
      <c r="O90" s="8">
        <f>O81+O82-O83+O84-O85-O86+O87+O88-O89</f>
        <v>-2463383.8333333312</v>
      </c>
      <c r="P90" s="8">
        <f>P81+P82-P83+P84-P85-P86+P87+P88</f>
        <v>23996407.53209167</v>
      </c>
      <c r="Q90" s="8">
        <f t="shared" ref="Q90:Y90" ca="1" si="119">Q81+Q82-Q83+Q84-Q85-Q86+Q87+Q88</f>
        <v>39337290.056381628</v>
      </c>
      <c r="R90" s="8">
        <f t="shared" ca="1" si="119"/>
        <v>30162345.492161661</v>
      </c>
      <c r="S90" s="8">
        <f t="shared" ca="1" si="119"/>
        <v>35825678.619384803</v>
      </c>
      <c r="T90" s="8">
        <f t="shared" ca="1" si="119"/>
        <v>35955222.008213267</v>
      </c>
      <c r="U90" s="8">
        <f t="shared" ca="1" si="119"/>
        <v>37161543.202052288</v>
      </c>
      <c r="V90" s="8">
        <f t="shared" ca="1" si="119"/>
        <v>39742074.59965986</v>
      </c>
      <c r="W90" s="8">
        <f t="shared" ca="1" si="119"/>
        <v>40982808.07388927</v>
      </c>
      <c r="X90" s="8">
        <f t="shared" ca="1" si="119"/>
        <v>42653230.908704385</v>
      </c>
      <c r="Y90" s="8">
        <f t="shared" ca="1" si="119"/>
        <v>44490871.88837336</v>
      </c>
      <c r="Z90" s="8">
        <f t="shared" ref="Z90" ca="1" si="120">Z81+Z82-Z83+Z84-Z85-Z86+Z87+Z88</f>
        <v>46103011.422717497</v>
      </c>
    </row>
    <row r="91" spans="4:27" x14ac:dyDescent="0.25">
      <c r="AA91" s="1" t="s">
        <v>71</v>
      </c>
    </row>
    <row r="92" spans="4:27" x14ac:dyDescent="0.25">
      <c r="E92" s="1" t="s">
        <v>79</v>
      </c>
      <c r="K92" s="12">
        <f t="shared" ref="K92:P92" si="121">J93</f>
        <v>516600</v>
      </c>
      <c r="L92" s="12">
        <f t="shared" si="121"/>
        <v>850656.41666666605</v>
      </c>
      <c r="M92" s="12">
        <f t="shared" si="121"/>
        <v>3348761</v>
      </c>
      <c r="N92" s="12">
        <f t="shared" si="121"/>
        <v>1244193</v>
      </c>
      <c r="O92" s="12">
        <f t="shared" si="121"/>
        <v>3672340</v>
      </c>
      <c r="P92" s="12">
        <f t="shared" si="121"/>
        <v>1111245</v>
      </c>
      <c r="Q92" s="12">
        <f t="shared" ref="Q92:Z92" si="122">P93</f>
        <v>25107652.53209167</v>
      </c>
      <c r="R92" s="12">
        <f t="shared" ca="1" si="122"/>
        <v>64444942.588473298</v>
      </c>
      <c r="S92" s="12">
        <f t="shared" ca="1" si="122"/>
        <v>94607288.080634952</v>
      </c>
      <c r="T92" s="12">
        <f t="shared" ca="1" si="122"/>
        <v>130432966.70001975</v>
      </c>
      <c r="U92" s="12">
        <f t="shared" ca="1" si="122"/>
        <v>166388188.708233</v>
      </c>
      <c r="V92" s="12">
        <f t="shared" ca="1" si="122"/>
        <v>203549731.91028529</v>
      </c>
      <c r="W92" s="12">
        <f t="shared" ca="1" si="122"/>
        <v>243291806.50994515</v>
      </c>
      <c r="X92" s="12">
        <f t="shared" ca="1" si="122"/>
        <v>284274614.58383441</v>
      </c>
      <c r="Y92" s="12">
        <f t="shared" ca="1" si="122"/>
        <v>326927845.49253881</v>
      </c>
      <c r="Z92" s="12">
        <f t="shared" ca="1" si="122"/>
        <v>371418717.38091218</v>
      </c>
    </row>
    <row r="93" spans="4:27" x14ac:dyDescent="0.25">
      <c r="E93" s="1" t="s">
        <v>80</v>
      </c>
      <c r="J93" s="17">
        <f>J104</f>
        <v>516600</v>
      </c>
      <c r="K93" s="129">
        <v>850656.41666666605</v>
      </c>
      <c r="L93" s="129">
        <f>L104</f>
        <v>3348761</v>
      </c>
      <c r="M93" s="12">
        <f>M104</f>
        <v>1244193</v>
      </c>
      <c r="N93" s="12">
        <f>N104</f>
        <v>3672340</v>
      </c>
      <c r="O93" s="12">
        <f>O104</f>
        <v>1111245</v>
      </c>
      <c r="P93" s="12">
        <f t="shared" ref="P93:Y93" si="123">P92+P90</f>
        <v>25107652.53209167</v>
      </c>
      <c r="Q93" s="12">
        <f t="shared" ca="1" si="123"/>
        <v>64444942.588473298</v>
      </c>
      <c r="R93" s="12">
        <f t="shared" ca="1" si="123"/>
        <v>94607288.080634952</v>
      </c>
      <c r="S93" s="12">
        <f t="shared" ca="1" si="123"/>
        <v>130432966.70001975</v>
      </c>
      <c r="T93" s="12">
        <f t="shared" ca="1" si="123"/>
        <v>166388188.708233</v>
      </c>
      <c r="U93" s="12">
        <f t="shared" ca="1" si="123"/>
        <v>203549731.91028529</v>
      </c>
      <c r="V93" s="12">
        <f t="shared" ca="1" si="123"/>
        <v>243291806.50994515</v>
      </c>
      <c r="W93" s="12">
        <f t="shared" ca="1" si="123"/>
        <v>284274614.58383441</v>
      </c>
      <c r="X93" s="12">
        <f t="shared" ca="1" si="123"/>
        <v>326927845.49253881</v>
      </c>
      <c r="Y93" s="12">
        <f t="shared" ca="1" si="123"/>
        <v>371418717.38091218</v>
      </c>
      <c r="Z93" s="12">
        <f t="shared" ref="Z93" ca="1" si="124">Z92+Z90</f>
        <v>417521728.8036297</v>
      </c>
    </row>
    <row r="95" spans="4:27" x14ac:dyDescent="0.25">
      <c r="E95" s="1" t="s">
        <v>81</v>
      </c>
      <c r="J95" s="17">
        <f t="shared" ref="J95:Y95" si="125">J43*J70/360</f>
        <v>516600</v>
      </c>
      <c r="K95" s="18">
        <f t="shared" si="125"/>
        <v>850656.41666666663</v>
      </c>
      <c r="L95" s="18">
        <f t="shared" si="125"/>
        <v>925065.38888888888</v>
      </c>
      <c r="M95" s="18">
        <f t="shared" si="125"/>
        <v>1076599.1666666667</v>
      </c>
      <c r="N95" s="18">
        <f t="shared" si="125"/>
        <v>1114257.1666666667</v>
      </c>
      <c r="O95" s="18">
        <f t="shared" si="125"/>
        <v>1208956.1666666667</v>
      </c>
      <c r="P95" s="18">
        <f t="shared" si="125"/>
        <v>1441838.8689851516</v>
      </c>
      <c r="Q95" s="18">
        <f t="shared" si="125"/>
        <v>1516814.4901723797</v>
      </c>
      <c r="R95" s="18">
        <f t="shared" si="125"/>
        <v>1582799.7276992484</v>
      </c>
      <c r="S95" s="18">
        <f t="shared" si="125"/>
        <v>1645123.43248524</v>
      </c>
      <c r="T95" s="18">
        <f t="shared" si="125"/>
        <v>1706013.744493678</v>
      </c>
      <c r="U95" s="18">
        <f t="shared" si="125"/>
        <v>1768105.5818963458</v>
      </c>
      <c r="V95" s="18">
        <f t="shared" si="125"/>
        <v>1831042.8206547466</v>
      </c>
      <c r="W95" s="18">
        <f t="shared" si="125"/>
        <v>1891467.2337363532</v>
      </c>
      <c r="X95" s="18">
        <f t="shared" si="125"/>
        <v>1948211.2507484439</v>
      </c>
      <c r="Y95" s="18">
        <f t="shared" si="125"/>
        <v>2006657.5882708973</v>
      </c>
      <c r="Z95" s="18">
        <f t="shared" ref="Z95" si="126">Z43*Z70/360</f>
        <v>2066857.3159190244</v>
      </c>
    </row>
    <row r="96" spans="4:27" x14ac:dyDescent="0.25">
      <c r="J96" s="17"/>
      <c r="K96" s="18"/>
      <c r="L96" s="18"/>
      <c r="M96" s="18"/>
      <c r="N96" s="18"/>
      <c r="O96" s="18"/>
      <c r="P96" s="18"/>
      <c r="Q96" s="18"/>
      <c r="R96" s="18"/>
      <c r="S96" s="18"/>
      <c r="T96" s="18"/>
      <c r="U96" s="18"/>
      <c r="V96" s="18"/>
      <c r="W96" s="18"/>
      <c r="X96" s="18"/>
      <c r="Y96" s="18"/>
      <c r="Z96" s="18"/>
    </row>
    <row r="97" spans="5:26" x14ac:dyDescent="0.25">
      <c r="E97" s="1" t="s">
        <v>82</v>
      </c>
      <c r="J97" s="17"/>
      <c r="K97" s="18">
        <f t="shared" ref="K97:Y97" si="127">K81+K82-K83+K84-K85-K86+K92-K95</f>
        <v>28769179.583333332</v>
      </c>
      <c r="L97" s="18">
        <f t="shared" si="127"/>
        <v>31875629.161816269</v>
      </c>
      <c r="M97" s="18">
        <f t="shared" si="127"/>
        <v>42447133.833333336</v>
      </c>
      <c r="N97" s="18">
        <f t="shared" si="127"/>
        <v>50124555.833333336</v>
      </c>
      <c r="O97" s="18">
        <f>O81+O82-O83+O84-O85-O86+O92-O95</f>
        <v>-6310436.166666667</v>
      </c>
      <c r="P97" s="18">
        <f t="shared" si="127"/>
        <v>4357058.2159202192</v>
      </c>
      <c r="Q97" s="18">
        <f ca="1">Q81+Q82-Q83+Q84-Q85-Q86+Q92-Q95</f>
        <v>62928128.098300919</v>
      </c>
      <c r="R97" s="18">
        <f t="shared" ca="1" si="127"/>
        <v>93024488.352935702</v>
      </c>
      <c r="S97" s="18">
        <f t="shared" ca="1" si="127"/>
        <v>128787843.26753451</v>
      </c>
      <c r="T97" s="18">
        <f t="shared" ca="1" si="127"/>
        <v>164682174.96373934</v>
      </c>
      <c r="U97" s="18">
        <f t="shared" ca="1" si="127"/>
        <v>201781626.32838896</v>
      </c>
      <c r="V97" s="18">
        <f t="shared" ca="1" si="127"/>
        <v>241460763.6892904</v>
      </c>
      <c r="W97" s="18">
        <f t="shared" ca="1" si="127"/>
        <v>282383147.35009807</v>
      </c>
      <c r="X97" s="18">
        <f t="shared" ca="1" si="127"/>
        <v>324979634.24179035</v>
      </c>
      <c r="Y97" s="18">
        <f t="shared" ca="1" si="127"/>
        <v>369412059.79264128</v>
      </c>
      <c r="Z97" s="18">
        <f t="shared" ref="Z97" ca="1" si="128">Z81+Z82-Z83+Z84-Z85-Z86+Z92-Z95</f>
        <v>415454871.48771065</v>
      </c>
    </row>
    <row r="98" spans="5:26" x14ac:dyDescent="0.25">
      <c r="P98" s="261"/>
    </row>
    <row r="100" spans="5:26" x14ac:dyDescent="0.25">
      <c r="E100" s="5" t="s">
        <v>83</v>
      </c>
      <c r="F100" s="5"/>
      <c r="G100" s="5">
        <f t="shared" ref="G100:Z100" si="129">G$2</f>
        <v>2015</v>
      </c>
      <c r="H100" s="5">
        <f t="shared" si="129"/>
        <v>2016</v>
      </c>
      <c r="I100" s="5">
        <f t="shared" si="129"/>
        <v>2017</v>
      </c>
      <c r="J100" s="6">
        <f t="shared" si="129"/>
        <v>2018</v>
      </c>
      <c r="K100" s="6">
        <f t="shared" si="129"/>
        <v>2019</v>
      </c>
      <c r="L100" s="6">
        <f t="shared" si="129"/>
        <v>2020</v>
      </c>
      <c r="M100" s="6">
        <f t="shared" si="129"/>
        <v>2021</v>
      </c>
      <c r="N100" s="6">
        <f t="shared" si="129"/>
        <v>2022</v>
      </c>
      <c r="O100" s="6">
        <f t="shared" si="129"/>
        <v>2023</v>
      </c>
      <c r="P100" s="6">
        <f t="shared" si="129"/>
        <v>2024</v>
      </c>
      <c r="Q100" s="6">
        <f t="shared" si="129"/>
        <v>2025</v>
      </c>
      <c r="R100" s="6">
        <f t="shared" si="129"/>
        <v>2026</v>
      </c>
      <c r="S100" s="6">
        <f t="shared" si="129"/>
        <v>2027</v>
      </c>
      <c r="T100" s="6">
        <f t="shared" si="129"/>
        <v>2028</v>
      </c>
      <c r="U100" s="6">
        <f t="shared" si="129"/>
        <v>2029</v>
      </c>
      <c r="V100" s="6">
        <f t="shared" si="129"/>
        <v>2030</v>
      </c>
      <c r="W100" s="6">
        <f t="shared" si="129"/>
        <v>2031</v>
      </c>
      <c r="X100" s="6">
        <f t="shared" si="129"/>
        <v>2032</v>
      </c>
      <c r="Y100" s="6">
        <f t="shared" si="129"/>
        <v>2033</v>
      </c>
      <c r="Z100" s="6">
        <f t="shared" si="129"/>
        <v>2034</v>
      </c>
    </row>
    <row r="102" spans="5:26" x14ac:dyDescent="0.25">
      <c r="E102" s="1" t="s">
        <v>84</v>
      </c>
    </row>
    <row r="103" spans="5:26" ht="6.75" customHeight="1" x14ac:dyDescent="0.25"/>
    <row r="104" spans="5:26" x14ac:dyDescent="0.25">
      <c r="E104" s="3" t="s">
        <v>85</v>
      </c>
      <c r="F104" s="3"/>
      <c r="J104" s="9">
        <v>516600</v>
      </c>
      <c r="K104" s="12">
        <f>K93</f>
        <v>850656.41666666605</v>
      </c>
      <c r="L104" s="9">
        <v>3348761</v>
      </c>
      <c r="M104" s="9">
        <f>'BG a Nov'!K10*1000</f>
        <v>1244193</v>
      </c>
      <c r="N104" s="9">
        <f>'BG a Nov'!L10*1000</f>
        <v>3672340</v>
      </c>
      <c r="O104" s="9">
        <f>'BG a Nov'!M10*1000</f>
        <v>1111245</v>
      </c>
      <c r="P104" s="12">
        <f t="shared" ref="P104:Q104" si="130">P93</f>
        <v>25107652.53209167</v>
      </c>
      <c r="Q104" s="12">
        <f t="shared" ca="1" si="130"/>
        <v>64444942.588473298</v>
      </c>
      <c r="R104" s="12">
        <f t="shared" ref="R104:Y104" ca="1" si="131">R93</f>
        <v>94607288.080634952</v>
      </c>
      <c r="S104" s="12">
        <f t="shared" ca="1" si="131"/>
        <v>130432966.70001975</v>
      </c>
      <c r="T104" s="12">
        <f t="shared" ca="1" si="131"/>
        <v>166388188.708233</v>
      </c>
      <c r="U104" s="12">
        <f t="shared" ca="1" si="131"/>
        <v>203549731.91028529</v>
      </c>
      <c r="V104" s="12">
        <f t="shared" ca="1" si="131"/>
        <v>243291806.50994515</v>
      </c>
      <c r="W104" s="12">
        <f t="shared" ca="1" si="131"/>
        <v>284274614.58383441</v>
      </c>
      <c r="X104" s="12">
        <f t="shared" ca="1" si="131"/>
        <v>326927845.49253881</v>
      </c>
      <c r="Y104" s="12">
        <f t="shared" ca="1" si="131"/>
        <v>371418717.38091218</v>
      </c>
      <c r="Z104" s="12">
        <f t="shared" ref="Z104" ca="1" si="132">Z93</f>
        <v>417521728.8036297</v>
      </c>
    </row>
    <row r="105" spans="5:26" x14ac:dyDescent="0.25">
      <c r="E105" s="3" t="s">
        <v>64</v>
      </c>
      <c r="F105" s="3"/>
      <c r="J105" s="9">
        <f>18117297+2434734+19142488+5337221</f>
        <v>45031740</v>
      </c>
      <c r="K105" s="128">
        <f>20084509+1280081+13837623+5070245</f>
        <v>40272458</v>
      </c>
      <c r="L105" s="9">
        <f>21839013+1267130+17760990</f>
        <v>40867133</v>
      </c>
      <c r="M105" s="9">
        <f>('BG a Nov'!K12+'BG a Nov'!K13+'BG a Nov'!K14)*1000</f>
        <v>48011869.000000007</v>
      </c>
      <c r="N105" s="9">
        <f>('BG a Nov'!L12+'BG a Nov'!L13+'BG a Nov'!L14)*1000</f>
        <v>59430051.999999993</v>
      </c>
      <c r="O105" s="9">
        <f>('BG a Nov'!M12+'BG a Nov'!M13+'BG a Nov'!M14)*1000</f>
        <v>70270880</v>
      </c>
      <c r="P105" s="178">
        <f>(('BG a Nov'!G12+'BG a Nov'!G13+'BG a Nov'!G14)*1000)</f>
        <v>76438958.375259995</v>
      </c>
      <c r="Q105" s="14">
        <f>Q39*Q66/360</f>
        <v>72489093.234582335</v>
      </c>
      <c r="R105" s="14">
        <f t="shared" ref="R105:Y105" si="133">R39*R66/360</f>
        <v>75346191.472009242</v>
      </c>
      <c r="S105" s="14">
        <f t="shared" si="133"/>
        <v>76683655.242063835</v>
      </c>
      <c r="T105" s="14">
        <f t="shared" si="133"/>
        <v>79203903.282008827</v>
      </c>
      <c r="U105" s="14">
        <f t="shared" si="133"/>
        <v>81735376.090686381</v>
      </c>
      <c r="V105" s="14">
        <f t="shared" si="133"/>
        <v>84166336.488176927</v>
      </c>
      <c r="W105" s="14">
        <f t="shared" si="133"/>
        <v>86551140.432026818</v>
      </c>
      <c r="X105" s="14">
        <f t="shared" si="133"/>
        <v>88934345.035103008</v>
      </c>
      <c r="Y105" s="14">
        <f t="shared" si="133"/>
        <v>91383171.698752552</v>
      </c>
      <c r="Z105" s="14">
        <f t="shared" ref="Z105" si="134">Z39*Z66/360</f>
        <v>93899427.340781987</v>
      </c>
    </row>
    <row r="106" spans="5:26" x14ac:dyDescent="0.25">
      <c r="E106" s="3" t="s">
        <v>65</v>
      </c>
      <c r="F106" s="3"/>
      <c r="J106" s="9">
        <v>18288430</v>
      </c>
      <c r="K106" s="128">
        <v>20513032</v>
      </c>
      <c r="L106" s="9">
        <v>21027242</v>
      </c>
      <c r="M106" s="9">
        <f>'BG a Nov'!K25*1000</f>
        <v>23347833</v>
      </c>
      <c r="N106" s="9">
        <f>'BG a Nov'!L25*1000</f>
        <v>22746964</v>
      </c>
      <c r="O106" s="9">
        <f>'BG a Nov'!M25*1000</f>
        <v>22023767</v>
      </c>
      <c r="P106" s="178">
        <f>'BG a Nov'!G25*1000/11*12</f>
        <v>21059522.297814548</v>
      </c>
      <c r="Q106" s="14">
        <f t="shared" ref="Q106" si="135">Q40*Q67/360</f>
        <v>21826941.296086151</v>
      </c>
      <c r="R106" s="14">
        <f t="shared" ref="R106:Y106" si="136">R40*R67/360</f>
        <v>22921238.965561137</v>
      </c>
      <c r="S106" s="14">
        <f t="shared" si="136"/>
        <v>23163822.149442546</v>
      </c>
      <c r="T106" s="14">
        <f t="shared" si="136"/>
        <v>23956243.392740022</v>
      </c>
      <c r="U106" s="14">
        <f t="shared" si="136"/>
        <v>24758874.149307523</v>
      </c>
      <c r="V106" s="14">
        <f t="shared" si="136"/>
        <v>25458852.91244686</v>
      </c>
      <c r="W106" s="14">
        <f t="shared" si="136"/>
        <v>26192122.114278443</v>
      </c>
      <c r="X106" s="14">
        <f t="shared" si="136"/>
        <v>26917990.188776176</v>
      </c>
      <c r="Y106" s="14">
        <f t="shared" si="136"/>
        <v>27651798.431894425</v>
      </c>
      <c r="Z106" s="14">
        <f t="shared" ref="Z106" si="137">Z40*Z67/360</f>
        <v>28416614.471435998</v>
      </c>
    </row>
    <row r="107" spans="5:26" x14ac:dyDescent="0.25">
      <c r="E107" s="3" t="s">
        <v>86</v>
      </c>
      <c r="F107" s="3"/>
      <c r="J107" s="9">
        <f>389573215+176148608</f>
        <v>565721823</v>
      </c>
      <c r="K107" s="12">
        <f>J107+K79</f>
        <v>597794110</v>
      </c>
      <c r="L107" s="9">
        <f>402892907+17247746-L108+703361</f>
        <v>644100329</v>
      </c>
      <c r="M107" s="9">
        <f>('BG a Nov'!K27+'BG a Nov'!K44-'BG a Nov'!K43+'BG a Nov'!K46)*1000</f>
        <v>425708298</v>
      </c>
      <c r="N107" s="9">
        <f>('BG a Nov'!L27+'BG a Nov'!L44-'BG a Nov'!L43+'BG a Nov'!L46*0)*1000</f>
        <v>438356376</v>
      </c>
      <c r="O107" s="9">
        <f>('BG a Nov'!M27+'BG a Nov'!M44-'BG a Nov'!M43+'BG a Nov'!M46*0)*1000</f>
        <v>458713208.00000006</v>
      </c>
      <c r="P107" s="177">
        <f>('BG a Nov'!G27+'BG a Nov'!G44-'BG a Nov'!G43+'BG a Nov'!G46)*1000</f>
        <v>777528621.38737988</v>
      </c>
      <c r="Q107" s="12">
        <f>P107+Q79</f>
        <v>819331441.90126812</v>
      </c>
      <c r="R107" s="12">
        <f t="shared" ref="R107:Z107" si="138">Q107+R79</f>
        <v>862781886.34698296</v>
      </c>
      <c r="S107" s="12">
        <f t="shared" si="138"/>
        <v>907003615.89820313</v>
      </c>
      <c r="T107" s="12">
        <f t="shared" si="138"/>
        <v>952678715.49122202</v>
      </c>
      <c r="U107" s="12">
        <f t="shared" si="138"/>
        <v>999813658.19628656</v>
      </c>
      <c r="V107" s="12">
        <f t="shared" si="138"/>
        <v>1048350480.7792495</v>
      </c>
      <c r="W107" s="12">
        <f t="shared" si="138"/>
        <v>1098262565.8572607</v>
      </c>
      <c r="X107" s="12">
        <f t="shared" si="138"/>
        <v>1149548991.1266696</v>
      </c>
      <c r="Y107" s="12">
        <f t="shared" si="138"/>
        <v>1202247599.3455727</v>
      </c>
      <c r="Z107" s="12">
        <f t="shared" si="138"/>
        <v>1256397275.2806964</v>
      </c>
    </row>
    <row r="108" spans="5:26" x14ac:dyDescent="0.25">
      <c r="E108" s="3" t="s">
        <v>87</v>
      </c>
      <c r="F108" s="3"/>
      <c r="J108" s="9">
        <v>-176148608</v>
      </c>
      <c r="K108" s="14">
        <f>J108-K58</f>
        <v>-203289050</v>
      </c>
      <c r="L108" s="9">
        <v>-223256315</v>
      </c>
      <c r="M108" s="9">
        <f>'BG a Nov'!K43*1000</f>
        <v>0</v>
      </c>
      <c r="N108" s="9">
        <f>'BG a Nov'!L43*1000</f>
        <v>0</v>
      </c>
      <c r="O108" s="9">
        <f>'BG a Nov'!M43*1000</f>
        <v>0</v>
      </c>
      <c r="P108" s="178">
        <f>'BG a Nov'!G43*1000</f>
        <v>-321874440.88372999</v>
      </c>
      <c r="Q108" s="14">
        <f>P108-Q58</f>
        <v>-358244306.76424199</v>
      </c>
      <c r="R108" s="14">
        <f t="shared" ref="R108:Z108" si="139">Q108-R58</f>
        <v>-396196353.09891963</v>
      </c>
      <c r="S108" s="14">
        <f t="shared" si="139"/>
        <v>-435642784.40877342</v>
      </c>
      <c r="T108" s="14">
        <f t="shared" si="139"/>
        <v>-476549231.09659064</v>
      </c>
      <c r="U108" s="14">
        <f t="shared" si="139"/>
        <v>-518944503.09115517</v>
      </c>
      <c r="V108" s="14">
        <f t="shared" si="139"/>
        <v>-562848871.25230014</v>
      </c>
      <c r="W108" s="14">
        <f t="shared" si="139"/>
        <v>-608202083.56276286</v>
      </c>
      <c r="X108" s="14">
        <f t="shared" si="139"/>
        <v>-654915892.24253941</v>
      </c>
      <c r="Y108" s="14">
        <f t="shared" si="139"/>
        <v>-703031115.18270934</v>
      </c>
      <c r="Z108" s="14">
        <f t="shared" si="139"/>
        <v>-752589794.81108439</v>
      </c>
    </row>
    <row r="109" spans="5:26" x14ac:dyDescent="0.25">
      <c r="E109" s="3" t="s">
        <v>88</v>
      </c>
      <c r="F109" s="3"/>
      <c r="J109" s="9">
        <f>5113251+3334628</f>
        <v>8447879</v>
      </c>
      <c r="K109" s="12">
        <f>J109</f>
        <v>8447879</v>
      </c>
      <c r="L109" s="9">
        <v>3621113</v>
      </c>
      <c r="M109" s="9">
        <f>'BG a Nov'!K28*1000</f>
        <v>4867349</v>
      </c>
      <c r="N109" s="9">
        <f>'BG a Nov'!L28*1000</f>
        <v>8005474</v>
      </c>
      <c r="O109" s="9">
        <f>'BG a Nov'!M28*1000</f>
        <v>13156850</v>
      </c>
      <c r="P109" s="177">
        <f>'BG a Nov'!G28*1000</f>
        <v>18229752.904860001</v>
      </c>
      <c r="Q109" s="12">
        <f t="shared" ref="Q109:Q110" si="140">P109</f>
        <v>18229752.904860001</v>
      </c>
      <c r="R109" s="12">
        <f t="shared" ref="R109:Z109" si="141">Q109</f>
        <v>18229752.904860001</v>
      </c>
      <c r="S109" s="12">
        <f t="shared" si="141"/>
        <v>18229752.904860001</v>
      </c>
      <c r="T109" s="12">
        <f t="shared" si="141"/>
        <v>18229752.904860001</v>
      </c>
      <c r="U109" s="12">
        <f t="shared" si="141"/>
        <v>18229752.904860001</v>
      </c>
      <c r="V109" s="12">
        <f t="shared" si="141"/>
        <v>18229752.904860001</v>
      </c>
      <c r="W109" s="12">
        <f t="shared" si="141"/>
        <v>18229752.904860001</v>
      </c>
      <c r="X109" s="12">
        <f t="shared" si="141"/>
        <v>18229752.904860001</v>
      </c>
      <c r="Y109" s="12">
        <f t="shared" si="141"/>
        <v>18229752.904860001</v>
      </c>
      <c r="Z109" s="12">
        <f t="shared" si="141"/>
        <v>18229752.904860001</v>
      </c>
    </row>
    <row r="110" spans="5:26" x14ac:dyDescent="0.25">
      <c r="E110" s="3" t="s">
        <v>89</v>
      </c>
      <c r="F110" s="3"/>
      <c r="J110" s="9">
        <f>265250-77720+5922282+173614+14319805-2000000</f>
        <v>18603231</v>
      </c>
      <c r="K110" s="12">
        <f>J110</f>
        <v>18603231</v>
      </c>
      <c r="L110" s="9">
        <f>109922+11118118+6108063</f>
        <v>17336103</v>
      </c>
      <c r="M110" s="9">
        <f>('BG a Nov'!K29+'BG a Nov'!K49+'BG a Nov'!K50+'BG a Nov'!K55+'BG a Nov'!K56)*1000</f>
        <v>17771346</v>
      </c>
      <c r="N110" s="9">
        <f>('BG a Nov'!L29+'BG a Nov'!L49+'BG a Nov'!L50+'BG a Nov'!L55+'BG a Nov'!L56)*1000</f>
        <v>30311425.000000022</v>
      </c>
      <c r="O110" s="9">
        <f>('BG a Nov'!M29+'BG a Nov'!M49+'BG a Nov'!M50+'BG a Nov'!M55+'BG a Nov'!M56)*1000</f>
        <v>30672259.999999948</v>
      </c>
      <c r="P110" s="177">
        <f>('BG a Nov'!G29+'BG a Nov'!G49+'BG a Nov'!G50+'BG a Nov'!G55+'BG a Nov'!G56)*1000</f>
        <v>40164653.935020007</v>
      </c>
      <c r="Q110" s="12">
        <f t="shared" si="140"/>
        <v>40164653.935020007</v>
      </c>
      <c r="R110" s="12">
        <f t="shared" ref="R110:Z110" si="142">Q110</f>
        <v>40164653.935020007</v>
      </c>
      <c r="S110" s="12">
        <f t="shared" si="142"/>
        <v>40164653.935020007</v>
      </c>
      <c r="T110" s="12">
        <f t="shared" si="142"/>
        <v>40164653.935020007</v>
      </c>
      <c r="U110" s="12">
        <f t="shared" si="142"/>
        <v>40164653.935020007</v>
      </c>
      <c r="V110" s="12">
        <f t="shared" si="142"/>
        <v>40164653.935020007</v>
      </c>
      <c r="W110" s="12">
        <f t="shared" si="142"/>
        <v>40164653.935020007</v>
      </c>
      <c r="X110" s="12">
        <f t="shared" si="142"/>
        <v>40164653.935020007</v>
      </c>
      <c r="Y110" s="12">
        <f t="shared" si="142"/>
        <v>40164653.935020007</v>
      </c>
      <c r="Z110" s="12">
        <f t="shared" si="142"/>
        <v>40164653.935020007</v>
      </c>
    </row>
    <row r="111" spans="5:26" x14ac:dyDescent="0.25">
      <c r="E111" s="7" t="s">
        <v>90</v>
      </c>
      <c r="F111" s="7"/>
      <c r="G111" s="7"/>
      <c r="H111" s="7"/>
      <c r="I111" s="7"/>
      <c r="J111" s="10">
        <f t="shared" ref="J111:Y111" si="143">SUM(J104:J110)</f>
        <v>480461095</v>
      </c>
      <c r="K111" s="16">
        <f t="shared" si="143"/>
        <v>483192316.41666663</v>
      </c>
      <c r="L111" s="10">
        <f t="shared" si="143"/>
        <v>507044366</v>
      </c>
      <c r="M111" s="10">
        <f t="shared" si="143"/>
        <v>520950888</v>
      </c>
      <c r="N111" s="10">
        <f t="shared" si="143"/>
        <v>562522631</v>
      </c>
      <c r="O111" s="10">
        <f t="shared" si="143"/>
        <v>595948210</v>
      </c>
      <c r="P111" s="16">
        <f t="shared" ref="P111:Q111" si="144">SUM(P104:P110)</f>
        <v>636654720.54869604</v>
      </c>
      <c r="Q111" s="16">
        <f t="shared" ca="1" si="144"/>
        <v>678242519.09604788</v>
      </c>
      <c r="R111" s="16">
        <f t="shared" ca="1" si="143"/>
        <v>717854658.60614872</v>
      </c>
      <c r="S111" s="16">
        <f t="shared" ca="1" si="143"/>
        <v>760035682.42083597</v>
      </c>
      <c r="T111" s="16">
        <f t="shared" ca="1" si="143"/>
        <v>804072226.61749327</v>
      </c>
      <c r="U111" s="16">
        <f t="shared" ca="1" si="143"/>
        <v>849307544.09529054</v>
      </c>
      <c r="V111" s="16">
        <f t="shared" ca="1" si="143"/>
        <v>896813012.27739823</v>
      </c>
      <c r="W111" s="16">
        <f t="shared" ca="1" si="143"/>
        <v>945472766.26451743</v>
      </c>
      <c r="X111" s="16">
        <f t="shared" ca="1" si="143"/>
        <v>995807686.44042826</v>
      </c>
      <c r="Y111" s="16">
        <f t="shared" ca="1" si="143"/>
        <v>1048064578.5143026</v>
      </c>
      <c r="Z111" s="16">
        <f t="shared" ref="Z111" ca="1" si="145">SUM(Z104:Z110)</f>
        <v>1102039657.9253397</v>
      </c>
    </row>
    <row r="112" spans="5:26" x14ac:dyDescent="0.25">
      <c r="J112" s="11"/>
      <c r="L112" s="11"/>
      <c r="M112" s="11"/>
      <c r="N112" s="17"/>
      <c r="O112" s="17"/>
    </row>
    <row r="113" spans="5:27" x14ac:dyDescent="0.25">
      <c r="E113" s="1" t="s">
        <v>91</v>
      </c>
      <c r="J113" s="11"/>
      <c r="L113" s="11"/>
      <c r="M113" s="11"/>
      <c r="N113" s="11"/>
      <c r="O113" s="11"/>
      <c r="AA113" s="1" t="s">
        <v>72</v>
      </c>
    </row>
    <row r="114" spans="5:27" ht="6.75" customHeight="1" x14ac:dyDescent="0.25">
      <c r="J114" s="11"/>
      <c r="L114" s="11"/>
      <c r="M114" s="11"/>
      <c r="N114" s="11"/>
      <c r="O114" s="11"/>
    </row>
    <row r="115" spans="5:27" x14ac:dyDescent="0.25">
      <c r="E115" s="3" t="s">
        <v>92</v>
      </c>
      <c r="F115" s="3"/>
      <c r="I115" s="9">
        <f>103309528+117330684</f>
        <v>220640212</v>
      </c>
      <c r="J115" s="9">
        <f>20064825+194977520</f>
        <v>215042345</v>
      </c>
      <c r="K115" s="12">
        <f>J115+K87-K86</f>
        <v>215042346</v>
      </c>
      <c r="L115" s="9">
        <f>18727566+158650839</f>
        <v>177378405</v>
      </c>
      <c r="M115" s="9">
        <f>('BG a Nov'!X10+'BG a Nov'!X24)*1000</f>
        <v>156558446</v>
      </c>
      <c r="N115" s="9">
        <f>('BG a Nov'!Y10+'BG a Nov'!Y24)*1000</f>
        <v>177238321</v>
      </c>
      <c r="O115" s="9">
        <f>('BG a Nov'!Z10+'BG a Nov'!Z24)*1000</f>
        <v>195434205.00000003</v>
      </c>
      <c r="P115" s="177">
        <f>('BG a Nov'!T10+'BG a Nov'!T24)*1000</f>
        <v>221095298.20383003</v>
      </c>
      <c r="Q115" s="12">
        <f ca="1">P115+Q87-Q86</f>
        <v>221095298.20383003</v>
      </c>
      <c r="R115" s="12">
        <f t="shared" ref="R115:Z115" ca="1" si="146">Q115+R87-R86</f>
        <v>221095298.20383003</v>
      </c>
      <c r="S115" s="12">
        <f t="shared" ca="1" si="146"/>
        <v>221095298.20383003</v>
      </c>
      <c r="T115" s="12">
        <f t="shared" ca="1" si="146"/>
        <v>221095298.20383003</v>
      </c>
      <c r="U115" s="12">
        <f t="shared" ca="1" si="146"/>
        <v>221095298.20383003</v>
      </c>
      <c r="V115" s="12">
        <f t="shared" ca="1" si="146"/>
        <v>221095298.20383003</v>
      </c>
      <c r="W115" s="12">
        <f t="shared" ca="1" si="146"/>
        <v>221095298.20383003</v>
      </c>
      <c r="X115" s="12">
        <f t="shared" ca="1" si="146"/>
        <v>221095298.20383003</v>
      </c>
      <c r="Y115" s="12">
        <f t="shared" ca="1" si="146"/>
        <v>221095298.20383003</v>
      </c>
      <c r="Z115" s="12">
        <f t="shared" ca="1" si="146"/>
        <v>221095298.20383003</v>
      </c>
    </row>
    <row r="116" spans="5:27" x14ac:dyDescent="0.25">
      <c r="E116" s="3" t="s">
        <v>66</v>
      </c>
      <c r="F116" s="3"/>
      <c r="I116" s="9"/>
      <c r="J116" s="9">
        <f>18440198+6352920</f>
        <v>24793118</v>
      </c>
      <c r="K116" s="128">
        <f>21873097+10780114</f>
        <v>32653211</v>
      </c>
      <c r="L116" s="9">
        <f>28517750+15522716</f>
        <v>44040466</v>
      </c>
      <c r="M116" s="9">
        <f>('BG a Nov'!X12+'BG a Nov'!X14)*1000</f>
        <v>46198965.000000007</v>
      </c>
      <c r="N116" s="9">
        <f>('BG a Nov'!Y12+'BG a Nov'!Y14)*1000</f>
        <v>58954072</v>
      </c>
      <c r="O116" s="9">
        <f>('BG a Nov'!Z12+'BG a Nov'!Z14)*1000</f>
        <v>57897814</v>
      </c>
      <c r="P116" s="178">
        <f>('BG a Nov'!T12+'BG a Nov'!T14)*1000/11*13</f>
        <v>42416606.113369085</v>
      </c>
      <c r="Q116" s="14">
        <f>Q40*Q68/360</f>
        <v>42440136.987640828</v>
      </c>
      <c r="R116" s="14">
        <f t="shared" ref="R116:Y116" si="147">R40*R68/360</f>
        <v>45875818.064167343</v>
      </c>
      <c r="S116" s="14">
        <f t="shared" si="147"/>
        <v>47683116.714189559</v>
      </c>
      <c r="T116" s="14">
        <f t="shared" si="147"/>
        <v>50681325.9033866</v>
      </c>
      <c r="U116" s="14">
        <f t="shared" si="147"/>
        <v>53792151.354603261</v>
      </c>
      <c r="V116" s="14">
        <f t="shared" si="147"/>
        <v>56765693.10573861</v>
      </c>
      <c r="W116" s="14">
        <f t="shared" si="147"/>
        <v>59895246.994397745</v>
      </c>
      <c r="X116" s="14">
        <f t="shared" si="147"/>
        <v>63091137.871010952</v>
      </c>
      <c r="Y116" s="14">
        <f t="shared" si="147"/>
        <v>66388931.527929701</v>
      </c>
      <c r="Z116" s="14">
        <f t="shared" ref="Z116" si="148">Z40*Z68/360</f>
        <v>69846686.348039716</v>
      </c>
    </row>
    <row r="117" spans="5:27" x14ac:dyDescent="0.25">
      <c r="E117" s="3" t="s">
        <v>93</v>
      </c>
      <c r="F117" s="3"/>
      <c r="J117" s="9">
        <f>1647282+27101</f>
        <v>1674383</v>
      </c>
      <c r="K117" s="12">
        <f>J117</f>
        <v>1674383</v>
      </c>
      <c r="L117" s="9">
        <v>1918915</v>
      </c>
      <c r="M117" s="9">
        <f>('BG a Nov'!X16+'BG a Nov'!X25)*1000</f>
        <v>3576859</v>
      </c>
      <c r="N117" s="9">
        <f>('BG a Nov'!Y16+'BG a Nov'!Y25)*1000</f>
        <v>1983747</v>
      </c>
      <c r="O117" s="9">
        <f>('BG a Nov'!Z16+'BG a Nov'!Z25)*1000</f>
        <v>2638275</v>
      </c>
      <c r="P117" s="177">
        <f>('BG a Nov'!T16+'BG a Nov'!T25)*1000</f>
        <v>3642938.7334000003</v>
      </c>
      <c r="Q117" s="12">
        <f t="shared" ref="Q117" si="149">P117</f>
        <v>3642938.7334000003</v>
      </c>
      <c r="R117" s="12">
        <f t="shared" ref="R117:Z117" si="150">Q117</f>
        <v>3642938.7334000003</v>
      </c>
      <c r="S117" s="12">
        <f t="shared" si="150"/>
        <v>3642938.7334000003</v>
      </c>
      <c r="T117" s="12">
        <f t="shared" si="150"/>
        <v>3642938.7334000003</v>
      </c>
      <c r="U117" s="12">
        <f t="shared" si="150"/>
        <v>3642938.7334000003</v>
      </c>
      <c r="V117" s="12">
        <f t="shared" si="150"/>
        <v>3642938.7334000003</v>
      </c>
      <c r="W117" s="12">
        <f t="shared" si="150"/>
        <v>3642938.7334000003</v>
      </c>
      <c r="X117" s="12">
        <f t="shared" si="150"/>
        <v>3642938.7334000003</v>
      </c>
      <c r="Y117" s="12">
        <f t="shared" si="150"/>
        <v>3642938.7334000003</v>
      </c>
      <c r="Z117" s="12">
        <f t="shared" si="150"/>
        <v>3642938.7334000003</v>
      </c>
    </row>
    <row r="118" spans="5:27" x14ac:dyDescent="0.25">
      <c r="E118" s="3" t="s">
        <v>94</v>
      </c>
      <c r="F118" s="3"/>
      <c r="J118" s="9">
        <f>36728400+40629</f>
        <v>36769029</v>
      </c>
      <c r="K118" s="12">
        <f>J118+K53-K80-28769179.5833334</f>
        <v>15143102.416666601</v>
      </c>
      <c r="L118" s="9">
        <f>3198648+36791833</f>
        <v>39990481</v>
      </c>
      <c r="M118" s="9">
        <f>('BG a Nov'!X15+'BG a Nov'!X27)*1000</f>
        <v>49408269</v>
      </c>
      <c r="N118" s="9">
        <f>('BG a Nov'!Y15+'BG a Nov'!Y27)*1000</f>
        <v>63686839</v>
      </c>
      <c r="O118" s="9">
        <f>('BG a Nov'!Z15+'BG a Nov'!Z27)*1000</f>
        <v>50787568</v>
      </c>
      <c r="P118" s="177">
        <f>('BG a Nov'!T15+'BG a Nov'!T27)*1000</f>
        <v>66774379.995020002</v>
      </c>
      <c r="Q118" s="12">
        <f t="shared" ref="Q118" ca="1" si="151">P118+Q53-Q80</f>
        <v>70424220.166439071</v>
      </c>
      <c r="R118" s="12">
        <f t="shared" ref="R118:Z118" ca="1" si="152">Q118+R53-R80</f>
        <v>69815930.992608666</v>
      </c>
      <c r="S118" s="12">
        <f t="shared" ca="1" si="152"/>
        <v>71072073.137649775</v>
      </c>
      <c r="T118" s="12">
        <f t="shared" ca="1" si="152"/>
        <v>71744336.33339256</v>
      </c>
      <c r="U118" s="12">
        <f t="shared" ca="1" si="152"/>
        <v>72359783.408594653</v>
      </c>
      <c r="V118" s="12">
        <f t="shared" ca="1" si="152"/>
        <v>73417791.926452503</v>
      </c>
      <c r="W118" s="12">
        <f t="shared" ca="1" si="152"/>
        <v>74137490.691323414</v>
      </c>
      <c r="X118" s="12">
        <f t="shared" ca="1" si="152"/>
        <v>74952475.479321301</v>
      </c>
      <c r="Y118" s="12">
        <f t="shared" ca="1" si="152"/>
        <v>75874744.3463009</v>
      </c>
      <c r="Z118" s="12">
        <f t="shared" ca="1" si="152"/>
        <v>76742917.61063385</v>
      </c>
    </row>
    <row r="119" spans="5:27" x14ac:dyDescent="0.25">
      <c r="E119" s="3" t="s">
        <v>95</v>
      </c>
      <c r="F119" s="3"/>
      <c r="J119" s="9">
        <f>2034736+804213+4617334+164417</f>
        <v>7620700</v>
      </c>
      <c r="K119" s="12">
        <f>J119</f>
        <v>7620700</v>
      </c>
      <c r="L119" s="9">
        <f>2987634+7078566+2055144+193942+4052919</f>
        <v>16368205</v>
      </c>
      <c r="M119" s="9">
        <f>('BG a Nov'!X28+'BG a Nov'!X26+'BG a Nov'!X19+'BG a Nov'!X18+'BG a Nov'!X17+'BG a Nov'!X13)*1000</f>
        <v>17650975</v>
      </c>
      <c r="N119" s="9">
        <f>('BG a Nov'!Y28+'BG a Nov'!Y26+'BG a Nov'!Y19+'BG a Nov'!Y18+'BG a Nov'!Y17+'BG a Nov'!Y13)*1000</f>
        <v>30082584.000000004</v>
      </c>
      <c r="O119" s="9">
        <f>('BG a Nov'!Z28+'BG a Nov'!Z26+'BG a Nov'!Z19+'BG a Nov'!Z18+'BG a Nov'!Z17+'BG a Nov'!Z13)*1000</f>
        <v>26307539</v>
      </c>
      <c r="P119" s="177">
        <f>('BG a Nov'!T28+'BG a Nov'!T26+'BG a Nov'!T19+'BG a Nov'!T18+'BG a Nov'!T17+'BG a Nov'!T13)*1000</f>
        <v>30211402.495069996</v>
      </c>
      <c r="Q119" s="12">
        <f t="shared" ref="Q119" si="153">P119</f>
        <v>30211402.495069996</v>
      </c>
      <c r="R119" s="12">
        <f t="shared" ref="R119:Z119" si="154">Q119</f>
        <v>30211402.495069996</v>
      </c>
      <c r="S119" s="12">
        <f t="shared" si="154"/>
        <v>30211402.495069996</v>
      </c>
      <c r="T119" s="12">
        <f t="shared" si="154"/>
        <v>30211402.495069996</v>
      </c>
      <c r="U119" s="12">
        <f t="shared" si="154"/>
        <v>30211402.495069996</v>
      </c>
      <c r="V119" s="12">
        <f t="shared" si="154"/>
        <v>30211402.495069996</v>
      </c>
      <c r="W119" s="12">
        <f t="shared" si="154"/>
        <v>30211402.495069996</v>
      </c>
      <c r="X119" s="12">
        <f t="shared" si="154"/>
        <v>30211402.495069996</v>
      </c>
      <c r="Y119" s="12">
        <f t="shared" si="154"/>
        <v>30211402.495069996</v>
      </c>
      <c r="Z119" s="12">
        <f t="shared" si="154"/>
        <v>30211402.495069996</v>
      </c>
    </row>
    <row r="120" spans="5:27" x14ac:dyDescent="0.25">
      <c r="E120" s="7" t="s">
        <v>96</v>
      </c>
      <c r="F120" s="7"/>
      <c r="G120" s="7"/>
      <c r="H120" s="7"/>
      <c r="I120" s="7"/>
      <c r="J120" s="10">
        <f t="shared" ref="J120:Y120" si="155">SUM(J115:J119)</f>
        <v>285899575</v>
      </c>
      <c r="K120" s="16">
        <f t="shared" si="155"/>
        <v>272133742.41666663</v>
      </c>
      <c r="L120" s="10">
        <f t="shared" si="155"/>
        <v>279696472</v>
      </c>
      <c r="M120" s="10">
        <f t="shared" si="155"/>
        <v>273393514</v>
      </c>
      <c r="N120" s="10">
        <f t="shared" si="155"/>
        <v>331945563</v>
      </c>
      <c r="O120" s="10">
        <f t="shared" ref="O120:Q120" si="156">SUM(O115:O119)</f>
        <v>333065401</v>
      </c>
      <c r="P120" s="16">
        <f t="shared" si="156"/>
        <v>364140625.54068911</v>
      </c>
      <c r="Q120" s="16">
        <f t="shared" ca="1" si="156"/>
        <v>367813996.58637989</v>
      </c>
      <c r="R120" s="16">
        <f t="shared" ca="1" si="155"/>
        <v>370641388.48907602</v>
      </c>
      <c r="S120" s="16">
        <f t="shared" ca="1" si="155"/>
        <v>373704829.28413934</v>
      </c>
      <c r="T120" s="16">
        <f t="shared" ca="1" si="155"/>
        <v>377375301.66907918</v>
      </c>
      <c r="U120" s="16">
        <f t="shared" ca="1" si="155"/>
        <v>381101574.19549793</v>
      </c>
      <c r="V120" s="16">
        <f t="shared" ca="1" si="155"/>
        <v>385133124.46449113</v>
      </c>
      <c r="W120" s="16">
        <f t="shared" ca="1" si="155"/>
        <v>388982377.11802113</v>
      </c>
      <c r="X120" s="16">
        <f t="shared" ca="1" si="155"/>
        <v>392993252.78263223</v>
      </c>
      <c r="Y120" s="16">
        <f t="shared" ca="1" si="155"/>
        <v>397213315.30653059</v>
      </c>
      <c r="Z120" s="16">
        <f t="shared" ref="Z120" ca="1" si="157">SUM(Z115:Z119)</f>
        <v>401539243.39097357</v>
      </c>
    </row>
    <row r="121" spans="5:27" x14ac:dyDescent="0.25">
      <c r="J121" s="11"/>
      <c r="L121" s="11"/>
      <c r="M121" s="11"/>
      <c r="N121" s="12"/>
      <c r="O121" s="12"/>
    </row>
    <row r="122" spans="5:27" x14ac:dyDescent="0.25">
      <c r="E122" s="1" t="s">
        <v>97</v>
      </c>
      <c r="J122" s="11"/>
      <c r="L122" s="11"/>
      <c r="M122" s="11"/>
      <c r="N122" s="11"/>
      <c r="O122" s="11"/>
    </row>
    <row r="123" spans="5:27" ht="6.75" customHeight="1" x14ac:dyDescent="0.25">
      <c r="J123" s="11"/>
      <c r="L123" s="11"/>
      <c r="M123" s="11"/>
      <c r="N123" s="11"/>
      <c r="O123" s="11"/>
    </row>
    <row r="124" spans="5:27" x14ac:dyDescent="0.25">
      <c r="E124" s="3" t="s">
        <v>98</v>
      </c>
      <c r="F124" s="3"/>
      <c r="J124" s="9">
        <f>2000000-22963+106</f>
        <v>1977143</v>
      </c>
      <c r="K124" s="12">
        <f>J124+K88</f>
        <v>1977143</v>
      </c>
      <c r="L124" s="9">
        <f>2000000-22963</f>
        <v>1977037</v>
      </c>
      <c r="M124" s="9">
        <f>'BG a Nov'!X42*1000</f>
        <v>1977037</v>
      </c>
      <c r="N124" s="9">
        <f>'BG a Nov'!Y42*1000</f>
        <v>1977037</v>
      </c>
      <c r="O124" s="9">
        <f>'BG a Nov'!Z42*1000</f>
        <v>1977037</v>
      </c>
      <c r="P124" s="177">
        <f>'BG a Nov'!T42*1000</f>
        <v>1977036.5999999999</v>
      </c>
      <c r="Q124" s="12">
        <f t="shared" ref="Q124" ca="1" si="158">P124+Q88</f>
        <v>1977036.5999999999</v>
      </c>
      <c r="R124" s="12">
        <f t="shared" ref="R124:Z124" ca="1" si="159">Q124+R88</f>
        <v>1977036.5999999999</v>
      </c>
      <c r="S124" s="12">
        <f t="shared" ca="1" si="159"/>
        <v>1977036.5999999999</v>
      </c>
      <c r="T124" s="12">
        <f t="shared" ca="1" si="159"/>
        <v>1977036.5999999999</v>
      </c>
      <c r="U124" s="12">
        <f t="shared" ca="1" si="159"/>
        <v>1977036.5999999999</v>
      </c>
      <c r="V124" s="12">
        <f t="shared" ca="1" si="159"/>
        <v>1977036.5999999999</v>
      </c>
      <c r="W124" s="12">
        <f t="shared" ca="1" si="159"/>
        <v>1977036.5999999999</v>
      </c>
      <c r="X124" s="12">
        <f t="shared" ca="1" si="159"/>
        <v>1977036.5999999999</v>
      </c>
      <c r="Y124" s="12">
        <f t="shared" ca="1" si="159"/>
        <v>1977036.5999999999</v>
      </c>
      <c r="Z124" s="12">
        <f t="shared" ca="1" si="159"/>
        <v>1977036.5999999999</v>
      </c>
    </row>
    <row r="125" spans="5:27" x14ac:dyDescent="0.25">
      <c r="E125" s="3" t="s">
        <v>99</v>
      </c>
      <c r="F125" s="3"/>
      <c r="J125" s="9">
        <f>45043901+38257910</f>
        <v>83301811</v>
      </c>
      <c r="K125" s="12">
        <f>J125</f>
        <v>83301811</v>
      </c>
      <c r="L125" s="9">
        <f>86300178+1067+3236937</f>
        <v>89538182</v>
      </c>
      <c r="M125" s="9">
        <f>('BG a Nov'!X44+'BG a Nov'!X45)*1000</f>
        <v>97231396.503369987</v>
      </c>
      <c r="N125" s="9">
        <f>('BG a Nov'!Y43+'BG a Nov'!Y44+'BG a Nov'!Y45)*1000</f>
        <v>69873913</v>
      </c>
      <c r="O125" s="9">
        <f>('BG a Nov'!Z43+'BG a Nov'!Z44+'BG a Nov'!Z45)*1000</f>
        <v>120603651</v>
      </c>
      <c r="P125" s="177">
        <f>('BG a Nov'!T44+'BG a Nov'!T45)*1000</f>
        <v>129819629.42578</v>
      </c>
      <c r="Q125" s="12">
        <f t="shared" ref="Q125" si="160">P125</f>
        <v>129819629.42578</v>
      </c>
      <c r="R125" s="12">
        <f t="shared" ref="R125:Z125" si="161">Q125</f>
        <v>129819629.42578</v>
      </c>
      <c r="S125" s="12">
        <f t="shared" si="161"/>
        <v>129819629.42578</v>
      </c>
      <c r="T125" s="12">
        <f t="shared" si="161"/>
        <v>129819629.42578</v>
      </c>
      <c r="U125" s="12">
        <f t="shared" si="161"/>
        <v>129819629.42578</v>
      </c>
      <c r="V125" s="12">
        <f t="shared" si="161"/>
        <v>129819629.42578</v>
      </c>
      <c r="W125" s="12">
        <f t="shared" si="161"/>
        <v>129819629.42578</v>
      </c>
      <c r="X125" s="12">
        <f t="shared" si="161"/>
        <v>129819629.42578</v>
      </c>
      <c r="Y125" s="12">
        <f t="shared" si="161"/>
        <v>129819629.42578</v>
      </c>
      <c r="Z125" s="12">
        <f t="shared" si="161"/>
        <v>129819629.42578</v>
      </c>
    </row>
    <row r="126" spans="5:27" x14ac:dyDescent="0.25">
      <c r="E126" s="3" t="s">
        <v>100</v>
      </c>
      <c r="F126" s="3"/>
      <c r="J126" s="9">
        <v>1286187</v>
      </c>
      <c r="K126" s="12">
        <f>K54</f>
        <v>16497054</v>
      </c>
      <c r="L126" s="9">
        <f>27346674.9766538+489621.023346215</f>
        <v>27836296.000000015</v>
      </c>
      <c r="M126" s="9">
        <f t="shared" ref="M126:Y126" si="162">M54</f>
        <v>40352562</v>
      </c>
      <c r="N126" s="9">
        <f t="shared" si="162"/>
        <v>50729739</v>
      </c>
      <c r="O126" s="9">
        <f t="shared" ref="O126" si="163">O54</f>
        <v>30720845</v>
      </c>
      <c r="P126" s="177">
        <f t="shared" ref="P126:Q126" si="164">P54</f>
        <v>31136152.897597052</v>
      </c>
      <c r="Q126" s="12">
        <f t="shared" ca="1" si="164"/>
        <v>37914427.501661018</v>
      </c>
      <c r="R126" s="12">
        <f t="shared" ca="1" si="162"/>
        <v>36784747.607404582</v>
      </c>
      <c r="S126" s="12">
        <f t="shared" ca="1" si="162"/>
        <v>39117583.019623786</v>
      </c>
      <c r="T126" s="12">
        <f t="shared" ca="1" si="162"/>
        <v>40366071.811717555</v>
      </c>
      <c r="U126" s="12">
        <f t="shared" ca="1" si="162"/>
        <v>41509044.951378584</v>
      </c>
      <c r="V126" s="12">
        <f t="shared" ca="1" si="162"/>
        <v>43473917.913114578</v>
      </c>
      <c r="W126" s="12">
        <f t="shared" ca="1" si="162"/>
        <v>44810501.333589114</v>
      </c>
      <c r="X126" s="12">
        <f t="shared" ca="1" si="162"/>
        <v>46324044.511299476</v>
      </c>
      <c r="Y126" s="12">
        <f t="shared" ca="1" si="162"/>
        <v>48036829.549975887</v>
      </c>
      <c r="Z126" s="12">
        <f t="shared" ref="Z126" ca="1" si="165">Z54</f>
        <v>49649151.326594234</v>
      </c>
    </row>
    <row r="127" spans="5:27" x14ac:dyDescent="0.25">
      <c r="E127" s="3" t="s">
        <v>101</v>
      </c>
      <c r="F127" s="3"/>
      <c r="J127" s="9">
        <v>107996379</v>
      </c>
      <c r="K127" s="12">
        <f>J127+J126</f>
        <v>109282566</v>
      </c>
      <c r="L127" s="9">
        <f>107996379</f>
        <v>107996379</v>
      </c>
      <c r="M127" s="9">
        <f>'BG a Nov'!X48*1000</f>
        <v>107996378.49663</v>
      </c>
      <c r="N127" s="9">
        <f>'BG a Nov'!Y48*1000</f>
        <v>107996379</v>
      </c>
      <c r="O127" s="9">
        <f>'BG a Nov'!Z48*1000</f>
        <v>109581276</v>
      </c>
      <c r="P127" s="177">
        <f>'BG a Nov'!T48*1000</f>
        <v>109581276.08463</v>
      </c>
      <c r="Q127" s="12">
        <f t="shared" ref="Q127" si="166">P127+P126</f>
        <v>140717428.98222706</v>
      </c>
      <c r="R127" s="12">
        <f t="shared" ref="R127:Z127" ca="1" si="167">Q127+Q126</f>
        <v>178631856.48388809</v>
      </c>
      <c r="S127" s="12">
        <f t="shared" ca="1" si="167"/>
        <v>215416604.09129268</v>
      </c>
      <c r="T127" s="12">
        <f t="shared" ca="1" si="167"/>
        <v>254534187.11091647</v>
      </c>
      <c r="U127" s="12">
        <f t="shared" ca="1" si="167"/>
        <v>294900258.92263401</v>
      </c>
      <c r="V127" s="12">
        <f t="shared" ca="1" si="167"/>
        <v>336409303.87401259</v>
      </c>
      <c r="W127" s="12">
        <f t="shared" ca="1" si="167"/>
        <v>379883221.78712714</v>
      </c>
      <c r="X127" s="12">
        <f t="shared" ca="1" si="167"/>
        <v>424693723.12071627</v>
      </c>
      <c r="Y127" s="12">
        <f t="shared" ca="1" si="167"/>
        <v>471017767.63201576</v>
      </c>
      <c r="Z127" s="12">
        <f t="shared" ca="1" si="167"/>
        <v>519054597.18199164</v>
      </c>
    </row>
    <row r="128" spans="5:27" x14ac:dyDescent="0.25">
      <c r="E128" s="7" t="s">
        <v>102</v>
      </c>
      <c r="F128" s="7"/>
      <c r="G128" s="7"/>
      <c r="H128" s="7"/>
      <c r="I128" s="7"/>
      <c r="J128" s="10">
        <f t="shared" ref="J128:Y128" si="168">SUM(J124:J127)</f>
        <v>194561520</v>
      </c>
      <c r="K128" s="16">
        <f t="shared" si="168"/>
        <v>211058574</v>
      </c>
      <c r="L128" s="10">
        <f t="shared" si="168"/>
        <v>227347894</v>
      </c>
      <c r="M128" s="10">
        <f t="shared" si="168"/>
        <v>247557374</v>
      </c>
      <c r="N128" s="10">
        <f t="shared" si="168"/>
        <v>230577068</v>
      </c>
      <c r="O128" s="10">
        <f t="shared" ref="O128:Q128" si="169">SUM(O124:O127)</f>
        <v>262882809</v>
      </c>
      <c r="P128" s="16">
        <f t="shared" si="169"/>
        <v>272514095.00800705</v>
      </c>
      <c r="Q128" s="16">
        <f t="shared" ca="1" si="169"/>
        <v>310428522.50966811</v>
      </c>
      <c r="R128" s="16">
        <f t="shared" ca="1" si="168"/>
        <v>347213270.1170727</v>
      </c>
      <c r="S128" s="16">
        <f t="shared" ca="1" si="168"/>
        <v>386330853.13669646</v>
      </c>
      <c r="T128" s="16">
        <f t="shared" ca="1" si="168"/>
        <v>426696924.94841397</v>
      </c>
      <c r="U128" s="16">
        <f t="shared" ca="1" si="168"/>
        <v>468205969.89979255</v>
      </c>
      <c r="V128" s="16">
        <f t="shared" ca="1" si="168"/>
        <v>511679887.81290716</v>
      </c>
      <c r="W128" s="16">
        <f t="shared" ca="1" si="168"/>
        <v>556490389.1464963</v>
      </c>
      <c r="X128" s="16">
        <f t="shared" ca="1" si="168"/>
        <v>602814433.65779567</v>
      </c>
      <c r="Y128" s="16">
        <f t="shared" ca="1" si="168"/>
        <v>650851263.20777166</v>
      </c>
      <c r="Z128" s="16">
        <f t="shared" ref="Z128" ca="1" si="170">SUM(Z124:Z127)</f>
        <v>700500414.53436589</v>
      </c>
    </row>
    <row r="129" spans="5:26" x14ac:dyDescent="0.25">
      <c r="N129" s="12"/>
    </row>
    <row r="130" spans="5:26" x14ac:dyDescent="0.25">
      <c r="E130" s="1" t="s">
        <v>103</v>
      </c>
      <c r="J130" s="24">
        <f t="shared" ref="J130:K130" si="171">J111-J120-J128</f>
        <v>0</v>
      </c>
      <c r="K130" s="24">
        <f t="shared" si="171"/>
        <v>0</v>
      </c>
      <c r="L130" s="24">
        <f>L111-L120-L128</f>
        <v>0</v>
      </c>
      <c r="M130" s="24">
        <f t="shared" ref="M130:Y130" si="172">M111-M120-M128</f>
        <v>0</v>
      </c>
      <c r="N130" s="24">
        <f t="shared" si="172"/>
        <v>0</v>
      </c>
      <c r="O130" s="24">
        <f>O111-O120-O128</f>
        <v>0</v>
      </c>
      <c r="P130" s="24">
        <f>P111-P120-P128</f>
        <v>0</v>
      </c>
      <c r="Q130" s="24">
        <f t="shared" ref="Q130" ca="1" si="173">Q111-Q120-Q128</f>
        <v>0</v>
      </c>
      <c r="R130" s="24">
        <f t="shared" ca="1" si="172"/>
        <v>0</v>
      </c>
      <c r="S130" s="24">
        <f t="shared" ca="1" si="172"/>
        <v>0</v>
      </c>
      <c r="T130" s="24">
        <f t="shared" ca="1" si="172"/>
        <v>0</v>
      </c>
      <c r="U130" s="24">
        <f t="shared" ca="1" si="172"/>
        <v>0</v>
      </c>
      <c r="V130" s="24">
        <f t="shared" ca="1" si="172"/>
        <v>0</v>
      </c>
      <c r="W130" s="24">
        <f t="shared" ca="1" si="172"/>
        <v>0</v>
      </c>
      <c r="X130" s="24">
        <f t="shared" ca="1" si="172"/>
        <v>0</v>
      </c>
      <c r="Y130" s="24">
        <f t="shared" ca="1" si="172"/>
        <v>0</v>
      </c>
      <c r="Z130" s="24">
        <f t="shared" ref="Z130" ca="1" si="174">Z111-Z120-Z128</f>
        <v>0</v>
      </c>
    </row>
    <row r="131" spans="5:26" x14ac:dyDescent="0.25">
      <c r="P131" s="12"/>
    </row>
    <row r="133" spans="5:26" x14ac:dyDescent="0.25">
      <c r="E133" s="23" t="s">
        <v>104</v>
      </c>
    </row>
    <row r="134" spans="5:26" x14ac:dyDescent="0.25">
      <c r="E134" s="1" t="s">
        <v>105</v>
      </c>
      <c r="H134" s="12">
        <f>-H116</f>
        <v>0</v>
      </c>
      <c r="I134" s="12">
        <f t="shared" ref="I134:W134" si="175">-I116</f>
        <v>0</v>
      </c>
      <c r="J134" s="12">
        <f t="shared" si="175"/>
        <v>-24793118</v>
      </c>
      <c r="K134" s="12">
        <f t="shared" si="175"/>
        <v>-32653211</v>
      </c>
      <c r="L134" s="12">
        <f t="shared" si="175"/>
        <v>-44040466</v>
      </c>
      <c r="M134" s="12">
        <f t="shared" si="175"/>
        <v>-46198965.000000007</v>
      </c>
      <c r="N134" s="12">
        <f t="shared" ref="N134:O134" si="176">-N116</f>
        <v>-58954072</v>
      </c>
      <c r="O134" s="12">
        <f t="shared" si="176"/>
        <v>-57897814</v>
      </c>
      <c r="P134" s="12">
        <f t="shared" si="175"/>
        <v>-42416606.113369085</v>
      </c>
      <c r="Q134" s="12">
        <f t="shared" si="175"/>
        <v>-42440136.987640828</v>
      </c>
      <c r="R134" s="12">
        <f t="shared" si="175"/>
        <v>-45875818.064167343</v>
      </c>
      <c r="S134" s="12">
        <f t="shared" si="175"/>
        <v>-47683116.714189559</v>
      </c>
      <c r="T134" s="12">
        <f t="shared" si="175"/>
        <v>-50681325.9033866</v>
      </c>
      <c r="U134" s="12">
        <f t="shared" si="175"/>
        <v>-53792151.354603261</v>
      </c>
      <c r="V134" s="12">
        <f t="shared" si="175"/>
        <v>-56765693.10573861</v>
      </c>
      <c r="W134" s="12">
        <f t="shared" si="175"/>
        <v>-59895246.994397745</v>
      </c>
      <c r="X134" s="12">
        <f t="shared" ref="X134:Y134" si="177">-X116</f>
        <v>-63091137.871010952</v>
      </c>
      <c r="Y134" s="12">
        <f t="shared" si="177"/>
        <v>-66388931.527929701</v>
      </c>
      <c r="Z134" s="12">
        <f t="shared" ref="Z134" si="178">-Z116</f>
        <v>-69846686.348039716</v>
      </c>
    </row>
    <row r="135" spans="5:26" x14ac:dyDescent="0.25">
      <c r="E135" s="1" t="s">
        <v>106</v>
      </c>
      <c r="H135" s="12">
        <f t="shared" ref="H135:Y135" si="179">H105+H106+H134</f>
        <v>0</v>
      </c>
      <c r="I135" s="12">
        <f t="shared" si="179"/>
        <v>0</v>
      </c>
      <c r="J135" s="12">
        <f t="shared" si="179"/>
        <v>38527052</v>
      </c>
      <c r="K135" s="12">
        <f t="shared" si="179"/>
        <v>28132279</v>
      </c>
      <c r="L135" s="12">
        <f t="shared" si="179"/>
        <v>17853909</v>
      </c>
      <c r="M135" s="12">
        <f t="shared" si="179"/>
        <v>25160736.999999993</v>
      </c>
      <c r="N135" s="12">
        <f t="shared" si="179"/>
        <v>23222944</v>
      </c>
      <c r="O135" s="12">
        <f t="shared" ref="O135" si="180">O105+O106+O134</f>
        <v>34396833</v>
      </c>
      <c r="P135" s="12">
        <f t="shared" si="179"/>
        <v>55081874.559705459</v>
      </c>
      <c r="Q135" s="12">
        <f t="shared" si="179"/>
        <v>51875897.543027654</v>
      </c>
      <c r="R135" s="12">
        <f t="shared" si="179"/>
        <v>52391612.373403035</v>
      </c>
      <c r="S135" s="12">
        <f t="shared" si="179"/>
        <v>52164360.677316815</v>
      </c>
      <c r="T135" s="12">
        <f t="shared" si="179"/>
        <v>52478820.771362253</v>
      </c>
      <c r="U135" s="12">
        <f t="shared" si="179"/>
        <v>52702098.885390639</v>
      </c>
      <c r="V135" s="12">
        <f t="shared" si="179"/>
        <v>52859496.294885173</v>
      </c>
      <c r="W135" s="12">
        <f t="shared" si="179"/>
        <v>52848015.551907524</v>
      </c>
      <c r="X135" s="12">
        <f t="shared" si="179"/>
        <v>52761197.352868237</v>
      </c>
      <c r="Y135" s="12">
        <f t="shared" si="179"/>
        <v>52646038.602717273</v>
      </c>
      <c r="Z135" s="12">
        <f t="shared" ref="Z135" si="181">Z105+Z106+Z134</f>
        <v>52469355.464178264</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G23"/>
  <sheetViews>
    <sheetView showGridLines="0" workbookViewId="0">
      <selection activeCell="B23" sqref="B3:D23"/>
    </sheetView>
  </sheetViews>
  <sheetFormatPr baseColWidth="10" defaultColWidth="11.42578125" defaultRowHeight="15" outlineLevelRow="1" x14ac:dyDescent="0.25"/>
  <cols>
    <col min="1" max="1" width="11.42578125" style="296"/>
    <col min="2" max="2" width="39.7109375" style="296" bestFit="1" customWidth="1"/>
    <col min="3" max="3" width="7.7109375" style="296" bestFit="1" customWidth="1"/>
    <col min="4" max="4" width="82.85546875" style="296" customWidth="1"/>
    <col min="5" max="16384" width="11.42578125" style="296"/>
  </cols>
  <sheetData>
    <row r="3" spans="2:7" x14ac:dyDescent="0.25">
      <c r="B3" s="494" t="s">
        <v>108</v>
      </c>
      <c r="C3" s="495"/>
      <c r="D3" s="496"/>
    </row>
    <row r="4" spans="2:7" x14ac:dyDescent="0.25">
      <c r="B4" s="430" t="s">
        <v>109</v>
      </c>
      <c r="C4" s="430" t="s">
        <v>110</v>
      </c>
      <c r="D4" s="430" t="s">
        <v>111</v>
      </c>
    </row>
    <row r="5" spans="2:7" ht="22.5" x14ac:dyDescent="0.25">
      <c r="B5" s="431" t="s">
        <v>112</v>
      </c>
      <c r="C5" s="432">
        <v>4.58E-2</v>
      </c>
      <c r="D5" s="433" t="s">
        <v>334</v>
      </c>
    </row>
    <row r="6" spans="2:7" x14ac:dyDescent="0.25">
      <c r="B6" s="431" t="s">
        <v>341</v>
      </c>
      <c r="C6" s="432">
        <f>C5+C7</f>
        <v>8.9099999999999999E-2</v>
      </c>
      <c r="D6" s="433" t="s">
        <v>113</v>
      </c>
    </row>
    <row r="7" spans="2:7" ht="22.5" x14ac:dyDescent="0.25">
      <c r="B7" s="431" t="s">
        <v>114</v>
      </c>
      <c r="C7" s="432">
        <v>4.3299999999999998E-2</v>
      </c>
      <c r="D7" s="433" t="s">
        <v>335</v>
      </c>
    </row>
    <row r="8" spans="2:7" ht="22.5" x14ac:dyDescent="0.25">
      <c r="B8" s="431" t="s">
        <v>115</v>
      </c>
      <c r="C8" s="432">
        <v>2.5399999999999999E-2</v>
      </c>
      <c r="D8" s="433" t="s">
        <v>336</v>
      </c>
    </row>
    <row r="9" spans="2:7" outlineLevel="1" x14ac:dyDescent="0.25">
      <c r="B9" s="431" t="s">
        <v>116</v>
      </c>
      <c r="C9" s="434">
        <v>0</v>
      </c>
      <c r="D9" s="433"/>
    </row>
    <row r="10" spans="2:7" ht="22.5" x14ac:dyDescent="0.25">
      <c r="B10" s="431" t="s">
        <v>117</v>
      </c>
      <c r="C10" s="435">
        <v>0.56523337831509701</v>
      </c>
      <c r="D10" s="433" t="s">
        <v>337</v>
      </c>
    </row>
    <row r="11" spans="2:7" ht="22.5" x14ac:dyDescent="0.25">
      <c r="B11" s="431" t="s">
        <v>118</v>
      </c>
      <c r="C11" s="432">
        <f>(F11/(1+F11))</f>
        <v>0.39307182898403703</v>
      </c>
      <c r="D11" s="433" t="s">
        <v>338</v>
      </c>
      <c r="F11" s="297">
        <v>0.64764143065901403</v>
      </c>
      <c r="G11" s="298" t="s">
        <v>342</v>
      </c>
    </row>
    <row r="12" spans="2:7" x14ac:dyDescent="0.25">
      <c r="B12" s="431" t="s">
        <v>119</v>
      </c>
      <c r="C12" s="432">
        <f>C10*(1+(1-C13)*C11/(1-C11))</f>
        <v>0.80317793827743822</v>
      </c>
      <c r="D12" s="433" t="s">
        <v>120</v>
      </c>
      <c r="F12" s="299">
        <f>1-C11</f>
        <v>0.60692817101596297</v>
      </c>
      <c r="G12" s="298" t="s">
        <v>343</v>
      </c>
    </row>
    <row r="13" spans="2:7" x14ac:dyDescent="0.25">
      <c r="B13" s="431" t="s">
        <v>121</v>
      </c>
      <c r="C13" s="432">
        <f>35%</f>
        <v>0.35</v>
      </c>
      <c r="D13" s="433" t="s">
        <v>122</v>
      </c>
      <c r="F13" s="298">
        <f>+C11/F12</f>
        <v>0.64764143065901414</v>
      </c>
      <c r="G13" s="298" t="s">
        <v>342</v>
      </c>
    </row>
    <row r="14" spans="2:7" outlineLevel="1" x14ac:dyDescent="0.25">
      <c r="B14" s="431" t="s">
        <v>123</v>
      </c>
      <c r="C14" s="432">
        <v>0</v>
      </c>
      <c r="D14" s="433"/>
    </row>
    <row r="15" spans="2:7" x14ac:dyDescent="0.25">
      <c r="B15" s="436" t="s">
        <v>124</v>
      </c>
      <c r="C15" s="437">
        <f>C5+C7*C12+C8+C14+C9</f>
        <v>0.10597760472741308</v>
      </c>
      <c r="D15" s="438"/>
    </row>
    <row r="16" spans="2:7" outlineLevel="1" x14ac:dyDescent="0.25">
      <c r="B16" s="431" t="s">
        <v>125</v>
      </c>
      <c r="C16" s="432">
        <v>0.02</v>
      </c>
      <c r="D16" s="433" t="s">
        <v>126</v>
      </c>
    </row>
    <row r="17" spans="2:4" outlineLevel="1" x14ac:dyDescent="0.25">
      <c r="B17" s="431" t="s">
        <v>127</v>
      </c>
      <c r="C17" s="432">
        <f>(1+C15)/(1+C16)-1</f>
        <v>8.4291769340600897E-2</v>
      </c>
      <c r="D17" s="433"/>
    </row>
    <row r="18" spans="2:4" outlineLevel="1" x14ac:dyDescent="0.25">
      <c r="B18" s="431" t="s">
        <v>128</v>
      </c>
      <c r="C18" s="432">
        <v>3.5000000000000003E-2</v>
      </c>
      <c r="D18" s="433" t="s">
        <v>129</v>
      </c>
    </row>
    <row r="19" spans="2:4" outlineLevel="1" x14ac:dyDescent="0.25">
      <c r="B19" s="436" t="s">
        <v>130</v>
      </c>
      <c r="C19" s="437">
        <f>(1+C17)*(1+C18)-1</f>
        <v>0.12224198126752195</v>
      </c>
      <c r="D19" s="433"/>
    </row>
    <row r="20" spans="2:4" x14ac:dyDescent="0.25">
      <c r="B20" s="431" t="s">
        <v>131</v>
      </c>
      <c r="C20" s="432">
        <f>'BG a Nov'!AC23*(1-C13)</f>
        <v>7.4174266169648423E-2</v>
      </c>
      <c r="D20" s="433" t="s">
        <v>132</v>
      </c>
    </row>
    <row r="21" spans="2:4" x14ac:dyDescent="0.25">
      <c r="B21" s="431" t="s">
        <v>133</v>
      </c>
      <c r="C21" s="432">
        <f>C11</f>
        <v>0.39307182898403703</v>
      </c>
      <c r="D21" s="433" t="s">
        <v>339</v>
      </c>
    </row>
    <row r="22" spans="2:4" x14ac:dyDescent="0.25">
      <c r="B22" s="439" t="s">
        <v>134</v>
      </c>
      <c r="C22" s="440">
        <f>(C19*(1-C21))+(C20*C21)</f>
        <v>0.10334791657891719</v>
      </c>
      <c r="D22" s="439" t="s">
        <v>340</v>
      </c>
    </row>
    <row r="23" spans="2:4" ht="52.5" customHeight="1" x14ac:dyDescent="0.25">
      <c r="B23" s="491" t="s">
        <v>333</v>
      </c>
      <c r="C23" s="492"/>
      <c r="D23" s="493"/>
    </row>
  </sheetData>
  <mergeCells count="2">
    <mergeCell ref="B23:D23"/>
    <mergeCell ref="B3:D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67087-433D-4061-9596-5DCAD61D0727}">
  <dimension ref="A1:A67"/>
  <sheetViews>
    <sheetView workbookViewId="0"/>
  </sheetViews>
  <sheetFormatPr baseColWidth="10" defaultRowHeight="15" x14ac:dyDescent="0.25"/>
  <sheetData>
    <row r="1" spans="1:1" x14ac:dyDescent="0.25">
      <c r="A1" t="s">
        <v>431</v>
      </c>
    </row>
    <row r="2" spans="1:1" x14ac:dyDescent="0.25">
      <c r="A2" t="s">
        <v>444</v>
      </c>
    </row>
    <row r="3" spans="1:1" x14ac:dyDescent="0.25">
      <c r="A3" t="s">
        <v>445</v>
      </c>
    </row>
    <row r="4" spans="1:1" x14ac:dyDescent="0.25">
      <c r="A4" t="s">
        <v>446</v>
      </c>
    </row>
    <row r="5" spans="1:1" x14ac:dyDescent="0.25">
      <c r="A5" t="s">
        <v>447</v>
      </c>
    </row>
    <row r="6" spans="1:1" x14ac:dyDescent="0.25">
      <c r="A6" t="s">
        <v>448</v>
      </c>
    </row>
    <row r="7" spans="1:1" x14ac:dyDescent="0.25">
      <c r="A7" t="s">
        <v>449</v>
      </c>
    </row>
    <row r="8" spans="1:1" x14ac:dyDescent="0.25">
      <c r="A8" t="s">
        <v>450</v>
      </c>
    </row>
    <row r="9" spans="1:1" x14ac:dyDescent="0.25">
      <c r="A9" t="s">
        <v>451</v>
      </c>
    </row>
    <row r="10" spans="1:1" x14ac:dyDescent="0.25">
      <c r="A10" t="s">
        <v>452</v>
      </c>
    </row>
    <row r="11" spans="1:1" x14ac:dyDescent="0.25">
      <c r="A11" t="s">
        <v>453</v>
      </c>
    </row>
    <row r="12" spans="1:1" x14ac:dyDescent="0.25">
      <c r="A12" t="s">
        <v>454</v>
      </c>
    </row>
    <row r="13" spans="1:1" x14ac:dyDescent="0.25">
      <c r="A13" t="s">
        <v>455</v>
      </c>
    </row>
    <row r="14" spans="1:1" x14ac:dyDescent="0.25">
      <c r="A14" t="s">
        <v>456</v>
      </c>
    </row>
    <row r="15" spans="1:1" x14ac:dyDescent="0.25">
      <c r="A15" t="s">
        <v>457</v>
      </c>
    </row>
    <row r="16" spans="1:1" x14ac:dyDescent="0.25">
      <c r="A16" t="s">
        <v>458</v>
      </c>
    </row>
    <row r="17" spans="1:1" x14ac:dyDescent="0.25">
      <c r="A17" t="s">
        <v>459</v>
      </c>
    </row>
    <row r="18" spans="1:1" x14ac:dyDescent="0.25">
      <c r="A18" t="s">
        <v>460</v>
      </c>
    </row>
    <row r="19" spans="1:1" x14ac:dyDescent="0.25">
      <c r="A19" t="s">
        <v>461</v>
      </c>
    </row>
    <row r="20" spans="1:1" x14ac:dyDescent="0.25">
      <c r="A20" t="s">
        <v>462</v>
      </c>
    </row>
    <row r="21" spans="1:1" x14ac:dyDescent="0.25">
      <c r="A21" t="s">
        <v>463</v>
      </c>
    </row>
    <row r="22" spans="1:1" x14ac:dyDescent="0.25">
      <c r="A22" t="s">
        <v>464</v>
      </c>
    </row>
    <row r="23" spans="1:1" x14ac:dyDescent="0.25">
      <c r="A23" t="s">
        <v>465</v>
      </c>
    </row>
    <row r="24" spans="1:1" x14ac:dyDescent="0.25">
      <c r="A24" t="s">
        <v>466</v>
      </c>
    </row>
    <row r="25" spans="1:1" x14ac:dyDescent="0.25">
      <c r="A25" t="s">
        <v>467</v>
      </c>
    </row>
    <row r="26" spans="1:1" x14ac:dyDescent="0.25">
      <c r="A26" t="s">
        <v>468</v>
      </c>
    </row>
    <row r="27" spans="1:1" x14ac:dyDescent="0.25">
      <c r="A27" t="s">
        <v>469</v>
      </c>
    </row>
    <row r="28" spans="1:1" x14ac:dyDescent="0.25">
      <c r="A28" t="s">
        <v>470</v>
      </c>
    </row>
    <row r="29" spans="1:1" x14ac:dyDescent="0.25">
      <c r="A29" t="s">
        <v>471</v>
      </c>
    </row>
    <row r="30" spans="1:1" x14ac:dyDescent="0.25">
      <c r="A30" t="s">
        <v>472</v>
      </c>
    </row>
    <row r="31" spans="1:1" x14ac:dyDescent="0.25">
      <c r="A31" t="s">
        <v>473</v>
      </c>
    </row>
    <row r="32" spans="1:1" x14ac:dyDescent="0.25">
      <c r="A32" t="s">
        <v>474</v>
      </c>
    </row>
    <row r="33" spans="1:1" x14ac:dyDescent="0.25">
      <c r="A33" t="s">
        <v>475</v>
      </c>
    </row>
    <row r="34" spans="1:1" x14ac:dyDescent="0.25">
      <c r="A34" t="s">
        <v>476</v>
      </c>
    </row>
    <row r="35" spans="1:1" x14ac:dyDescent="0.25">
      <c r="A35" t="s">
        <v>477</v>
      </c>
    </row>
    <row r="36" spans="1:1" x14ac:dyDescent="0.25">
      <c r="A36" t="s">
        <v>478</v>
      </c>
    </row>
    <row r="37" spans="1:1" x14ac:dyDescent="0.25">
      <c r="A37" t="s">
        <v>479</v>
      </c>
    </row>
    <row r="38" spans="1:1" x14ac:dyDescent="0.25">
      <c r="A38" t="s">
        <v>480</v>
      </c>
    </row>
    <row r="39" spans="1:1" x14ac:dyDescent="0.25">
      <c r="A39" t="s">
        <v>481</v>
      </c>
    </row>
    <row r="40" spans="1:1" x14ac:dyDescent="0.25">
      <c r="A40" t="s">
        <v>482</v>
      </c>
    </row>
    <row r="41" spans="1:1" x14ac:dyDescent="0.25">
      <c r="A41" t="s">
        <v>483</v>
      </c>
    </row>
    <row r="42" spans="1:1" x14ac:dyDescent="0.25">
      <c r="A42" t="s">
        <v>484</v>
      </c>
    </row>
    <row r="43" spans="1:1" x14ac:dyDescent="0.25">
      <c r="A43" t="s">
        <v>485</v>
      </c>
    </row>
    <row r="44" spans="1:1" x14ac:dyDescent="0.25">
      <c r="A44" t="s">
        <v>486</v>
      </c>
    </row>
    <row r="45" spans="1:1" x14ac:dyDescent="0.25">
      <c r="A45" t="s">
        <v>487</v>
      </c>
    </row>
    <row r="46" spans="1:1" x14ac:dyDescent="0.25">
      <c r="A46" t="s">
        <v>488</v>
      </c>
    </row>
    <row r="47" spans="1:1" x14ac:dyDescent="0.25">
      <c r="A47" t="s">
        <v>489</v>
      </c>
    </row>
    <row r="48" spans="1:1" x14ac:dyDescent="0.25">
      <c r="A48" t="s">
        <v>490</v>
      </c>
    </row>
    <row r="49" spans="1:1" x14ac:dyDescent="0.25">
      <c r="A49" t="s">
        <v>491</v>
      </c>
    </row>
    <row r="50" spans="1:1" x14ac:dyDescent="0.25">
      <c r="A50" t="s">
        <v>492</v>
      </c>
    </row>
    <row r="51" spans="1:1" x14ac:dyDescent="0.25">
      <c r="A51" t="s">
        <v>493</v>
      </c>
    </row>
    <row r="52" spans="1:1" x14ac:dyDescent="0.25">
      <c r="A52" t="s">
        <v>494</v>
      </c>
    </row>
    <row r="53" spans="1:1" x14ac:dyDescent="0.25">
      <c r="A53" t="s">
        <v>495</v>
      </c>
    </row>
    <row r="54" spans="1:1" x14ac:dyDescent="0.25">
      <c r="A54" t="s">
        <v>496</v>
      </c>
    </row>
    <row r="55" spans="1:1" x14ac:dyDescent="0.25">
      <c r="A55" t="s">
        <v>497</v>
      </c>
    </row>
    <row r="56" spans="1:1" x14ac:dyDescent="0.25">
      <c r="A56" t="s">
        <v>498</v>
      </c>
    </row>
    <row r="57" spans="1:1" x14ac:dyDescent="0.25">
      <c r="A57" t="s">
        <v>499</v>
      </c>
    </row>
    <row r="58" spans="1:1" x14ac:dyDescent="0.25">
      <c r="A58" t="s">
        <v>500</v>
      </c>
    </row>
    <row r="59" spans="1:1" x14ac:dyDescent="0.25">
      <c r="A59" t="s">
        <v>501</v>
      </c>
    </row>
    <row r="60" spans="1:1" x14ac:dyDescent="0.25">
      <c r="A60" t="s">
        <v>502</v>
      </c>
    </row>
    <row r="61" spans="1:1" x14ac:dyDescent="0.25">
      <c r="A61" t="s">
        <v>503</v>
      </c>
    </row>
    <row r="62" spans="1:1" x14ac:dyDescent="0.25">
      <c r="A62" t="s">
        <v>504</v>
      </c>
    </row>
    <row r="63" spans="1:1" x14ac:dyDescent="0.25">
      <c r="A63" t="s">
        <v>505</v>
      </c>
    </row>
    <row r="64" spans="1:1" x14ac:dyDescent="0.25">
      <c r="A64" t="s">
        <v>506</v>
      </c>
    </row>
    <row r="65" spans="1:1" x14ac:dyDescent="0.25">
      <c r="A65" t="s">
        <v>507</v>
      </c>
    </row>
    <row r="66" spans="1:1" x14ac:dyDescent="0.25">
      <c r="A66" t="s">
        <v>508</v>
      </c>
    </row>
    <row r="67" spans="1:1" x14ac:dyDescent="0.25">
      <c r="A67" t="s">
        <v>509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D0281-3DB1-4D14-80CD-4537D6462D7A}">
  <dimension ref="D1:Z30"/>
  <sheetViews>
    <sheetView showGridLines="0" zoomScaleNormal="100" workbookViewId="0">
      <pane xSplit="6" ySplit="2" topLeftCell="Q25" activePane="bottomRight" state="frozen"/>
      <selection pane="topRight" activeCell="G1" sqref="G1"/>
      <selection pane="bottomLeft" activeCell="A3" sqref="A3"/>
      <selection pane="bottomRight" activeCell="R34" sqref="R34"/>
    </sheetView>
  </sheetViews>
  <sheetFormatPr baseColWidth="10" defaultColWidth="11.42578125" defaultRowHeight="12.75" outlineLevelCol="1" x14ac:dyDescent="0.25"/>
  <cols>
    <col min="1" max="3" width="1.42578125" style="1" customWidth="1"/>
    <col min="4" max="4" width="8.5703125" style="1" customWidth="1"/>
    <col min="5" max="5" width="27.85546875" style="1" customWidth="1"/>
    <col min="6" max="6" width="5.5703125" style="1" hidden="1" customWidth="1"/>
    <col min="7" max="10" width="12.5703125" style="1" hidden="1" customWidth="1" outlineLevel="1"/>
    <col min="11" max="11" width="14.7109375" style="1" bestFit="1" customWidth="1" collapsed="1"/>
    <col min="12" max="13" width="12.5703125" style="1" customWidth="1"/>
    <col min="14" max="15" width="11.7109375" style="1" customWidth="1"/>
    <col min="16" max="20" width="12.5703125" style="1" bestFit="1" customWidth="1"/>
    <col min="21" max="26" width="13.42578125" style="1" bestFit="1" customWidth="1"/>
    <col min="27" max="28" width="11.42578125" style="1"/>
    <col min="29" max="29" width="15.85546875" style="1" bestFit="1" customWidth="1"/>
    <col min="30" max="30" width="14.42578125" style="1" bestFit="1" customWidth="1"/>
    <col min="31" max="16384" width="11.42578125" style="1"/>
  </cols>
  <sheetData>
    <row r="1" spans="4:26" x14ac:dyDescent="0.25">
      <c r="G1" s="123" t="s">
        <v>5</v>
      </c>
      <c r="H1" s="123" t="s">
        <v>6</v>
      </c>
      <c r="I1" s="123" t="s">
        <v>7</v>
      </c>
      <c r="J1" s="123" t="s">
        <v>8</v>
      </c>
      <c r="K1" s="123" t="s">
        <v>9</v>
      </c>
      <c r="L1" s="123" t="s">
        <v>10</v>
      </c>
      <c r="M1" s="123" t="s">
        <v>11</v>
      </c>
      <c r="N1" s="123" t="s">
        <v>316</v>
      </c>
      <c r="O1" s="123" t="s">
        <v>330</v>
      </c>
      <c r="P1" s="123" t="s">
        <v>331</v>
      </c>
      <c r="Q1" s="123" t="s">
        <v>12</v>
      </c>
      <c r="R1" s="123" t="s">
        <v>13</v>
      </c>
      <c r="S1" s="123" t="s">
        <v>14</v>
      </c>
      <c r="T1" s="123" t="s">
        <v>15</v>
      </c>
      <c r="U1" s="123" t="s">
        <v>16</v>
      </c>
      <c r="V1" s="123" t="s">
        <v>17</v>
      </c>
      <c r="W1" s="123" t="s">
        <v>18</v>
      </c>
      <c r="X1" s="123" t="s">
        <v>19</v>
      </c>
      <c r="Y1" s="123" t="s">
        <v>318</v>
      </c>
      <c r="Z1" s="123" t="s">
        <v>332</v>
      </c>
    </row>
    <row r="2" spans="4:26" x14ac:dyDescent="0.25">
      <c r="E2" s="121" t="s">
        <v>352</v>
      </c>
      <c r="F2" s="122"/>
      <c r="G2" s="123">
        <v>2015</v>
      </c>
      <c r="H2" s="123">
        <v>2016</v>
      </c>
      <c r="I2" s="123">
        <v>2017</v>
      </c>
      <c r="J2" s="123">
        <v>2018</v>
      </c>
      <c r="K2" s="123">
        <v>2019</v>
      </c>
      <c r="L2" s="123">
        <v>2020</v>
      </c>
      <c r="M2" s="123">
        <v>2021</v>
      </c>
      <c r="N2" s="123">
        <v>2022</v>
      </c>
      <c r="O2" s="123">
        <v>2023</v>
      </c>
      <c r="P2" s="123">
        <v>2024</v>
      </c>
      <c r="Q2" s="123">
        <v>2025</v>
      </c>
      <c r="R2" s="123">
        <v>2026</v>
      </c>
      <c r="S2" s="123">
        <v>2027</v>
      </c>
      <c r="T2" s="123">
        <v>2028</v>
      </c>
      <c r="U2" s="123">
        <v>2029</v>
      </c>
      <c r="V2" s="123">
        <v>2030</v>
      </c>
      <c r="W2" s="123">
        <v>2031</v>
      </c>
      <c r="X2" s="123">
        <v>2032</v>
      </c>
      <c r="Y2" s="123">
        <v>2033</v>
      </c>
      <c r="Z2" s="123">
        <v>2034</v>
      </c>
    </row>
    <row r="3" spans="4:26" x14ac:dyDescent="0.25">
      <c r="E3" s="23"/>
      <c r="G3" s="317"/>
      <c r="H3" s="317"/>
      <c r="I3" s="317"/>
      <c r="J3" s="317"/>
      <c r="K3" s="317"/>
      <c r="L3" s="317"/>
      <c r="M3" s="317"/>
      <c r="N3" s="317"/>
      <c r="O3" s="317"/>
      <c r="P3" s="317"/>
      <c r="Q3" s="317"/>
      <c r="R3" s="317"/>
      <c r="S3" s="317"/>
      <c r="T3" s="317"/>
      <c r="U3" s="317"/>
      <c r="V3" s="317"/>
      <c r="W3" s="317"/>
      <c r="X3" s="317"/>
      <c r="Y3" s="317"/>
      <c r="Z3" s="317"/>
    </row>
    <row r="4" spans="4:26" x14ac:dyDescent="0.25">
      <c r="E4" s="25" t="s">
        <v>350</v>
      </c>
      <c r="F4" s="26"/>
      <c r="G4" s="26"/>
      <c r="H4" s="26"/>
      <c r="I4" s="26"/>
      <c r="J4" s="312"/>
      <c r="K4" s="313"/>
      <c r="L4" s="313"/>
      <c r="M4" s="313"/>
      <c r="N4" s="317"/>
      <c r="O4" s="317"/>
      <c r="P4" s="317"/>
      <c r="Q4" s="317"/>
      <c r="R4" s="317"/>
      <c r="S4" s="317"/>
      <c r="T4" s="317"/>
      <c r="U4" s="317"/>
      <c r="V4" s="317"/>
      <c r="W4" s="317"/>
      <c r="X4" s="317"/>
      <c r="Y4" s="317"/>
      <c r="Z4" s="317"/>
    </row>
    <row r="5" spans="4:26" x14ac:dyDescent="0.25">
      <c r="E5" s="314" t="s">
        <v>348</v>
      </c>
      <c r="F5" s="314"/>
      <c r="G5" s="314" t="s">
        <v>348</v>
      </c>
      <c r="H5" s="314"/>
      <c r="I5" s="314"/>
      <c r="J5" s="315"/>
      <c r="K5" s="316"/>
      <c r="L5" s="316"/>
      <c r="M5" s="316"/>
      <c r="N5" s="317"/>
      <c r="O5" s="317"/>
      <c r="P5" s="317"/>
      <c r="Q5" s="317"/>
      <c r="R5" s="317"/>
      <c r="S5" s="317"/>
      <c r="T5" s="317"/>
      <c r="U5" s="317"/>
      <c r="V5" s="317"/>
      <c r="W5" s="317"/>
      <c r="X5" s="317"/>
      <c r="Y5" s="317"/>
      <c r="Z5" s="317"/>
    </row>
    <row r="6" spans="4:26" x14ac:dyDescent="0.25">
      <c r="E6" s="314" t="s">
        <v>349</v>
      </c>
      <c r="F6" s="314"/>
      <c r="G6" s="314" t="s">
        <v>349</v>
      </c>
      <c r="H6" s="314"/>
      <c r="I6" s="314"/>
      <c r="J6" s="315"/>
      <c r="K6" s="316"/>
      <c r="L6" s="316"/>
      <c r="M6" s="316"/>
      <c r="N6" s="317"/>
      <c r="O6" s="317"/>
      <c r="P6" s="317"/>
      <c r="Q6" s="317"/>
      <c r="R6" s="317"/>
      <c r="S6" s="317"/>
      <c r="T6" s="317"/>
      <c r="U6" s="317"/>
      <c r="V6" s="317"/>
      <c r="W6" s="317"/>
      <c r="X6" s="317"/>
      <c r="Y6" s="317"/>
      <c r="Z6" s="317"/>
    </row>
    <row r="7" spans="4:26" x14ac:dyDescent="0.25">
      <c r="D7" s="13"/>
      <c r="E7" s="314" t="s">
        <v>350</v>
      </c>
      <c r="F7" s="314"/>
      <c r="G7" s="314" t="s">
        <v>350</v>
      </c>
      <c r="H7" s="314"/>
      <c r="I7" s="314"/>
      <c r="J7" s="315"/>
      <c r="K7" s="316"/>
      <c r="L7" s="316"/>
      <c r="M7" s="316"/>
    </row>
    <row r="8" spans="4:26" x14ac:dyDescent="0.25">
      <c r="D8" s="13"/>
      <c r="J8" s="109"/>
      <c r="K8" s="110"/>
      <c r="L8" s="110"/>
    </row>
    <row r="9" spans="4:26" x14ac:dyDescent="0.25">
      <c r="E9" s="70" t="s">
        <v>361</v>
      </c>
      <c r="F9" s="71"/>
      <c r="G9" s="72">
        <f>G$2</f>
        <v>2015</v>
      </c>
      <c r="H9" s="72">
        <f t="shared" ref="H9:Z9" si="0">H$2</f>
        <v>2016</v>
      </c>
      <c r="I9" s="72">
        <f t="shared" si="0"/>
        <v>2017</v>
      </c>
      <c r="J9" s="72">
        <f t="shared" si="0"/>
        <v>2018</v>
      </c>
      <c r="K9" s="72">
        <f t="shared" si="0"/>
        <v>2019</v>
      </c>
      <c r="L9" s="72">
        <f t="shared" si="0"/>
        <v>2020</v>
      </c>
      <c r="M9" s="72">
        <f t="shared" si="0"/>
        <v>2021</v>
      </c>
      <c r="N9" s="72">
        <f t="shared" si="0"/>
        <v>2022</v>
      </c>
      <c r="O9" s="72">
        <f t="shared" si="0"/>
        <v>2023</v>
      </c>
      <c r="P9" s="72">
        <f t="shared" si="0"/>
        <v>2024</v>
      </c>
      <c r="Q9" s="72">
        <f t="shared" si="0"/>
        <v>2025</v>
      </c>
      <c r="R9" s="72">
        <f t="shared" si="0"/>
        <v>2026</v>
      </c>
      <c r="S9" s="72">
        <f t="shared" si="0"/>
        <v>2027</v>
      </c>
      <c r="T9" s="72">
        <f t="shared" si="0"/>
        <v>2028</v>
      </c>
      <c r="U9" s="73">
        <f t="shared" si="0"/>
        <v>2029</v>
      </c>
      <c r="V9" s="72">
        <f t="shared" si="0"/>
        <v>2030</v>
      </c>
      <c r="W9" s="72">
        <f t="shared" si="0"/>
        <v>2031</v>
      </c>
      <c r="X9" s="72">
        <f t="shared" si="0"/>
        <v>2032</v>
      </c>
      <c r="Y9" s="72">
        <f t="shared" si="0"/>
        <v>2033</v>
      </c>
      <c r="Z9" s="73">
        <f t="shared" si="0"/>
        <v>2034</v>
      </c>
    </row>
    <row r="10" spans="4:26" x14ac:dyDescent="0.25">
      <c r="E10" s="74"/>
      <c r="P10" s="302"/>
      <c r="U10" s="75"/>
      <c r="Z10" s="75"/>
    </row>
    <row r="11" spans="4:26" ht="20.100000000000001" customHeight="1" x14ac:dyDescent="0.25">
      <c r="E11" s="89" t="s">
        <v>47</v>
      </c>
      <c r="F11" s="7"/>
      <c r="G11" s="10">
        <f>+EEFF!G44</f>
        <v>60084873</v>
      </c>
      <c r="H11" s="10">
        <f>+EEFF!H44</f>
        <v>69222338</v>
      </c>
      <c r="I11" s="10">
        <f>+EEFF!I44</f>
        <v>38266723</v>
      </c>
      <c r="J11" s="10">
        <f>+EEFF!J44</f>
        <v>14946867</v>
      </c>
      <c r="K11" s="10">
        <f>+EEFF!K44</f>
        <v>41789458</v>
      </c>
      <c r="L11" s="10">
        <f>+EEFF!L44</f>
        <v>51676585</v>
      </c>
      <c r="M11" s="10">
        <f>+EEFF!M44</f>
        <v>70331829</v>
      </c>
      <c r="N11" s="10">
        <f>+EEFF!N44</f>
        <v>97501818</v>
      </c>
      <c r="O11" s="10">
        <f>+EEFF!O44</f>
        <v>73926522</v>
      </c>
      <c r="P11" s="303">
        <f>+EEFF!P44</f>
        <v>79833684.217843577</v>
      </c>
      <c r="Q11" s="16">
        <f>+EEFF!Q44</f>
        <v>83832683.000147939</v>
      </c>
      <c r="R11" s="16">
        <f>+EEFF!R44</f>
        <v>82106575.724693596</v>
      </c>
      <c r="S11" s="16">
        <f>+EEFF!S44</f>
        <v>85706756.861572117</v>
      </c>
      <c r="T11" s="16">
        <f>+EEFF!T44</f>
        <v>87638454.756121159</v>
      </c>
      <c r="U11" s="332">
        <f>+EEFF!U44</f>
        <v>89408036.869115502</v>
      </c>
      <c r="V11" s="16">
        <f>+EEFF!V44</f>
        <v>92442232.219856799</v>
      </c>
      <c r="W11" s="16">
        <f>+EEFF!W44</f>
        <v>94509376.559901938</v>
      </c>
      <c r="X11" s="16">
        <f>+EEFF!X44</f>
        <v>96848105.076341808</v>
      </c>
      <c r="Y11" s="16">
        <f>+EEFF!Y44</f>
        <v>99493665.549251392</v>
      </c>
      <c r="Z11" s="332">
        <f>+EEFF!Z44</f>
        <v>101984982.35447386</v>
      </c>
    </row>
    <row r="12" spans="4:26" x14ac:dyDescent="0.25">
      <c r="E12" s="307" t="s">
        <v>347</v>
      </c>
      <c r="G12" s="308">
        <f>IFERROR(EEFF!G53/EEFF!G50,0)</f>
        <v>0</v>
      </c>
      <c r="H12" s="308">
        <f>IFERROR(EEFF!H53/EEFF!H50,0)</f>
        <v>0</v>
      </c>
      <c r="I12" s="308">
        <f>IFERROR(EEFF!I53/EEFF!I50,0)</f>
        <v>0</v>
      </c>
      <c r="J12" s="308">
        <f>IFERROR(EEFF!J53/EEFF!J50,0)</f>
        <v>1.9474457673526424</v>
      </c>
      <c r="K12" s="308">
        <f>IFERROR(EEFF!K53/EEFF!K50,0)</f>
        <v>0.30216413856215996</v>
      </c>
      <c r="L12" s="308">
        <f>IFERROR(EEFF!L53/EEFF!L50,0)</f>
        <v>0.24394739104225635</v>
      </c>
      <c r="M12" s="308">
        <f>IFERROR(EEFF!M53/EEFF!M50,0)</f>
        <v>0.35382277395190065</v>
      </c>
      <c r="N12" s="308">
        <f>IFERROR(EEFF!N53/EEFF!N50,0)</f>
        <v>0.38878330262575128</v>
      </c>
      <c r="O12" s="308">
        <f>IFERROR(EEFF!O53/EEFF!O50,0)</f>
        <v>0.3395366805261254</v>
      </c>
      <c r="P12" s="308">
        <f>IFERROR(EEFF!P53/EEFF!P50,0)</f>
        <v>0.35</v>
      </c>
      <c r="Q12" s="308">
        <f ca="1">IFERROR(EEFF!Q53/EEFF!Q50,0)</f>
        <v>0.35</v>
      </c>
      <c r="R12" s="308">
        <f ca="1">IFERROR(EEFF!R53/EEFF!R50,0)</f>
        <v>0.35</v>
      </c>
      <c r="S12" s="308">
        <f ca="1">IFERROR(EEFF!S53/EEFF!S50,0)</f>
        <v>0.35</v>
      </c>
      <c r="T12" s="308">
        <f ca="1">IFERROR(EEFF!T53/EEFF!T50,0)</f>
        <v>0.35</v>
      </c>
      <c r="U12" s="333">
        <f ca="1">IFERROR(EEFF!U53/EEFF!U50,0)</f>
        <v>0.35</v>
      </c>
      <c r="V12" s="308">
        <f ca="1">IFERROR(EEFF!V53/EEFF!V50,0)</f>
        <v>0.35</v>
      </c>
      <c r="W12" s="308">
        <f ca="1">IFERROR(EEFF!W53/EEFF!W50,0)</f>
        <v>0.35</v>
      </c>
      <c r="X12" s="308">
        <f ca="1">IFERROR(EEFF!X53/EEFF!X50,0)</f>
        <v>0.35</v>
      </c>
      <c r="Y12" s="308">
        <f ca="1">IFERROR(EEFF!Y53/EEFF!Y50,0)</f>
        <v>0.35</v>
      </c>
      <c r="Z12" s="333">
        <f ca="1">IFERROR(EEFF!Z53/EEFF!Z50,0)</f>
        <v>0.35</v>
      </c>
    </row>
    <row r="13" spans="4:26" x14ac:dyDescent="0.25">
      <c r="D13" s="309"/>
      <c r="E13" s="76" t="s">
        <v>136</v>
      </c>
      <c r="K13" s="311">
        <f t="shared" ref="K13" si="1">+K11*(1-K12)</f>
        <v>29162182.422450434</v>
      </c>
      <c r="L13" s="311">
        <f t="shared" ref="L13" si="2">+L11*(1-L12)</f>
        <v>39070216.911276601</v>
      </c>
      <c r="M13" s="311">
        <f t="shared" ref="M13" si="3">+M11*(1-M12)</f>
        <v>45446826.166109271</v>
      </c>
      <c r="N13" s="311">
        <f t="shared" ref="N13" si="4">+N11*(1-N12)</f>
        <v>59594739.185945079</v>
      </c>
      <c r="O13" s="311">
        <f t="shared" ref="O13" si="5">+O11*(1-O12)</f>
        <v>48825756.117278419</v>
      </c>
      <c r="P13" s="311">
        <f t="shared" ref="P13" si="6">+P11*(1-P12)</f>
        <v>51891894.74159833</v>
      </c>
      <c r="Q13" s="311">
        <f t="shared" ref="Q13" ca="1" si="7">+Q11*(1-Q12)</f>
        <v>54491243.95009616</v>
      </c>
      <c r="R13" s="311">
        <f t="shared" ref="R13" ca="1" si="8">+R11*(1-R12)</f>
        <v>53369274.221050836</v>
      </c>
      <c r="S13" s="311">
        <f t="shared" ref="S13" ca="1" si="9">+S11*(1-S12)</f>
        <v>55709391.960021876</v>
      </c>
      <c r="T13" s="311">
        <f t="shared" ref="T13" ca="1" si="10">+T11*(1-T12)</f>
        <v>56964995.591478758</v>
      </c>
      <c r="U13" s="321">
        <f t="shared" ref="U13" ca="1" si="11">+U11*(1-U12)</f>
        <v>58115223.964925081</v>
      </c>
      <c r="V13" s="311">
        <f t="shared" ref="V13" ca="1" si="12">+V11*(1-V12)</f>
        <v>60087450.942906924</v>
      </c>
      <c r="W13" s="311">
        <f t="shared" ref="W13" ca="1" si="13">+W11*(1-W12)</f>
        <v>61431094.763936259</v>
      </c>
      <c r="X13" s="311">
        <f t="shared" ref="X13" ca="1" si="14">+X11*(1-X12)</f>
        <v>62951268.299622178</v>
      </c>
      <c r="Y13" s="311">
        <f t="shared" ref="Y13" ca="1" si="15">+Y11*(1-Y12)</f>
        <v>64670882.607013404</v>
      </c>
      <c r="Z13" s="321">
        <f t="shared" ref="Z13" ca="1" si="16">+Z11*(1-Z12)</f>
        <v>66290238.53040801</v>
      </c>
    </row>
    <row r="14" spans="4:26" x14ac:dyDescent="0.25">
      <c r="D14" s="310"/>
      <c r="E14" s="76" t="s">
        <v>351</v>
      </c>
      <c r="K14" s="322">
        <f>+EEFF!K111-EEFF!K120-EEFF!K115</f>
        <v>-3983772</v>
      </c>
      <c r="L14" s="322">
        <f>+EEFF!L111-EEFF!L120-EEFF!L115</f>
        <v>49969489</v>
      </c>
      <c r="M14" s="322">
        <f>+EEFF!M111-EEFF!M120-EEFF!M115</f>
        <v>90998928</v>
      </c>
      <c r="N14" s="322">
        <f>+EEFF!N111-EEFF!N120-EEFF!N115</f>
        <v>53338747</v>
      </c>
      <c r="O14" s="322">
        <f>+EEFF!O111-EEFF!O120-EEFF!O115</f>
        <v>67448603.99999997</v>
      </c>
      <c r="P14" s="322">
        <f>+EEFF!P111-EEFF!P120-EEFF!P115</f>
        <v>51418796.804176897</v>
      </c>
      <c r="Q14" s="322">
        <f ca="1">+EEFF!Q111-EEFF!Q120-EEFF!Q115</f>
        <v>89333224.305837959</v>
      </c>
      <c r="R14" s="322">
        <f ca="1">+EEFF!R111-EEFF!R120-EEFF!R115</f>
        <v>126117971.91324267</v>
      </c>
      <c r="S14" s="322">
        <f ca="1">+EEFF!S111-EEFF!S120-EEFF!S115</f>
        <v>165235554.9328666</v>
      </c>
      <c r="T14" s="322">
        <f ca="1">+EEFF!T111-EEFF!T120-EEFF!T115</f>
        <v>205601626.74458405</v>
      </c>
      <c r="U14" s="323">
        <f ca="1">+EEFF!U111-EEFF!U120-EEFF!U115</f>
        <v>247110671.69596258</v>
      </c>
      <c r="V14" s="322">
        <f ca="1">+EEFF!V111-EEFF!V120-EEFF!V115</f>
        <v>290584589.6090771</v>
      </c>
      <c r="W14" s="322">
        <f ca="1">+EEFF!W111-EEFF!W120-EEFF!W115</f>
        <v>335395090.94266629</v>
      </c>
      <c r="X14" s="322">
        <f ca="1">+EEFF!X111-EEFF!X120-EEFF!X115</f>
        <v>381719135.45396602</v>
      </c>
      <c r="Y14" s="322">
        <f ca="1">+EEFF!Y111-EEFF!Y120-EEFF!Y115</f>
        <v>429755965.00394201</v>
      </c>
      <c r="Z14" s="323">
        <f ca="1">+EEFF!Z111-EEFF!Z120-EEFF!Z115</f>
        <v>479405116.33053613</v>
      </c>
    </row>
    <row r="15" spans="4:26" x14ac:dyDescent="0.25">
      <c r="D15" s="310"/>
      <c r="E15" s="307" t="s">
        <v>352</v>
      </c>
      <c r="F15" s="21"/>
      <c r="G15" s="21"/>
      <c r="H15" s="21"/>
      <c r="I15" s="21"/>
      <c r="J15" s="21"/>
      <c r="K15" s="334">
        <f>+K13-(WACC!$C$22*K14)</f>
        <v>29573896.958775859</v>
      </c>
      <c r="L15" s="334">
        <f>+L13-(WACC!$C$22*L14)</f>
        <v>33905974.330613479</v>
      </c>
      <c r="M15" s="334">
        <f>+M13-(WACC!$C$22*M14)</f>
        <v>36042276.546394378</v>
      </c>
      <c r="N15" s="334">
        <f>+N13-(WACC!$C$22*N14)</f>
        <v>54082290.810565107</v>
      </c>
      <c r="O15" s="334">
        <f>+O13-(WACC!$C$22*O14)</f>
        <v>41855083.417722002</v>
      </c>
      <c r="P15" s="334">
        <f>+P13-(WACC!$C$22*P14)</f>
        <v>46577869.218891963</v>
      </c>
      <c r="Q15" s="368">
        <f ca="1">+Q13-(WACC!$C$22*Q14)</f>
        <v>45258841.336810723</v>
      </c>
      <c r="R15" s="334">
        <f ca="1">+R13-(WACC!$C$22*R14)</f>
        <v>40335244.580658808</v>
      </c>
      <c r="S15" s="334">
        <f ca="1">+S13-(WACC!$C$22*S14)</f>
        <v>38632641.612948895</v>
      </c>
      <c r="T15" s="334">
        <f ca="1">+T13-(WACC!$C$22*T14)</f>
        <v>35716495.822189815</v>
      </c>
      <c r="U15" s="335">
        <f ca="1">+U13-(WACC!$C$22*U14)</f>
        <v>32576850.880730547</v>
      </c>
      <c r="V15" s="334">
        <f ca="1">+V13-(WACC!$C$22*V14)</f>
        <v>30056139.016869135</v>
      </c>
      <c r="W15" s="334">
        <f ca="1">+W13-(WACC!$C$22*W14)</f>
        <v>26768710.884215236</v>
      </c>
      <c r="X15" s="334">
        <f ca="1">+X13-(WACC!$C$22*X14)</f>
        <v>23501390.932149306</v>
      </c>
      <c r="Y15" s="334">
        <f ca="1">+Y13-(WACC!$C$22*Y14)</f>
        <v>20256498.986493953</v>
      </c>
      <c r="Z15" s="335">
        <f ca="1">+Z13-(WACC!$C$22*Z14)</f>
        <v>16744718.560373671</v>
      </c>
    </row>
    <row r="19" spans="5:26" x14ac:dyDescent="0.25">
      <c r="E19" s="1" t="s">
        <v>413</v>
      </c>
      <c r="K19" s="358">
        <f ca="1">+NPV(WACC!C22,EVA!Q15:U15)</f>
        <v>146937073.61517864</v>
      </c>
      <c r="P19" s="1" t="s">
        <v>352</v>
      </c>
    </row>
    <row r="22" spans="5:26" x14ac:dyDescent="0.25">
      <c r="E22" s="70" t="s">
        <v>361</v>
      </c>
      <c r="F22" s="71"/>
      <c r="G22" s="72">
        <f>G$2</f>
        <v>2015</v>
      </c>
      <c r="H22" s="72">
        <f t="shared" ref="H22:Z22" si="17">H$2</f>
        <v>2016</v>
      </c>
      <c r="I22" s="72">
        <f t="shared" si="17"/>
        <v>2017</v>
      </c>
      <c r="J22" s="72">
        <f t="shared" si="17"/>
        <v>2018</v>
      </c>
      <c r="K22" s="72">
        <f t="shared" si="17"/>
        <v>2019</v>
      </c>
      <c r="L22" s="72">
        <f t="shared" si="17"/>
        <v>2020</v>
      </c>
      <c r="M22" s="72">
        <f t="shared" si="17"/>
        <v>2021</v>
      </c>
      <c r="N22" s="72">
        <f t="shared" si="17"/>
        <v>2022</v>
      </c>
      <c r="O22" s="72">
        <f t="shared" si="17"/>
        <v>2023</v>
      </c>
      <c r="P22" s="72">
        <f t="shared" si="17"/>
        <v>2024</v>
      </c>
      <c r="Q22" s="72">
        <f t="shared" si="17"/>
        <v>2025</v>
      </c>
      <c r="R22" s="72">
        <f t="shared" si="17"/>
        <v>2026</v>
      </c>
      <c r="S22" s="72">
        <f t="shared" si="17"/>
        <v>2027</v>
      </c>
      <c r="T22" s="72">
        <f t="shared" si="17"/>
        <v>2028</v>
      </c>
      <c r="U22" s="73">
        <f t="shared" si="17"/>
        <v>2029</v>
      </c>
      <c r="V22" s="72">
        <f t="shared" si="17"/>
        <v>2030</v>
      </c>
      <c r="W22" s="72">
        <f t="shared" si="17"/>
        <v>2031</v>
      </c>
      <c r="X22" s="72">
        <f t="shared" si="17"/>
        <v>2032</v>
      </c>
      <c r="Y22" s="72">
        <f t="shared" si="17"/>
        <v>2033</v>
      </c>
      <c r="Z22" s="73">
        <f t="shared" si="17"/>
        <v>2034</v>
      </c>
    </row>
    <row r="23" spans="5:26" x14ac:dyDescent="0.25">
      <c r="E23" s="74"/>
      <c r="P23" s="302"/>
      <c r="U23" s="75"/>
      <c r="Z23" s="75"/>
    </row>
    <row r="24" spans="5:26" x14ac:dyDescent="0.25">
      <c r="E24" s="89" t="s">
        <v>47</v>
      </c>
      <c r="F24" s="7"/>
      <c r="G24" s="10">
        <f>+EEFF!G57</f>
        <v>0</v>
      </c>
      <c r="H24" s="10">
        <f>+EEFF!H57</f>
        <v>0</v>
      </c>
      <c r="I24" s="10">
        <f>+EEFF!I57</f>
        <v>0</v>
      </c>
      <c r="J24" s="10">
        <f>+EEFF!J57</f>
        <v>0</v>
      </c>
      <c r="K24" s="10">
        <f>+K11</f>
        <v>41789458</v>
      </c>
      <c r="L24" s="10">
        <f t="shared" ref="L24:Z24" si="18">+L11</f>
        <v>51676585</v>
      </c>
      <c r="M24" s="10">
        <f t="shared" si="18"/>
        <v>70331829</v>
      </c>
      <c r="N24" s="10">
        <f t="shared" si="18"/>
        <v>97501818</v>
      </c>
      <c r="O24" s="10">
        <f t="shared" si="18"/>
        <v>73926522</v>
      </c>
      <c r="P24" s="303">
        <f t="shared" si="18"/>
        <v>79833684.217843577</v>
      </c>
      <c r="Q24" s="16">
        <f t="shared" si="18"/>
        <v>83832683.000147939</v>
      </c>
      <c r="R24" s="16">
        <f t="shared" si="18"/>
        <v>82106575.724693596</v>
      </c>
      <c r="S24" s="16">
        <f t="shared" si="18"/>
        <v>85706756.861572117</v>
      </c>
      <c r="T24" s="16">
        <f t="shared" si="18"/>
        <v>87638454.756121159</v>
      </c>
      <c r="U24" s="332">
        <f t="shared" si="18"/>
        <v>89408036.869115502</v>
      </c>
      <c r="V24" s="16">
        <f t="shared" si="18"/>
        <v>92442232.219856799</v>
      </c>
      <c r="W24" s="16">
        <f t="shared" si="18"/>
        <v>94509376.559901938</v>
      </c>
      <c r="X24" s="16">
        <f t="shared" si="18"/>
        <v>96848105.076341808</v>
      </c>
      <c r="Y24" s="16">
        <f t="shared" si="18"/>
        <v>99493665.549251392</v>
      </c>
      <c r="Z24" s="332">
        <f t="shared" si="18"/>
        <v>101984982.35447386</v>
      </c>
    </row>
    <row r="25" spans="5:26" x14ac:dyDescent="0.25">
      <c r="E25" s="307" t="s">
        <v>347</v>
      </c>
      <c r="G25" s="308">
        <f>IFERROR(EEFF!G66/EEFF!G63,0)</f>
        <v>0</v>
      </c>
      <c r="H25" s="308">
        <f>IFERROR(EEFF!H66/EEFF!H63,0)</f>
        <v>0</v>
      </c>
      <c r="I25" s="308">
        <f>IFERROR(EEFF!I66/EEFF!I63,0)</f>
        <v>0</v>
      </c>
      <c r="J25" s="308">
        <f>IFERROR(EEFF!J66/EEFF!J63,0)</f>
        <v>0</v>
      </c>
      <c r="K25" s="308">
        <f>+K12</f>
        <v>0.30216413856215996</v>
      </c>
      <c r="L25" s="308">
        <f t="shared" ref="L25:Z25" si="19">+L12</f>
        <v>0.24394739104225635</v>
      </c>
      <c r="M25" s="308">
        <f t="shared" si="19"/>
        <v>0.35382277395190065</v>
      </c>
      <c r="N25" s="308">
        <f t="shared" si="19"/>
        <v>0.38878330262575128</v>
      </c>
      <c r="O25" s="308">
        <f t="shared" si="19"/>
        <v>0.3395366805261254</v>
      </c>
      <c r="P25" s="308">
        <f t="shared" si="19"/>
        <v>0.35</v>
      </c>
      <c r="Q25" s="308">
        <f ca="1">+Q12</f>
        <v>0.35</v>
      </c>
      <c r="R25" s="308">
        <f t="shared" ca="1" si="19"/>
        <v>0.35</v>
      </c>
      <c r="S25" s="308">
        <f t="shared" ca="1" si="19"/>
        <v>0.35</v>
      </c>
      <c r="T25" s="308">
        <f t="shared" ca="1" si="19"/>
        <v>0.35</v>
      </c>
      <c r="U25" s="333">
        <f t="shared" ca="1" si="19"/>
        <v>0.35</v>
      </c>
      <c r="V25" s="308">
        <f t="shared" ca="1" si="19"/>
        <v>0.35</v>
      </c>
      <c r="W25" s="308">
        <f t="shared" ca="1" si="19"/>
        <v>0.35</v>
      </c>
      <c r="X25" s="308">
        <f t="shared" ca="1" si="19"/>
        <v>0.35</v>
      </c>
      <c r="Y25" s="308">
        <f t="shared" ca="1" si="19"/>
        <v>0.35</v>
      </c>
      <c r="Z25" s="333">
        <f t="shared" ca="1" si="19"/>
        <v>0.35</v>
      </c>
    </row>
    <row r="26" spans="5:26" x14ac:dyDescent="0.25">
      <c r="E26" s="76" t="s">
        <v>136</v>
      </c>
      <c r="K26" s="311">
        <f t="shared" ref="K26" si="20">+K24*(1-K25)</f>
        <v>29162182.422450434</v>
      </c>
      <c r="L26" s="311">
        <f t="shared" ref="L26:Z26" si="21">+L24*(1-L25)</f>
        <v>39070216.911276601</v>
      </c>
      <c r="M26" s="311">
        <f t="shared" si="21"/>
        <v>45446826.166109271</v>
      </c>
      <c r="N26" s="311">
        <f t="shared" si="21"/>
        <v>59594739.185945079</v>
      </c>
      <c r="O26" s="311">
        <f t="shared" si="21"/>
        <v>48825756.117278419</v>
      </c>
      <c r="P26" s="311">
        <f t="shared" si="21"/>
        <v>51891894.74159833</v>
      </c>
      <c r="Q26" s="311">
        <f t="shared" ca="1" si="21"/>
        <v>54491243.95009616</v>
      </c>
      <c r="R26" s="311">
        <f t="shared" ca="1" si="21"/>
        <v>53369274.221050836</v>
      </c>
      <c r="S26" s="311">
        <f t="shared" ca="1" si="21"/>
        <v>55709391.960021876</v>
      </c>
      <c r="T26" s="311">
        <f t="shared" ca="1" si="21"/>
        <v>56964995.591478758</v>
      </c>
      <c r="U26" s="321">
        <f t="shared" ca="1" si="21"/>
        <v>58115223.964925081</v>
      </c>
      <c r="V26" s="311">
        <f t="shared" ca="1" si="21"/>
        <v>60087450.942906924</v>
      </c>
      <c r="W26" s="311">
        <f t="shared" ca="1" si="21"/>
        <v>61431094.763936259</v>
      </c>
      <c r="X26" s="311">
        <f t="shared" ca="1" si="21"/>
        <v>62951268.299622178</v>
      </c>
      <c r="Y26" s="311">
        <f t="shared" ca="1" si="21"/>
        <v>64670882.607013404</v>
      </c>
      <c r="Z26" s="321">
        <f t="shared" ca="1" si="21"/>
        <v>66290238.53040801</v>
      </c>
    </row>
    <row r="27" spans="5:26" x14ac:dyDescent="0.25">
      <c r="E27" s="76" t="s">
        <v>351</v>
      </c>
      <c r="K27" s="322">
        <f>+K14</f>
        <v>-3983772</v>
      </c>
      <c r="L27" s="322">
        <f t="shared" ref="L27:Z27" si="22">+L14</f>
        <v>49969489</v>
      </c>
      <c r="M27" s="322">
        <f t="shared" si="22"/>
        <v>90998928</v>
      </c>
      <c r="N27" s="322">
        <f t="shared" si="22"/>
        <v>53338747</v>
      </c>
      <c r="O27" s="322">
        <f t="shared" si="22"/>
        <v>67448603.99999997</v>
      </c>
      <c r="P27" s="322">
        <f t="shared" si="22"/>
        <v>51418796.804176897</v>
      </c>
      <c r="Q27" s="322">
        <f t="shared" ca="1" si="22"/>
        <v>89333224.305837959</v>
      </c>
      <c r="R27" s="322">
        <f t="shared" ca="1" si="22"/>
        <v>126117971.91324267</v>
      </c>
      <c r="S27" s="322">
        <f t="shared" ca="1" si="22"/>
        <v>165235554.9328666</v>
      </c>
      <c r="T27" s="322">
        <f t="shared" ca="1" si="22"/>
        <v>205601626.74458405</v>
      </c>
      <c r="U27" s="323">
        <f t="shared" ca="1" si="22"/>
        <v>247110671.69596258</v>
      </c>
      <c r="V27" s="322">
        <f t="shared" ca="1" si="22"/>
        <v>290584589.6090771</v>
      </c>
      <c r="W27" s="322">
        <f t="shared" ca="1" si="22"/>
        <v>335395090.94266629</v>
      </c>
      <c r="X27" s="322">
        <f t="shared" ca="1" si="22"/>
        <v>381719135.45396602</v>
      </c>
      <c r="Y27" s="322">
        <f t="shared" ca="1" si="22"/>
        <v>429755965.00394201</v>
      </c>
      <c r="Z27" s="323">
        <f t="shared" ca="1" si="22"/>
        <v>479405116.33053613</v>
      </c>
    </row>
    <row r="28" spans="5:26" x14ac:dyDescent="0.25">
      <c r="E28" s="76" t="s">
        <v>518</v>
      </c>
      <c r="K28" s="322">
        <f>+K26/K27</f>
        <v>-7.3202438348505972</v>
      </c>
      <c r="L28" s="371">
        <f t="shared" ref="L28:Z28" si="23">+L26/L27</f>
        <v>0.78188145792878938</v>
      </c>
      <c r="M28" s="371">
        <f t="shared" si="23"/>
        <v>0.49942155545073313</v>
      </c>
      <c r="N28" s="371">
        <f t="shared" si="23"/>
        <v>1.1172879480266957</v>
      </c>
      <c r="O28" s="371">
        <f t="shared" si="23"/>
        <v>0.72389572536265456</v>
      </c>
      <c r="P28" s="371">
        <f t="shared" si="23"/>
        <v>1.0092008752990307</v>
      </c>
      <c r="Q28" s="371">
        <f t="shared" ca="1" si="23"/>
        <v>0.60997735583283019</v>
      </c>
      <c r="R28" s="371">
        <f t="shared" ca="1" si="23"/>
        <v>0.42316946119117654</v>
      </c>
      <c r="S28" s="371">
        <f t="shared" ca="1" si="23"/>
        <v>0.33715135935880142</v>
      </c>
      <c r="T28" s="371">
        <f t="shared" ca="1" si="23"/>
        <v>0.27706490699242159</v>
      </c>
      <c r="U28" s="373">
        <f t="shared" ca="1" si="23"/>
        <v>0.23517893244379295</v>
      </c>
      <c r="V28" s="371">
        <f t="shared" ca="1" si="23"/>
        <v>0.20678127158684656</v>
      </c>
      <c r="W28" s="371">
        <f t="shared" ca="1" si="23"/>
        <v>0.18316038732492218</v>
      </c>
      <c r="X28" s="371">
        <f t="shared" ca="1" si="23"/>
        <v>0.16491514952415551</v>
      </c>
      <c r="Y28" s="371">
        <f t="shared" ca="1" si="23"/>
        <v>0.1504828039010935</v>
      </c>
      <c r="Z28" s="373">
        <f t="shared" ca="1" si="23"/>
        <v>0.13827603476117845</v>
      </c>
    </row>
    <row r="29" spans="5:26" x14ac:dyDescent="0.25">
      <c r="E29" s="76" t="s">
        <v>140</v>
      </c>
      <c r="K29" s="372">
        <f>+WACC!$C$22</f>
        <v>0.10334791657891719</v>
      </c>
      <c r="L29" s="371">
        <f>+WACC!$C$22</f>
        <v>0.10334791657891719</v>
      </c>
      <c r="M29" s="371">
        <f>+WACC!$C$22</f>
        <v>0.10334791657891719</v>
      </c>
      <c r="N29" s="371">
        <f>+WACC!$C$22</f>
        <v>0.10334791657891719</v>
      </c>
      <c r="O29" s="371">
        <f>+WACC!$C$22</f>
        <v>0.10334791657891719</v>
      </c>
      <c r="P29" s="371">
        <f>+WACC!$C$22</f>
        <v>0.10334791657891719</v>
      </c>
      <c r="Q29" s="371">
        <f>+WACC!$C$22</f>
        <v>0.10334791657891719</v>
      </c>
      <c r="R29" s="371">
        <f>+WACC!$C$22</f>
        <v>0.10334791657891719</v>
      </c>
      <c r="S29" s="371">
        <f>+WACC!$C$22</f>
        <v>0.10334791657891719</v>
      </c>
      <c r="T29" s="371">
        <f>+WACC!$C$22</f>
        <v>0.10334791657891719</v>
      </c>
      <c r="U29" s="373">
        <f>+WACC!$C$22</f>
        <v>0.10334791657891719</v>
      </c>
      <c r="V29" s="371">
        <f>+WACC!$C$22</f>
        <v>0.10334791657891719</v>
      </c>
      <c r="W29" s="371">
        <f>+WACC!$C$22</f>
        <v>0.10334791657891719</v>
      </c>
      <c r="X29" s="371">
        <f>+WACC!$C$22</f>
        <v>0.10334791657891719</v>
      </c>
      <c r="Y29" s="371">
        <f>+WACC!$C$22</f>
        <v>0.10334791657891719</v>
      </c>
      <c r="Z29" s="373">
        <f>+WACC!$C$22</f>
        <v>0.10334791657891719</v>
      </c>
    </row>
    <row r="30" spans="5:26" x14ac:dyDescent="0.25">
      <c r="E30" s="307" t="s">
        <v>352</v>
      </c>
      <c r="F30" s="21"/>
      <c r="G30" s="21"/>
      <c r="H30" s="21"/>
      <c r="I30" s="21"/>
      <c r="J30" s="21"/>
      <c r="K30" s="334">
        <f>+K26-(WACC!$C$22*K27)</f>
        <v>29573896.958775859</v>
      </c>
      <c r="L30" s="334">
        <f>+L27*(L28-L29)</f>
        <v>33905974.330613486</v>
      </c>
      <c r="M30" s="334">
        <f t="shared" ref="M30:Z30" si="24">+M27*(M28-M29)</f>
        <v>36042276.546394378</v>
      </c>
      <c r="N30" s="334">
        <f t="shared" si="24"/>
        <v>54082290.810565099</v>
      </c>
      <c r="O30" s="334">
        <f t="shared" si="24"/>
        <v>41855083.417722009</v>
      </c>
      <c r="P30" s="334">
        <f t="shared" si="24"/>
        <v>46577869.218891956</v>
      </c>
      <c r="Q30" s="334">
        <f t="shared" ca="1" si="24"/>
        <v>45258841.336810715</v>
      </c>
      <c r="R30" s="334">
        <f t="shared" ca="1" si="24"/>
        <v>40335244.580658816</v>
      </c>
      <c r="S30" s="334">
        <f t="shared" ca="1" si="24"/>
        <v>38632641.612948895</v>
      </c>
      <c r="T30" s="334">
        <f t="shared" ca="1" si="24"/>
        <v>35716495.822189823</v>
      </c>
      <c r="U30" s="335">
        <f t="shared" ca="1" si="24"/>
        <v>32576850.880730551</v>
      </c>
      <c r="V30" s="334">
        <f t="shared" ca="1" si="24"/>
        <v>30056139.016869135</v>
      </c>
      <c r="W30" s="334">
        <f t="shared" ca="1" si="24"/>
        <v>26768710.884215236</v>
      </c>
      <c r="X30" s="334">
        <f t="shared" ca="1" si="24"/>
        <v>23501390.932149306</v>
      </c>
      <c r="Y30" s="334">
        <f t="shared" ca="1" si="24"/>
        <v>20256498.986493953</v>
      </c>
      <c r="Z30" s="335">
        <f t="shared" ca="1" si="24"/>
        <v>16744718.560373671</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E5F2B-CCE0-4B28-A8AA-92FACAB05A51}">
  <sheetPr>
    <pageSetUpPr fitToPage="1"/>
  </sheetPr>
  <dimension ref="B1:N15"/>
  <sheetViews>
    <sheetView topLeftCell="A6" zoomScaleNormal="100" workbookViewId="0">
      <selection activeCell="F12" sqref="F12:H15"/>
    </sheetView>
  </sheetViews>
  <sheetFormatPr baseColWidth="10" defaultColWidth="9.140625" defaultRowHeight="12" x14ac:dyDescent="0.2"/>
  <cols>
    <col min="1" max="1" width="1.140625" style="354" customWidth="1"/>
    <col min="2" max="2" width="40.7109375" style="354" customWidth="1"/>
    <col min="3" max="4" width="11" style="354" bestFit="1" customWidth="1"/>
    <col min="5" max="5" width="10.42578125" style="354" customWidth="1"/>
    <col min="6" max="7" width="9.42578125" style="354" bestFit="1" customWidth="1"/>
    <col min="8" max="8" width="10.42578125" style="354" customWidth="1"/>
    <col min="9" max="9" width="5.5703125" style="354" customWidth="1"/>
    <col min="10" max="13" width="9.140625" style="354"/>
    <col min="14" max="14" width="32.28515625" style="354" customWidth="1"/>
    <col min="15" max="256" width="9.140625" style="354"/>
    <col min="257" max="257" width="1.140625" style="354" customWidth="1"/>
    <col min="258" max="258" width="34.7109375" style="354" customWidth="1"/>
    <col min="259" max="261" width="10.42578125" style="354" customWidth="1"/>
    <col min="262" max="263" width="9.42578125" style="354" bestFit="1" customWidth="1"/>
    <col min="264" max="264" width="10.42578125" style="354" customWidth="1"/>
    <col min="265" max="265" width="5.5703125" style="354" customWidth="1"/>
    <col min="266" max="269" width="9.140625" style="354"/>
    <col min="270" max="270" width="32.28515625" style="354" customWidth="1"/>
    <col min="271" max="512" width="9.140625" style="354"/>
    <col min="513" max="513" width="1.140625" style="354" customWidth="1"/>
    <col min="514" max="514" width="34.7109375" style="354" customWidth="1"/>
    <col min="515" max="517" width="10.42578125" style="354" customWidth="1"/>
    <col min="518" max="519" width="9.42578125" style="354" bestFit="1" customWidth="1"/>
    <col min="520" max="520" width="10.42578125" style="354" customWidth="1"/>
    <col min="521" max="521" width="5.5703125" style="354" customWidth="1"/>
    <col min="522" max="525" width="9.140625" style="354"/>
    <col min="526" max="526" width="32.28515625" style="354" customWidth="1"/>
    <col min="527" max="768" width="9.140625" style="354"/>
    <col min="769" max="769" width="1.140625" style="354" customWidth="1"/>
    <col min="770" max="770" width="34.7109375" style="354" customWidth="1"/>
    <col min="771" max="773" width="10.42578125" style="354" customWidth="1"/>
    <col min="774" max="775" width="9.42578125" style="354" bestFit="1" customWidth="1"/>
    <col min="776" max="776" width="10.42578125" style="354" customWidth="1"/>
    <col min="777" max="777" width="5.5703125" style="354" customWidth="1"/>
    <col min="778" max="781" width="9.140625" style="354"/>
    <col min="782" max="782" width="32.28515625" style="354" customWidth="1"/>
    <col min="783" max="1024" width="9.140625" style="354"/>
    <col min="1025" max="1025" width="1.140625" style="354" customWidth="1"/>
    <col min="1026" max="1026" width="34.7109375" style="354" customWidth="1"/>
    <col min="1027" max="1029" width="10.42578125" style="354" customWidth="1"/>
    <col min="1030" max="1031" width="9.42578125" style="354" bestFit="1" customWidth="1"/>
    <col min="1032" max="1032" width="10.42578125" style="354" customWidth="1"/>
    <col min="1033" max="1033" width="5.5703125" style="354" customWidth="1"/>
    <col min="1034" max="1037" width="9.140625" style="354"/>
    <col min="1038" max="1038" width="32.28515625" style="354" customWidth="1"/>
    <col min="1039" max="1280" width="9.140625" style="354"/>
    <col min="1281" max="1281" width="1.140625" style="354" customWidth="1"/>
    <col min="1282" max="1282" width="34.7109375" style="354" customWidth="1"/>
    <col min="1283" max="1285" width="10.42578125" style="354" customWidth="1"/>
    <col min="1286" max="1287" width="9.42578125" style="354" bestFit="1" customWidth="1"/>
    <col min="1288" max="1288" width="10.42578125" style="354" customWidth="1"/>
    <col min="1289" max="1289" width="5.5703125" style="354" customWidth="1"/>
    <col min="1290" max="1293" width="9.140625" style="354"/>
    <col min="1294" max="1294" width="32.28515625" style="354" customWidth="1"/>
    <col min="1295" max="1536" width="9.140625" style="354"/>
    <col min="1537" max="1537" width="1.140625" style="354" customWidth="1"/>
    <col min="1538" max="1538" width="34.7109375" style="354" customWidth="1"/>
    <col min="1539" max="1541" width="10.42578125" style="354" customWidth="1"/>
    <col min="1542" max="1543" width="9.42578125" style="354" bestFit="1" customWidth="1"/>
    <col min="1544" max="1544" width="10.42578125" style="354" customWidth="1"/>
    <col min="1545" max="1545" width="5.5703125" style="354" customWidth="1"/>
    <col min="1546" max="1549" width="9.140625" style="354"/>
    <col min="1550" max="1550" width="32.28515625" style="354" customWidth="1"/>
    <col min="1551" max="1792" width="9.140625" style="354"/>
    <col min="1793" max="1793" width="1.140625" style="354" customWidth="1"/>
    <col min="1794" max="1794" width="34.7109375" style="354" customWidth="1"/>
    <col min="1795" max="1797" width="10.42578125" style="354" customWidth="1"/>
    <col min="1798" max="1799" width="9.42578125" style="354" bestFit="1" customWidth="1"/>
    <col min="1800" max="1800" width="10.42578125" style="354" customWidth="1"/>
    <col min="1801" max="1801" width="5.5703125" style="354" customWidth="1"/>
    <col min="1802" max="1805" width="9.140625" style="354"/>
    <col min="1806" max="1806" width="32.28515625" style="354" customWidth="1"/>
    <col min="1807" max="2048" width="9.140625" style="354"/>
    <col min="2049" max="2049" width="1.140625" style="354" customWidth="1"/>
    <col min="2050" max="2050" width="34.7109375" style="354" customWidth="1"/>
    <col min="2051" max="2053" width="10.42578125" style="354" customWidth="1"/>
    <col min="2054" max="2055" width="9.42578125" style="354" bestFit="1" customWidth="1"/>
    <col min="2056" max="2056" width="10.42578125" style="354" customWidth="1"/>
    <col min="2057" max="2057" width="5.5703125" style="354" customWidth="1"/>
    <col min="2058" max="2061" width="9.140625" style="354"/>
    <col min="2062" max="2062" width="32.28515625" style="354" customWidth="1"/>
    <col min="2063" max="2304" width="9.140625" style="354"/>
    <col min="2305" max="2305" width="1.140625" style="354" customWidth="1"/>
    <col min="2306" max="2306" width="34.7109375" style="354" customWidth="1"/>
    <col min="2307" max="2309" width="10.42578125" style="354" customWidth="1"/>
    <col min="2310" max="2311" width="9.42578125" style="354" bestFit="1" customWidth="1"/>
    <col min="2312" max="2312" width="10.42578125" style="354" customWidth="1"/>
    <col min="2313" max="2313" width="5.5703125" style="354" customWidth="1"/>
    <col min="2314" max="2317" width="9.140625" style="354"/>
    <col min="2318" max="2318" width="32.28515625" style="354" customWidth="1"/>
    <col min="2319" max="2560" width="9.140625" style="354"/>
    <col min="2561" max="2561" width="1.140625" style="354" customWidth="1"/>
    <col min="2562" max="2562" width="34.7109375" style="354" customWidth="1"/>
    <col min="2563" max="2565" width="10.42578125" style="354" customWidth="1"/>
    <col min="2566" max="2567" width="9.42578125" style="354" bestFit="1" customWidth="1"/>
    <col min="2568" max="2568" width="10.42578125" style="354" customWidth="1"/>
    <col min="2569" max="2569" width="5.5703125" style="354" customWidth="1"/>
    <col min="2570" max="2573" width="9.140625" style="354"/>
    <col min="2574" max="2574" width="32.28515625" style="354" customWidth="1"/>
    <col min="2575" max="2816" width="9.140625" style="354"/>
    <col min="2817" max="2817" width="1.140625" style="354" customWidth="1"/>
    <col min="2818" max="2818" width="34.7109375" style="354" customWidth="1"/>
    <col min="2819" max="2821" width="10.42578125" style="354" customWidth="1"/>
    <col min="2822" max="2823" width="9.42578125" style="354" bestFit="1" customWidth="1"/>
    <col min="2824" max="2824" width="10.42578125" style="354" customWidth="1"/>
    <col min="2825" max="2825" width="5.5703125" style="354" customWidth="1"/>
    <col min="2826" max="2829" width="9.140625" style="354"/>
    <col min="2830" max="2830" width="32.28515625" style="354" customWidth="1"/>
    <col min="2831" max="3072" width="9.140625" style="354"/>
    <col min="3073" max="3073" width="1.140625" style="354" customWidth="1"/>
    <col min="3074" max="3074" width="34.7109375" style="354" customWidth="1"/>
    <col min="3075" max="3077" width="10.42578125" style="354" customWidth="1"/>
    <col min="3078" max="3079" width="9.42578125" style="354" bestFit="1" customWidth="1"/>
    <col min="3080" max="3080" width="10.42578125" style="354" customWidth="1"/>
    <col min="3081" max="3081" width="5.5703125" style="354" customWidth="1"/>
    <col min="3082" max="3085" width="9.140625" style="354"/>
    <col min="3086" max="3086" width="32.28515625" style="354" customWidth="1"/>
    <col min="3087" max="3328" width="9.140625" style="354"/>
    <col min="3329" max="3329" width="1.140625" style="354" customWidth="1"/>
    <col min="3330" max="3330" width="34.7109375" style="354" customWidth="1"/>
    <col min="3331" max="3333" width="10.42578125" style="354" customWidth="1"/>
    <col min="3334" max="3335" width="9.42578125" style="354" bestFit="1" customWidth="1"/>
    <col min="3336" max="3336" width="10.42578125" style="354" customWidth="1"/>
    <col min="3337" max="3337" width="5.5703125" style="354" customWidth="1"/>
    <col min="3338" max="3341" width="9.140625" style="354"/>
    <col min="3342" max="3342" width="32.28515625" style="354" customWidth="1"/>
    <col min="3343" max="3584" width="9.140625" style="354"/>
    <col min="3585" max="3585" width="1.140625" style="354" customWidth="1"/>
    <col min="3586" max="3586" width="34.7109375" style="354" customWidth="1"/>
    <col min="3587" max="3589" width="10.42578125" style="354" customWidth="1"/>
    <col min="3590" max="3591" width="9.42578125" style="354" bestFit="1" customWidth="1"/>
    <col min="3592" max="3592" width="10.42578125" style="354" customWidth="1"/>
    <col min="3593" max="3593" width="5.5703125" style="354" customWidth="1"/>
    <col min="3594" max="3597" width="9.140625" style="354"/>
    <col min="3598" max="3598" width="32.28515625" style="354" customWidth="1"/>
    <col min="3599" max="3840" width="9.140625" style="354"/>
    <col min="3841" max="3841" width="1.140625" style="354" customWidth="1"/>
    <col min="3842" max="3842" width="34.7109375" style="354" customWidth="1"/>
    <col min="3843" max="3845" width="10.42578125" style="354" customWidth="1"/>
    <col min="3846" max="3847" width="9.42578125" style="354" bestFit="1" customWidth="1"/>
    <col min="3848" max="3848" width="10.42578125" style="354" customWidth="1"/>
    <col min="3849" max="3849" width="5.5703125" style="354" customWidth="1"/>
    <col min="3850" max="3853" width="9.140625" style="354"/>
    <col min="3854" max="3854" width="32.28515625" style="354" customWidth="1"/>
    <col min="3855" max="4096" width="9.140625" style="354"/>
    <col min="4097" max="4097" width="1.140625" style="354" customWidth="1"/>
    <col min="4098" max="4098" width="34.7109375" style="354" customWidth="1"/>
    <col min="4099" max="4101" width="10.42578125" style="354" customWidth="1"/>
    <col min="4102" max="4103" width="9.42578125" style="354" bestFit="1" customWidth="1"/>
    <col min="4104" max="4104" width="10.42578125" style="354" customWidth="1"/>
    <col min="4105" max="4105" width="5.5703125" style="354" customWidth="1"/>
    <col min="4106" max="4109" width="9.140625" style="354"/>
    <col min="4110" max="4110" width="32.28515625" style="354" customWidth="1"/>
    <col min="4111" max="4352" width="9.140625" style="354"/>
    <col min="4353" max="4353" width="1.140625" style="354" customWidth="1"/>
    <col min="4354" max="4354" width="34.7109375" style="354" customWidth="1"/>
    <col min="4355" max="4357" width="10.42578125" style="354" customWidth="1"/>
    <col min="4358" max="4359" width="9.42578125" style="354" bestFit="1" customWidth="1"/>
    <col min="4360" max="4360" width="10.42578125" style="354" customWidth="1"/>
    <col min="4361" max="4361" width="5.5703125" style="354" customWidth="1"/>
    <col min="4362" max="4365" width="9.140625" style="354"/>
    <col min="4366" max="4366" width="32.28515625" style="354" customWidth="1"/>
    <col min="4367" max="4608" width="9.140625" style="354"/>
    <col min="4609" max="4609" width="1.140625" style="354" customWidth="1"/>
    <col min="4610" max="4610" width="34.7109375" style="354" customWidth="1"/>
    <col min="4611" max="4613" width="10.42578125" style="354" customWidth="1"/>
    <col min="4614" max="4615" width="9.42578125" style="354" bestFit="1" customWidth="1"/>
    <col min="4616" max="4616" width="10.42578125" style="354" customWidth="1"/>
    <col min="4617" max="4617" width="5.5703125" style="354" customWidth="1"/>
    <col min="4618" max="4621" width="9.140625" style="354"/>
    <col min="4622" max="4622" width="32.28515625" style="354" customWidth="1"/>
    <col min="4623" max="4864" width="9.140625" style="354"/>
    <col min="4865" max="4865" width="1.140625" style="354" customWidth="1"/>
    <col min="4866" max="4866" width="34.7109375" style="354" customWidth="1"/>
    <col min="4867" max="4869" width="10.42578125" style="354" customWidth="1"/>
    <col min="4870" max="4871" width="9.42578125" style="354" bestFit="1" customWidth="1"/>
    <col min="4872" max="4872" width="10.42578125" style="354" customWidth="1"/>
    <col min="4873" max="4873" width="5.5703125" style="354" customWidth="1"/>
    <col min="4874" max="4877" width="9.140625" style="354"/>
    <col min="4878" max="4878" width="32.28515625" style="354" customWidth="1"/>
    <col min="4879" max="5120" width="9.140625" style="354"/>
    <col min="5121" max="5121" width="1.140625" style="354" customWidth="1"/>
    <col min="5122" max="5122" width="34.7109375" style="354" customWidth="1"/>
    <col min="5123" max="5125" width="10.42578125" style="354" customWidth="1"/>
    <col min="5126" max="5127" width="9.42578125" style="354" bestFit="1" customWidth="1"/>
    <col min="5128" max="5128" width="10.42578125" style="354" customWidth="1"/>
    <col min="5129" max="5129" width="5.5703125" style="354" customWidth="1"/>
    <col min="5130" max="5133" width="9.140625" style="354"/>
    <col min="5134" max="5134" width="32.28515625" style="354" customWidth="1"/>
    <col min="5135" max="5376" width="9.140625" style="354"/>
    <col min="5377" max="5377" width="1.140625" style="354" customWidth="1"/>
    <col min="5378" max="5378" width="34.7109375" style="354" customWidth="1"/>
    <col min="5379" max="5381" width="10.42578125" style="354" customWidth="1"/>
    <col min="5382" max="5383" width="9.42578125" style="354" bestFit="1" customWidth="1"/>
    <col min="5384" max="5384" width="10.42578125" style="354" customWidth="1"/>
    <col min="5385" max="5385" width="5.5703125" style="354" customWidth="1"/>
    <col min="5386" max="5389" width="9.140625" style="354"/>
    <col min="5390" max="5390" width="32.28515625" style="354" customWidth="1"/>
    <col min="5391" max="5632" width="9.140625" style="354"/>
    <col min="5633" max="5633" width="1.140625" style="354" customWidth="1"/>
    <col min="5634" max="5634" width="34.7109375" style="354" customWidth="1"/>
    <col min="5635" max="5637" width="10.42578125" style="354" customWidth="1"/>
    <col min="5638" max="5639" width="9.42578125" style="354" bestFit="1" customWidth="1"/>
    <col min="5640" max="5640" width="10.42578125" style="354" customWidth="1"/>
    <col min="5641" max="5641" width="5.5703125" style="354" customWidth="1"/>
    <col min="5642" max="5645" width="9.140625" style="354"/>
    <col min="5646" max="5646" width="32.28515625" style="354" customWidth="1"/>
    <col min="5647" max="5888" width="9.140625" style="354"/>
    <col min="5889" max="5889" width="1.140625" style="354" customWidth="1"/>
    <col min="5890" max="5890" width="34.7109375" style="354" customWidth="1"/>
    <col min="5891" max="5893" width="10.42578125" style="354" customWidth="1"/>
    <col min="5894" max="5895" width="9.42578125" style="354" bestFit="1" customWidth="1"/>
    <col min="5896" max="5896" width="10.42578125" style="354" customWidth="1"/>
    <col min="5897" max="5897" width="5.5703125" style="354" customWidth="1"/>
    <col min="5898" max="5901" width="9.140625" style="354"/>
    <col min="5902" max="5902" width="32.28515625" style="354" customWidth="1"/>
    <col min="5903" max="6144" width="9.140625" style="354"/>
    <col min="6145" max="6145" width="1.140625" style="354" customWidth="1"/>
    <col min="6146" max="6146" width="34.7109375" style="354" customWidth="1"/>
    <col min="6147" max="6149" width="10.42578125" style="354" customWidth="1"/>
    <col min="6150" max="6151" width="9.42578125" style="354" bestFit="1" customWidth="1"/>
    <col min="6152" max="6152" width="10.42578125" style="354" customWidth="1"/>
    <col min="6153" max="6153" width="5.5703125" style="354" customWidth="1"/>
    <col min="6154" max="6157" width="9.140625" style="354"/>
    <col min="6158" max="6158" width="32.28515625" style="354" customWidth="1"/>
    <col min="6159" max="6400" width="9.140625" style="354"/>
    <col min="6401" max="6401" width="1.140625" style="354" customWidth="1"/>
    <col min="6402" max="6402" width="34.7109375" style="354" customWidth="1"/>
    <col min="6403" max="6405" width="10.42578125" style="354" customWidth="1"/>
    <col min="6406" max="6407" width="9.42578125" style="354" bestFit="1" customWidth="1"/>
    <col min="6408" max="6408" width="10.42578125" style="354" customWidth="1"/>
    <col min="6409" max="6409" width="5.5703125" style="354" customWidth="1"/>
    <col min="6410" max="6413" width="9.140625" style="354"/>
    <col min="6414" max="6414" width="32.28515625" style="354" customWidth="1"/>
    <col min="6415" max="6656" width="9.140625" style="354"/>
    <col min="6657" max="6657" width="1.140625" style="354" customWidth="1"/>
    <col min="6658" max="6658" width="34.7109375" style="354" customWidth="1"/>
    <col min="6659" max="6661" width="10.42578125" style="354" customWidth="1"/>
    <col min="6662" max="6663" width="9.42578125" style="354" bestFit="1" customWidth="1"/>
    <col min="6664" max="6664" width="10.42578125" style="354" customWidth="1"/>
    <col min="6665" max="6665" width="5.5703125" style="354" customWidth="1"/>
    <col min="6666" max="6669" width="9.140625" style="354"/>
    <col min="6670" max="6670" width="32.28515625" style="354" customWidth="1"/>
    <col min="6671" max="6912" width="9.140625" style="354"/>
    <col min="6913" max="6913" width="1.140625" style="354" customWidth="1"/>
    <col min="6914" max="6914" width="34.7109375" style="354" customWidth="1"/>
    <col min="6915" max="6917" width="10.42578125" style="354" customWidth="1"/>
    <col min="6918" max="6919" width="9.42578125" style="354" bestFit="1" customWidth="1"/>
    <col min="6920" max="6920" width="10.42578125" style="354" customWidth="1"/>
    <col min="6921" max="6921" width="5.5703125" style="354" customWidth="1"/>
    <col min="6922" max="6925" width="9.140625" style="354"/>
    <col min="6926" max="6926" width="32.28515625" style="354" customWidth="1"/>
    <col min="6927" max="7168" width="9.140625" style="354"/>
    <col min="7169" max="7169" width="1.140625" style="354" customWidth="1"/>
    <col min="7170" max="7170" width="34.7109375" style="354" customWidth="1"/>
    <col min="7171" max="7173" width="10.42578125" style="354" customWidth="1"/>
    <col min="7174" max="7175" width="9.42578125" style="354" bestFit="1" customWidth="1"/>
    <col min="7176" max="7176" width="10.42578125" style="354" customWidth="1"/>
    <col min="7177" max="7177" width="5.5703125" style="354" customWidth="1"/>
    <col min="7178" max="7181" width="9.140625" style="354"/>
    <col min="7182" max="7182" width="32.28515625" style="354" customWidth="1"/>
    <col min="7183" max="7424" width="9.140625" style="354"/>
    <col min="7425" max="7425" width="1.140625" style="354" customWidth="1"/>
    <col min="7426" max="7426" width="34.7109375" style="354" customWidth="1"/>
    <col min="7427" max="7429" width="10.42578125" style="354" customWidth="1"/>
    <col min="7430" max="7431" width="9.42578125" style="354" bestFit="1" customWidth="1"/>
    <col min="7432" max="7432" width="10.42578125" style="354" customWidth="1"/>
    <col min="7433" max="7433" width="5.5703125" style="354" customWidth="1"/>
    <col min="7434" max="7437" width="9.140625" style="354"/>
    <col min="7438" max="7438" width="32.28515625" style="354" customWidth="1"/>
    <col min="7439" max="7680" width="9.140625" style="354"/>
    <col min="7681" max="7681" width="1.140625" style="354" customWidth="1"/>
    <col min="7682" max="7682" width="34.7109375" style="354" customWidth="1"/>
    <col min="7683" max="7685" width="10.42578125" style="354" customWidth="1"/>
    <col min="7686" max="7687" width="9.42578125" style="354" bestFit="1" customWidth="1"/>
    <col min="7688" max="7688" width="10.42578125" style="354" customWidth="1"/>
    <col min="7689" max="7689" width="5.5703125" style="354" customWidth="1"/>
    <col min="7690" max="7693" width="9.140625" style="354"/>
    <col min="7694" max="7694" width="32.28515625" style="354" customWidth="1"/>
    <col min="7695" max="7936" width="9.140625" style="354"/>
    <col min="7937" max="7937" width="1.140625" style="354" customWidth="1"/>
    <col min="7938" max="7938" width="34.7109375" style="354" customWidth="1"/>
    <col min="7939" max="7941" width="10.42578125" style="354" customWidth="1"/>
    <col min="7942" max="7943" width="9.42578125" style="354" bestFit="1" customWidth="1"/>
    <col min="7944" max="7944" width="10.42578125" style="354" customWidth="1"/>
    <col min="7945" max="7945" width="5.5703125" style="354" customWidth="1"/>
    <col min="7946" max="7949" width="9.140625" style="354"/>
    <col min="7950" max="7950" width="32.28515625" style="354" customWidth="1"/>
    <col min="7951" max="8192" width="9.140625" style="354"/>
    <col min="8193" max="8193" width="1.140625" style="354" customWidth="1"/>
    <col min="8194" max="8194" width="34.7109375" style="354" customWidth="1"/>
    <col min="8195" max="8197" width="10.42578125" style="354" customWidth="1"/>
    <col min="8198" max="8199" width="9.42578125" style="354" bestFit="1" customWidth="1"/>
    <col min="8200" max="8200" width="10.42578125" style="354" customWidth="1"/>
    <col min="8201" max="8201" width="5.5703125" style="354" customWidth="1"/>
    <col min="8202" max="8205" width="9.140625" style="354"/>
    <col min="8206" max="8206" width="32.28515625" style="354" customWidth="1"/>
    <col min="8207" max="8448" width="9.140625" style="354"/>
    <col min="8449" max="8449" width="1.140625" style="354" customWidth="1"/>
    <col min="8450" max="8450" width="34.7109375" style="354" customWidth="1"/>
    <col min="8451" max="8453" width="10.42578125" style="354" customWidth="1"/>
    <col min="8454" max="8455" width="9.42578125" style="354" bestFit="1" customWidth="1"/>
    <col min="8456" max="8456" width="10.42578125" style="354" customWidth="1"/>
    <col min="8457" max="8457" width="5.5703125" style="354" customWidth="1"/>
    <col min="8458" max="8461" width="9.140625" style="354"/>
    <col min="8462" max="8462" width="32.28515625" style="354" customWidth="1"/>
    <col min="8463" max="8704" width="9.140625" style="354"/>
    <col min="8705" max="8705" width="1.140625" style="354" customWidth="1"/>
    <col min="8706" max="8706" width="34.7109375" style="354" customWidth="1"/>
    <col min="8707" max="8709" width="10.42578125" style="354" customWidth="1"/>
    <col min="8710" max="8711" width="9.42578125" style="354" bestFit="1" customWidth="1"/>
    <col min="8712" max="8712" width="10.42578125" style="354" customWidth="1"/>
    <col min="8713" max="8713" width="5.5703125" style="354" customWidth="1"/>
    <col min="8714" max="8717" width="9.140625" style="354"/>
    <col min="8718" max="8718" width="32.28515625" style="354" customWidth="1"/>
    <col min="8719" max="8960" width="9.140625" style="354"/>
    <col min="8961" max="8961" width="1.140625" style="354" customWidth="1"/>
    <col min="8962" max="8962" width="34.7109375" style="354" customWidth="1"/>
    <col min="8963" max="8965" width="10.42578125" style="354" customWidth="1"/>
    <col min="8966" max="8967" width="9.42578125" style="354" bestFit="1" customWidth="1"/>
    <col min="8968" max="8968" width="10.42578125" style="354" customWidth="1"/>
    <col min="8969" max="8969" width="5.5703125" style="354" customWidth="1"/>
    <col min="8970" max="8973" width="9.140625" style="354"/>
    <col min="8974" max="8974" width="32.28515625" style="354" customWidth="1"/>
    <col min="8975" max="9216" width="9.140625" style="354"/>
    <col min="9217" max="9217" width="1.140625" style="354" customWidth="1"/>
    <col min="9218" max="9218" width="34.7109375" style="354" customWidth="1"/>
    <col min="9219" max="9221" width="10.42578125" style="354" customWidth="1"/>
    <col min="9222" max="9223" width="9.42578125" style="354" bestFit="1" customWidth="1"/>
    <col min="9224" max="9224" width="10.42578125" style="354" customWidth="1"/>
    <col min="9225" max="9225" width="5.5703125" style="354" customWidth="1"/>
    <col min="9226" max="9229" width="9.140625" style="354"/>
    <col min="9230" max="9230" width="32.28515625" style="354" customWidth="1"/>
    <col min="9231" max="9472" width="9.140625" style="354"/>
    <col min="9473" max="9473" width="1.140625" style="354" customWidth="1"/>
    <col min="9474" max="9474" width="34.7109375" style="354" customWidth="1"/>
    <col min="9475" max="9477" width="10.42578125" style="354" customWidth="1"/>
    <col min="9478" max="9479" width="9.42578125" style="354" bestFit="1" customWidth="1"/>
    <col min="9480" max="9480" width="10.42578125" style="354" customWidth="1"/>
    <col min="9481" max="9481" width="5.5703125" style="354" customWidth="1"/>
    <col min="9482" max="9485" width="9.140625" style="354"/>
    <col min="9486" max="9486" width="32.28515625" style="354" customWidth="1"/>
    <col min="9487" max="9728" width="9.140625" style="354"/>
    <col min="9729" max="9729" width="1.140625" style="354" customWidth="1"/>
    <col min="9730" max="9730" width="34.7109375" style="354" customWidth="1"/>
    <col min="9731" max="9733" width="10.42578125" style="354" customWidth="1"/>
    <col min="9734" max="9735" width="9.42578125" style="354" bestFit="1" customWidth="1"/>
    <col min="9736" max="9736" width="10.42578125" style="354" customWidth="1"/>
    <col min="9737" max="9737" width="5.5703125" style="354" customWidth="1"/>
    <col min="9738" max="9741" width="9.140625" style="354"/>
    <col min="9742" max="9742" width="32.28515625" style="354" customWidth="1"/>
    <col min="9743" max="9984" width="9.140625" style="354"/>
    <col min="9985" max="9985" width="1.140625" style="354" customWidth="1"/>
    <col min="9986" max="9986" width="34.7109375" style="354" customWidth="1"/>
    <col min="9987" max="9989" width="10.42578125" style="354" customWidth="1"/>
    <col min="9990" max="9991" width="9.42578125" style="354" bestFit="1" customWidth="1"/>
    <col min="9992" max="9992" width="10.42578125" style="354" customWidth="1"/>
    <col min="9993" max="9993" width="5.5703125" style="354" customWidth="1"/>
    <col min="9994" max="9997" width="9.140625" style="354"/>
    <col min="9998" max="9998" width="32.28515625" style="354" customWidth="1"/>
    <col min="9999" max="10240" width="9.140625" style="354"/>
    <col min="10241" max="10241" width="1.140625" style="354" customWidth="1"/>
    <col min="10242" max="10242" width="34.7109375" style="354" customWidth="1"/>
    <col min="10243" max="10245" width="10.42578125" style="354" customWidth="1"/>
    <col min="10246" max="10247" width="9.42578125" style="354" bestFit="1" customWidth="1"/>
    <col min="10248" max="10248" width="10.42578125" style="354" customWidth="1"/>
    <col min="10249" max="10249" width="5.5703125" style="354" customWidth="1"/>
    <col min="10250" max="10253" width="9.140625" style="354"/>
    <col min="10254" max="10254" width="32.28515625" style="354" customWidth="1"/>
    <col min="10255" max="10496" width="9.140625" style="354"/>
    <col min="10497" max="10497" width="1.140625" style="354" customWidth="1"/>
    <col min="10498" max="10498" width="34.7109375" style="354" customWidth="1"/>
    <col min="10499" max="10501" width="10.42578125" style="354" customWidth="1"/>
    <col min="10502" max="10503" width="9.42578125" style="354" bestFit="1" customWidth="1"/>
    <col min="10504" max="10504" width="10.42578125" style="354" customWidth="1"/>
    <col min="10505" max="10505" width="5.5703125" style="354" customWidth="1"/>
    <col min="10506" max="10509" width="9.140625" style="354"/>
    <col min="10510" max="10510" width="32.28515625" style="354" customWidth="1"/>
    <col min="10511" max="10752" width="9.140625" style="354"/>
    <col min="10753" max="10753" width="1.140625" style="354" customWidth="1"/>
    <col min="10754" max="10754" width="34.7109375" style="354" customWidth="1"/>
    <col min="10755" max="10757" width="10.42578125" style="354" customWidth="1"/>
    <col min="10758" max="10759" width="9.42578125" style="354" bestFit="1" customWidth="1"/>
    <col min="10760" max="10760" width="10.42578125" style="354" customWidth="1"/>
    <col min="10761" max="10761" width="5.5703125" style="354" customWidth="1"/>
    <col min="10762" max="10765" width="9.140625" style="354"/>
    <col min="10766" max="10766" width="32.28515625" style="354" customWidth="1"/>
    <col min="10767" max="11008" width="9.140625" style="354"/>
    <col min="11009" max="11009" width="1.140625" style="354" customWidth="1"/>
    <col min="11010" max="11010" width="34.7109375" style="354" customWidth="1"/>
    <col min="11011" max="11013" width="10.42578125" style="354" customWidth="1"/>
    <col min="11014" max="11015" width="9.42578125" style="354" bestFit="1" customWidth="1"/>
    <col min="11016" max="11016" width="10.42578125" style="354" customWidth="1"/>
    <col min="11017" max="11017" width="5.5703125" style="354" customWidth="1"/>
    <col min="11018" max="11021" width="9.140625" style="354"/>
    <col min="11022" max="11022" width="32.28515625" style="354" customWidth="1"/>
    <col min="11023" max="11264" width="9.140625" style="354"/>
    <col min="11265" max="11265" width="1.140625" style="354" customWidth="1"/>
    <col min="11266" max="11266" width="34.7109375" style="354" customWidth="1"/>
    <col min="11267" max="11269" width="10.42578125" style="354" customWidth="1"/>
    <col min="11270" max="11271" width="9.42578125" style="354" bestFit="1" customWidth="1"/>
    <col min="11272" max="11272" width="10.42578125" style="354" customWidth="1"/>
    <col min="11273" max="11273" width="5.5703125" style="354" customWidth="1"/>
    <col min="11274" max="11277" width="9.140625" style="354"/>
    <col min="11278" max="11278" width="32.28515625" style="354" customWidth="1"/>
    <col min="11279" max="11520" width="9.140625" style="354"/>
    <col min="11521" max="11521" width="1.140625" style="354" customWidth="1"/>
    <col min="11522" max="11522" width="34.7109375" style="354" customWidth="1"/>
    <col min="11523" max="11525" width="10.42578125" style="354" customWidth="1"/>
    <col min="11526" max="11527" width="9.42578125" style="354" bestFit="1" customWidth="1"/>
    <col min="11528" max="11528" width="10.42578125" style="354" customWidth="1"/>
    <col min="11529" max="11529" width="5.5703125" style="354" customWidth="1"/>
    <col min="11530" max="11533" width="9.140625" style="354"/>
    <col min="11534" max="11534" width="32.28515625" style="354" customWidth="1"/>
    <col min="11535" max="11776" width="9.140625" style="354"/>
    <col min="11777" max="11777" width="1.140625" style="354" customWidth="1"/>
    <col min="11778" max="11778" width="34.7109375" style="354" customWidth="1"/>
    <col min="11779" max="11781" width="10.42578125" style="354" customWidth="1"/>
    <col min="11782" max="11783" width="9.42578125" style="354" bestFit="1" customWidth="1"/>
    <col min="11784" max="11784" width="10.42578125" style="354" customWidth="1"/>
    <col min="11785" max="11785" width="5.5703125" style="354" customWidth="1"/>
    <col min="11786" max="11789" width="9.140625" style="354"/>
    <col min="11790" max="11790" width="32.28515625" style="354" customWidth="1"/>
    <col min="11791" max="12032" width="9.140625" style="354"/>
    <col min="12033" max="12033" width="1.140625" style="354" customWidth="1"/>
    <col min="12034" max="12034" width="34.7109375" style="354" customWidth="1"/>
    <col min="12035" max="12037" width="10.42578125" style="354" customWidth="1"/>
    <col min="12038" max="12039" width="9.42578125" style="354" bestFit="1" customWidth="1"/>
    <col min="12040" max="12040" width="10.42578125" style="354" customWidth="1"/>
    <col min="12041" max="12041" width="5.5703125" style="354" customWidth="1"/>
    <col min="12042" max="12045" width="9.140625" style="354"/>
    <col min="12046" max="12046" width="32.28515625" style="354" customWidth="1"/>
    <col min="12047" max="12288" width="9.140625" style="354"/>
    <col min="12289" max="12289" width="1.140625" style="354" customWidth="1"/>
    <col min="12290" max="12290" width="34.7109375" style="354" customWidth="1"/>
    <col min="12291" max="12293" width="10.42578125" style="354" customWidth="1"/>
    <col min="12294" max="12295" width="9.42578125" style="354" bestFit="1" customWidth="1"/>
    <col min="12296" max="12296" width="10.42578125" style="354" customWidth="1"/>
    <col min="12297" max="12297" width="5.5703125" style="354" customWidth="1"/>
    <col min="12298" max="12301" width="9.140625" style="354"/>
    <col min="12302" max="12302" width="32.28515625" style="354" customWidth="1"/>
    <col min="12303" max="12544" width="9.140625" style="354"/>
    <col min="12545" max="12545" width="1.140625" style="354" customWidth="1"/>
    <col min="12546" max="12546" width="34.7109375" style="354" customWidth="1"/>
    <col min="12547" max="12549" width="10.42578125" style="354" customWidth="1"/>
    <col min="12550" max="12551" width="9.42578125" style="354" bestFit="1" customWidth="1"/>
    <col min="12552" max="12552" width="10.42578125" style="354" customWidth="1"/>
    <col min="12553" max="12553" width="5.5703125" style="354" customWidth="1"/>
    <col min="12554" max="12557" width="9.140625" style="354"/>
    <col min="12558" max="12558" width="32.28515625" style="354" customWidth="1"/>
    <col min="12559" max="12800" width="9.140625" style="354"/>
    <col min="12801" max="12801" width="1.140625" style="354" customWidth="1"/>
    <col min="12802" max="12802" width="34.7109375" style="354" customWidth="1"/>
    <col min="12803" max="12805" width="10.42578125" style="354" customWidth="1"/>
    <col min="12806" max="12807" width="9.42578125" style="354" bestFit="1" customWidth="1"/>
    <col min="12808" max="12808" width="10.42578125" style="354" customWidth="1"/>
    <col min="12809" max="12809" width="5.5703125" style="354" customWidth="1"/>
    <col min="12810" max="12813" width="9.140625" style="354"/>
    <col min="12814" max="12814" width="32.28515625" style="354" customWidth="1"/>
    <col min="12815" max="13056" width="9.140625" style="354"/>
    <col min="13057" max="13057" width="1.140625" style="354" customWidth="1"/>
    <col min="13058" max="13058" width="34.7109375" style="354" customWidth="1"/>
    <col min="13059" max="13061" width="10.42578125" style="354" customWidth="1"/>
    <col min="13062" max="13063" width="9.42578125" style="354" bestFit="1" customWidth="1"/>
    <col min="13064" max="13064" width="10.42578125" style="354" customWidth="1"/>
    <col min="13065" max="13065" width="5.5703125" style="354" customWidth="1"/>
    <col min="13066" max="13069" width="9.140625" style="354"/>
    <col min="13070" max="13070" width="32.28515625" style="354" customWidth="1"/>
    <col min="13071" max="13312" width="9.140625" style="354"/>
    <col min="13313" max="13313" width="1.140625" style="354" customWidth="1"/>
    <col min="13314" max="13314" width="34.7109375" style="354" customWidth="1"/>
    <col min="13315" max="13317" width="10.42578125" style="354" customWidth="1"/>
    <col min="13318" max="13319" width="9.42578125" style="354" bestFit="1" customWidth="1"/>
    <col min="13320" max="13320" width="10.42578125" style="354" customWidth="1"/>
    <col min="13321" max="13321" width="5.5703125" style="354" customWidth="1"/>
    <col min="13322" max="13325" width="9.140625" style="354"/>
    <col min="13326" max="13326" width="32.28515625" style="354" customWidth="1"/>
    <col min="13327" max="13568" width="9.140625" style="354"/>
    <col min="13569" max="13569" width="1.140625" style="354" customWidth="1"/>
    <col min="13570" max="13570" width="34.7109375" style="354" customWidth="1"/>
    <col min="13571" max="13573" width="10.42578125" style="354" customWidth="1"/>
    <col min="13574" max="13575" width="9.42578125" style="354" bestFit="1" customWidth="1"/>
    <col min="13576" max="13576" width="10.42578125" style="354" customWidth="1"/>
    <col min="13577" max="13577" width="5.5703125" style="354" customWidth="1"/>
    <col min="13578" max="13581" width="9.140625" style="354"/>
    <col min="13582" max="13582" width="32.28515625" style="354" customWidth="1"/>
    <col min="13583" max="13824" width="9.140625" style="354"/>
    <col min="13825" max="13825" width="1.140625" style="354" customWidth="1"/>
    <col min="13826" max="13826" width="34.7109375" style="354" customWidth="1"/>
    <col min="13827" max="13829" width="10.42578125" style="354" customWidth="1"/>
    <col min="13830" max="13831" width="9.42578125" style="354" bestFit="1" customWidth="1"/>
    <col min="13832" max="13832" width="10.42578125" style="354" customWidth="1"/>
    <col min="13833" max="13833" width="5.5703125" style="354" customWidth="1"/>
    <col min="13834" max="13837" width="9.140625" style="354"/>
    <col min="13838" max="13838" width="32.28515625" style="354" customWidth="1"/>
    <col min="13839" max="14080" width="9.140625" style="354"/>
    <col min="14081" max="14081" width="1.140625" style="354" customWidth="1"/>
    <col min="14082" max="14082" width="34.7109375" style="354" customWidth="1"/>
    <col min="14083" max="14085" width="10.42578125" style="354" customWidth="1"/>
    <col min="14086" max="14087" width="9.42578125" style="354" bestFit="1" customWidth="1"/>
    <col min="14088" max="14088" width="10.42578125" style="354" customWidth="1"/>
    <col min="14089" max="14089" width="5.5703125" style="354" customWidth="1"/>
    <col min="14090" max="14093" width="9.140625" style="354"/>
    <col min="14094" max="14094" width="32.28515625" style="354" customWidth="1"/>
    <col min="14095" max="14336" width="9.140625" style="354"/>
    <col min="14337" max="14337" width="1.140625" style="354" customWidth="1"/>
    <col min="14338" max="14338" width="34.7109375" style="354" customWidth="1"/>
    <col min="14339" max="14341" width="10.42578125" style="354" customWidth="1"/>
    <col min="14342" max="14343" width="9.42578125" style="354" bestFit="1" customWidth="1"/>
    <col min="14344" max="14344" width="10.42578125" style="354" customWidth="1"/>
    <col min="14345" max="14345" width="5.5703125" style="354" customWidth="1"/>
    <col min="14346" max="14349" width="9.140625" style="354"/>
    <col min="14350" max="14350" width="32.28515625" style="354" customWidth="1"/>
    <col min="14351" max="14592" width="9.140625" style="354"/>
    <col min="14593" max="14593" width="1.140625" style="354" customWidth="1"/>
    <col min="14594" max="14594" width="34.7109375" style="354" customWidth="1"/>
    <col min="14595" max="14597" width="10.42578125" style="354" customWidth="1"/>
    <col min="14598" max="14599" width="9.42578125" style="354" bestFit="1" customWidth="1"/>
    <col min="14600" max="14600" width="10.42578125" style="354" customWidth="1"/>
    <col min="14601" max="14601" width="5.5703125" style="354" customWidth="1"/>
    <col min="14602" max="14605" width="9.140625" style="354"/>
    <col min="14606" max="14606" width="32.28515625" style="354" customWidth="1"/>
    <col min="14607" max="14848" width="9.140625" style="354"/>
    <col min="14849" max="14849" width="1.140625" style="354" customWidth="1"/>
    <col min="14850" max="14850" width="34.7109375" style="354" customWidth="1"/>
    <col min="14851" max="14853" width="10.42578125" style="354" customWidth="1"/>
    <col min="14854" max="14855" width="9.42578125" style="354" bestFit="1" customWidth="1"/>
    <col min="14856" max="14856" width="10.42578125" style="354" customWidth="1"/>
    <col min="14857" max="14857" width="5.5703125" style="354" customWidth="1"/>
    <col min="14858" max="14861" width="9.140625" style="354"/>
    <col min="14862" max="14862" width="32.28515625" style="354" customWidth="1"/>
    <col min="14863" max="15104" width="9.140625" style="354"/>
    <col min="15105" max="15105" width="1.140625" style="354" customWidth="1"/>
    <col min="15106" max="15106" width="34.7109375" style="354" customWidth="1"/>
    <col min="15107" max="15109" width="10.42578125" style="354" customWidth="1"/>
    <col min="15110" max="15111" width="9.42578125" style="354" bestFit="1" customWidth="1"/>
    <col min="15112" max="15112" width="10.42578125" style="354" customWidth="1"/>
    <col min="15113" max="15113" width="5.5703125" style="354" customWidth="1"/>
    <col min="15114" max="15117" width="9.140625" style="354"/>
    <col min="15118" max="15118" width="32.28515625" style="354" customWidth="1"/>
    <col min="15119" max="15360" width="9.140625" style="354"/>
    <col min="15361" max="15361" width="1.140625" style="354" customWidth="1"/>
    <col min="15362" max="15362" width="34.7109375" style="354" customWidth="1"/>
    <col min="15363" max="15365" width="10.42578125" style="354" customWidth="1"/>
    <col min="15366" max="15367" width="9.42578125" style="354" bestFit="1" customWidth="1"/>
    <col min="15368" max="15368" width="10.42578125" style="354" customWidth="1"/>
    <col min="15369" max="15369" width="5.5703125" style="354" customWidth="1"/>
    <col min="15370" max="15373" width="9.140625" style="354"/>
    <col min="15374" max="15374" width="32.28515625" style="354" customWidth="1"/>
    <col min="15375" max="15616" width="9.140625" style="354"/>
    <col min="15617" max="15617" width="1.140625" style="354" customWidth="1"/>
    <col min="15618" max="15618" width="34.7109375" style="354" customWidth="1"/>
    <col min="15619" max="15621" width="10.42578125" style="354" customWidth="1"/>
    <col min="15622" max="15623" width="9.42578125" style="354" bestFit="1" customWidth="1"/>
    <col min="15624" max="15624" width="10.42578125" style="354" customWidth="1"/>
    <col min="15625" max="15625" width="5.5703125" style="354" customWidth="1"/>
    <col min="15626" max="15629" width="9.140625" style="354"/>
    <col min="15630" max="15630" width="32.28515625" style="354" customWidth="1"/>
    <col min="15631" max="15872" width="9.140625" style="354"/>
    <col min="15873" max="15873" width="1.140625" style="354" customWidth="1"/>
    <col min="15874" max="15874" width="34.7109375" style="354" customWidth="1"/>
    <col min="15875" max="15877" width="10.42578125" style="354" customWidth="1"/>
    <col min="15878" max="15879" width="9.42578125" style="354" bestFit="1" customWidth="1"/>
    <col min="15880" max="15880" width="10.42578125" style="354" customWidth="1"/>
    <col min="15881" max="15881" width="5.5703125" style="354" customWidth="1"/>
    <col min="15882" max="15885" width="9.140625" style="354"/>
    <col min="15886" max="15886" width="32.28515625" style="354" customWidth="1"/>
    <col min="15887" max="16128" width="9.140625" style="354"/>
    <col min="16129" max="16129" width="1.140625" style="354" customWidth="1"/>
    <col min="16130" max="16130" width="34.7109375" style="354" customWidth="1"/>
    <col min="16131" max="16133" width="10.42578125" style="354" customWidth="1"/>
    <col min="16134" max="16135" width="9.42578125" style="354" bestFit="1" customWidth="1"/>
    <col min="16136" max="16136" width="10.42578125" style="354" customWidth="1"/>
    <col min="16137" max="16137" width="5.5703125" style="354" customWidth="1"/>
    <col min="16138" max="16141" width="9.140625" style="354"/>
    <col min="16142" max="16142" width="32.28515625" style="354" customWidth="1"/>
    <col min="16143" max="16384" width="9.140625" style="354"/>
  </cols>
  <sheetData>
    <row r="1" spans="2:14" ht="24.95" customHeight="1" x14ac:dyDescent="0.2">
      <c r="B1" s="500" t="s">
        <v>414</v>
      </c>
      <c r="C1" s="500"/>
      <c r="D1" s="500"/>
      <c r="E1" s="500"/>
      <c r="F1" s="500"/>
      <c r="G1" s="500"/>
      <c r="H1" s="500"/>
      <c r="I1" s="500"/>
      <c r="J1" s="500"/>
      <c r="K1" s="500"/>
      <c r="L1" s="500"/>
      <c r="M1" s="500"/>
      <c r="N1" s="500"/>
    </row>
    <row r="3" spans="2:14" ht="15.75" thickBot="1" x14ac:dyDescent="0.25">
      <c r="B3" s="501" t="s">
        <v>415</v>
      </c>
      <c r="C3" s="501"/>
      <c r="D3" s="501"/>
      <c r="E3" s="501"/>
      <c r="F3" s="501"/>
      <c r="G3" s="501"/>
      <c r="H3" s="501"/>
      <c r="I3" s="501"/>
      <c r="J3" s="501"/>
      <c r="K3" s="501"/>
      <c r="L3" s="501"/>
      <c r="M3" s="501"/>
      <c r="N3" s="501"/>
    </row>
    <row r="4" spans="2:14" ht="12.75" thickTop="1" x14ac:dyDescent="0.2"/>
    <row r="5" spans="2:14" ht="84.2" customHeight="1" x14ac:dyDescent="0.2">
      <c r="B5" s="502" t="s">
        <v>416</v>
      </c>
      <c r="C5" s="502"/>
      <c r="D5" s="502"/>
      <c r="E5" s="502"/>
      <c r="F5" s="502"/>
      <c r="G5" s="502"/>
      <c r="H5" s="502"/>
      <c r="I5" s="502"/>
      <c r="J5" s="502"/>
      <c r="K5" s="502"/>
      <c r="L5" s="502"/>
      <c r="M5" s="502"/>
      <c r="N5" s="502"/>
    </row>
    <row r="6" spans="2:14" ht="82.5" customHeight="1" x14ac:dyDescent="0.2">
      <c r="B6" s="502" t="s">
        <v>417</v>
      </c>
      <c r="C6" s="502"/>
      <c r="D6" s="502"/>
      <c r="E6" s="502"/>
      <c r="F6" s="502"/>
      <c r="G6" s="502"/>
      <c r="H6" s="502"/>
      <c r="I6" s="502"/>
      <c r="J6" s="502"/>
      <c r="K6" s="502"/>
      <c r="L6" s="502"/>
      <c r="M6" s="502"/>
      <c r="N6" s="502"/>
    </row>
    <row r="8" spans="2:14" ht="15.75" thickBot="1" x14ac:dyDescent="0.25">
      <c r="B8" s="501" t="s">
        <v>418</v>
      </c>
      <c r="C8" s="501"/>
      <c r="D8" s="501"/>
      <c r="E8" s="501"/>
      <c r="F8" s="501"/>
      <c r="G8" s="501"/>
      <c r="H8" s="501"/>
      <c r="I8" s="501"/>
      <c r="J8" s="501"/>
      <c r="K8" s="501"/>
      <c r="L8" s="501"/>
      <c r="M8" s="501"/>
      <c r="N8" s="501"/>
    </row>
    <row r="9" spans="2:14" ht="12.75" thickTop="1" x14ac:dyDescent="0.2"/>
    <row r="10" spans="2:14" x14ac:dyDescent="0.2">
      <c r="B10" s="399"/>
      <c r="C10" s="497" t="s">
        <v>439</v>
      </c>
      <c r="D10" s="498"/>
      <c r="E10" s="499"/>
      <c r="F10" s="497" t="s">
        <v>420</v>
      </c>
      <c r="G10" s="498"/>
      <c r="H10" s="499"/>
    </row>
    <row r="11" spans="2:14" ht="38.25" customHeight="1" x14ac:dyDescent="0.2">
      <c r="B11" s="400" t="s">
        <v>421</v>
      </c>
      <c r="C11" s="401" t="s">
        <v>422</v>
      </c>
      <c r="D11" s="402" t="s">
        <v>423</v>
      </c>
      <c r="E11" s="403" t="s">
        <v>424</v>
      </c>
      <c r="F11" s="401" t="s">
        <v>425</v>
      </c>
      <c r="G11" s="402" t="s">
        <v>426</v>
      </c>
      <c r="H11" s="403" t="s">
        <v>427</v>
      </c>
    </row>
    <row r="12" spans="2:14" x14ac:dyDescent="0.2">
      <c r="B12" s="404" t="s">
        <v>440</v>
      </c>
      <c r="C12" s="405">
        <v>43665340.211434588</v>
      </c>
      <c r="D12" s="406">
        <v>46852342.462186858</v>
      </c>
      <c r="E12" s="407">
        <v>3187002.2507522702</v>
      </c>
      <c r="F12" s="408">
        <v>16</v>
      </c>
      <c r="G12" s="409">
        <v>20</v>
      </c>
      <c r="H12" s="410">
        <v>18</v>
      </c>
    </row>
    <row r="13" spans="2:14" x14ac:dyDescent="0.2">
      <c r="B13" s="411" t="s">
        <v>441</v>
      </c>
      <c r="C13" s="412">
        <v>44926631.939036869</v>
      </c>
      <c r="D13" s="413">
        <v>45591050.734584615</v>
      </c>
      <c r="E13" s="414">
        <v>664418.79554774612</v>
      </c>
      <c r="F13" s="415">
        <v>7.4999999999999997E-2</v>
      </c>
      <c r="G13" s="416">
        <v>9.5000000000000001E-2</v>
      </c>
      <c r="H13" s="417">
        <v>8.5000000000000006E-2</v>
      </c>
    </row>
    <row r="14" spans="2:14" x14ac:dyDescent="0.2">
      <c r="B14" s="411" t="s">
        <v>442</v>
      </c>
      <c r="C14" s="412">
        <v>45258841.336810715</v>
      </c>
      <c r="D14" s="413">
        <v>45258841.336810715</v>
      </c>
      <c r="E14" s="414">
        <v>0</v>
      </c>
      <c r="F14" s="418">
        <v>30.667448040399361</v>
      </c>
      <c r="G14" s="419">
        <v>37.482436493821446</v>
      </c>
      <c r="H14" s="420">
        <v>34.074942267110401</v>
      </c>
    </row>
    <row r="15" spans="2:14" x14ac:dyDescent="0.2">
      <c r="B15" s="421" t="s">
        <v>443</v>
      </c>
      <c r="C15" s="422">
        <v>45258841.336810723</v>
      </c>
      <c r="D15" s="423">
        <v>45258841.336810723</v>
      </c>
      <c r="E15" s="424">
        <v>0</v>
      </c>
      <c r="F15" s="425">
        <v>40.023571390512842</v>
      </c>
      <c r="G15" s="426">
        <v>48.917698366182364</v>
      </c>
      <c r="H15" s="427">
        <v>44.470634878347603</v>
      </c>
    </row>
  </sheetData>
  <mergeCells count="7">
    <mergeCell ref="C10:E10"/>
    <mergeCell ref="F10:H10"/>
    <mergeCell ref="B1:N1"/>
    <mergeCell ref="B3:N3"/>
    <mergeCell ref="B5:N5"/>
    <mergeCell ref="B6:N6"/>
    <mergeCell ref="B8:N8"/>
  </mergeCells>
  <pageMargins left="0.5" right="0.5" top="1" bottom="1" header="0.5" footer="0.5"/>
  <pageSetup scale="57" fitToHeight="10"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06C1B-C4D5-43DA-8364-BDA62F906C80}">
  <sheetPr>
    <pageSetUpPr fitToPage="1"/>
  </sheetPr>
  <dimension ref="B1:N15"/>
  <sheetViews>
    <sheetView topLeftCell="A6" workbookViewId="0">
      <selection activeCell="F10" sqref="B10:H15"/>
    </sheetView>
  </sheetViews>
  <sheetFormatPr baseColWidth="10" defaultColWidth="9.140625" defaultRowHeight="12" x14ac:dyDescent="0.2"/>
  <cols>
    <col min="1" max="1" width="1.140625" style="354" customWidth="1"/>
    <col min="2" max="2" width="34.7109375" style="354" customWidth="1"/>
    <col min="3" max="4" width="12.42578125" style="354" customWidth="1"/>
    <col min="5" max="5" width="10.42578125" style="354" customWidth="1"/>
    <col min="6" max="7" width="9.42578125" style="354" bestFit="1" customWidth="1"/>
    <col min="8" max="8" width="10.42578125" style="354" customWidth="1"/>
    <col min="9" max="9" width="5.5703125" style="354" customWidth="1"/>
    <col min="10" max="13" width="9.140625" style="354"/>
    <col min="14" max="14" width="32.28515625" style="354" customWidth="1"/>
    <col min="15" max="256" width="9.140625" style="354"/>
    <col min="257" max="257" width="1.140625" style="354" customWidth="1"/>
    <col min="258" max="258" width="34.7109375" style="354" customWidth="1"/>
    <col min="259" max="261" width="10.42578125" style="354" customWidth="1"/>
    <col min="262" max="263" width="9.42578125" style="354" bestFit="1" customWidth="1"/>
    <col min="264" max="264" width="10.42578125" style="354" customWidth="1"/>
    <col min="265" max="265" width="5.5703125" style="354" customWidth="1"/>
    <col min="266" max="269" width="9.140625" style="354"/>
    <col min="270" max="270" width="32.28515625" style="354" customWidth="1"/>
    <col min="271" max="512" width="9.140625" style="354"/>
    <col min="513" max="513" width="1.140625" style="354" customWidth="1"/>
    <col min="514" max="514" width="34.7109375" style="354" customWidth="1"/>
    <col min="515" max="517" width="10.42578125" style="354" customWidth="1"/>
    <col min="518" max="519" width="9.42578125" style="354" bestFit="1" customWidth="1"/>
    <col min="520" max="520" width="10.42578125" style="354" customWidth="1"/>
    <col min="521" max="521" width="5.5703125" style="354" customWidth="1"/>
    <col min="522" max="525" width="9.140625" style="354"/>
    <col min="526" max="526" width="32.28515625" style="354" customWidth="1"/>
    <col min="527" max="768" width="9.140625" style="354"/>
    <col min="769" max="769" width="1.140625" style="354" customWidth="1"/>
    <col min="770" max="770" width="34.7109375" style="354" customWidth="1"/>
    <col min="771" max="773" width="10.42578125" style="354" customWidth="1"/>
    <col min="774" max="775" width="9.42578125" style="354" bestFit="1" customWidth="1"/>
    <col min="776" max="776" width="10.42578125" style="354" customWidth="1"/>
    <col min="777" max="777" width="5.5703125" style="354" customWidth="1"/>
    <col min="778" max="781" width="9.140625" style="354"/>
    <col min="782" max="782" width="32.28515625" style="354" customWidth="1"/>
    <col min="783" max="1024" width="9.140625" style="354"/>
    <col min="1025" max="1025" width="1.140625" style="354" customWidth="1"/>
    <col min="1026" max="1026" width="34.7109375" style="354" customWidth="1"/>
    <col min="1027" max="1029" width="10.42578125" style="354" customWidth="1"/>
    <col min="1030" max="1031" width="9.42578125" style="354" bestFit="1" customWidth="1"/>
    <col min="1032" max="1032" width="10.42578125" style="354" customWidth="1"/>
    <col min="1033" max="1033" width="5.5703125" style="354" customWidth="1"/>
    <col min="1034" max="1037" width="9.140625" style="354"/>
    <col min="1038" max="1038" width="32.28515625" style="354" customWidth="1"/>
    <col min="1039" max="1280" width="9.140625" style="354"/>
    <col min="1281" max="1281" width="1.140625" style="354" customWidth="1"/>
    <col min="1282" max="1282" width="34.7109375" style="354" customWidth="1"/>
    <col min="1283" max="1285" width="10.42578125" style="354" customWidth="1"/>
    <col min="1286" max="1287" width="9.42578125" style="354" bestFit="1" customWidth="1"/>
    <col min="1288" max="1288" width="10.42578125" style="354" customWidth="1"/>
    <col min="1289" max="1289" width="5.5703125" style="354" customWidth="1"/>
    <col min="1290" max="1293" width="9.140625" style="354"/>
    <col min="1294" max="1294" width="32.28515625" style="354" customWidth="1"/>
    <col min="1295" max="1536" width="9.140625" style="354"/>
    <col min="1537" max="1537" width="1.140625" style="354" customWidth="1"/>
    <col min="1538" max="1538" width="34.7109375" style="354" customWidth="1"/>
    <col min="1539" max="1541" width="10.42578125" style="354" customWidth="1"/>
    <col min="1542" max="1543" width="9.42578125" style="354" bestFit="1" customWidth="1"/>
    <col min="1544" max="1544" width="10.42578125" style="354" customWidth="1"/>
    <col min="1545" max="1545" width="5.5703125" style="354" customWidth="1"/>
    <col min="1546" max="1549" width="9.140625" style="354"/>
    <col min="1550" max="1550" width="32.28515625" style="354" customWidth="1"/>
    <col min="1551" max="1792" width="9.140625" style="354"/>
    <col min="1793" max="1793" width="1.140625" style="354" customWidth="1"/>
    <col min="1794" max="1794" width="34.7109375" style="354" customWidth="1"/>
    <col min="1795" max="1797" width="10.42578125" style="354" customWidth="1"/>
    <col min="1798" max="1799" width="9.42578125" style="354" bestFit="1" customWidth="1"/>
    <col min="1800" max="1800" width="10.42578125" style="354" customWidth="1"/>
    <col min="1801" max="1801" width="5.5703125" style="354" customWidth="1"/>
    <col min="1802" max="1805" width="9.140625" style="354"/>
    <col min="1806" max="1806" width="32.28515625" style="354" customWidth="1"/>
    <col min="1807" max="2048" width="9.140625" style="354"/>
    <col min="2049" max="2049" width="1.140625" style="354" customWidth="1"/>
    <col min="2050" max="2050" width="34.7109375" style="354" customWidth="1"/>
    <col min="2051" max="2053" width="10.42578125" style="354" customWidth="1"/>
    <col min="2054" max="2055" width="9.42578125" style="354" bestFit="1" customWidth="1"/>
    <col min="2056" max="2056" width="10.42578125" style="354" customWidth="1"/>
    <col min="2057" max="2057" width="5.5703125" style="354" customWidth="1"/>
    <col min="2058" max="2061" width="9.140625" style="354"/>
    <col min="2062" max="2062" width="32.28515625" style="354" customWidth="1"/>
    <col min="2063" max="2304" width="9.140625" style="354"/>
    <col min="2305" max="2305" width="1.140625" style="354" customWidth="1"/>
    <col min="2306" max="2306" width="34.7109375" style="354" customWidth="1"/>
    <col min="2307" max="2309" width="10.42578125" style="354" customWidth="1"/>
    <col min="2310" max="2311" width="9.42578125" style="354" bestFit="1" customWidth="1"/>
    <col min="2312" max="2312" width="10.42578125" style="354" customWidth="1"/>
    <col min="2313" max="2313" width="5.5703125" style="354" customWidth="1"/>
    <col min="2314" max="2317" width="9.140625" style="354"/>
    <col min="2318" max="2318" width="32.28515625" style="354" customWidth="1"/>
    <col min="2319" max="2560" width="9.140625" style="354"/>
    <col min="2561" max="2561" width="1.140625" style="354" customWidth="1"/>
    <col min="2562" max="2562" width="34.7109375" style="354" customWidth="1"/>
    <col min="2563" max="2565" width="10.42578125" style="354" customWidth="1"/>
    <col min="2566" max="2567" width="9.42578125" style="354" bestFit="1" customWidth="1"/>
    <col min="2568" max="2568" width="10.42578125" style="354" customWidth="1"/>
    <col min="2569" max="2569" width="5.5703125" style="354" customWidth="1"/>
    <col min="2570" max="2573" width="9.140625" style="354"/>
    <col min="2574" max="2574" width="32.28515625" style="354" customWidth="1"/>
    <col min="2575" max="2816" width="9.140625" style="354"/>
    <col min="2817" max="2817" width="1.140625" style="354" customWidth="1"/>
    <col min="2818" max="2818" width="34.7109375" style="354" customWidth="1"/>
    <col min="2819" max="2821" width="10.42578125" style="354" customWidth="1"/>
    <col min="2822" max="2823" width="9.42578125" style="354" bestFit="1" customWidth="1"/>
    <col min="2824" max="2824" width="10.42578125" style="354" customWidth="1"/>
    <col min="2825" max="2825" width="5.5703125" style="354" customWidth="1"/>
    <col min="2826" max="2829" width="9.140625" style="354"/>
    <col min="2830" max="2830" width="32.28515625" style="354" customWidth="1"/>
    <col min="2831" max="3072" width="9.140625" style="354"/>
    <col min="3073" max="3073" width="1.140625" style="354" customWidth="1"/>
    <col min="3074" max="3074" width="34.7109375" style="354" customWidth="1"/>
    <col min="3075" max="3077" width="10.42578125" style="354" customWidth="1"/>
    <col min="3078" max="3079" width="9.42578125" style="354" bestFit="1" customWidth="1"/>
    <col min="3080" max="3080" width="10.42578125" style="354" customWidth="1"/>
    <col min="3081" max="3081" width="5.5703125" style="354" customWidth="1"/>
    <col min="3082" max="3085" width="9.140625" style="354"/>
    <col min="3086" max="3086" width="32.28515625" style="354" customWidth="1"/>
    <col min="3087" max="3328" width="9.140625" style="354"/>
    <col min="3329" max="3329" width="1.140625" style="354" customWidth="1"/>
    <col min="3330" max="3330" width="34.7109375" style="354" customWidth="1"/>
    <col min="3331" max="3333" width="10.42578125" style="354" customWidth="1"/>
    <col min="3334" max="3335" width="9.42578125" style="354" bestFit="1" customWidth="1"/>
    <col min="3336" max="3336" width="10.42578125" style="354" customWidth="1"/>
    <col min="3337" max="3337" width="5.5703125" style="354" customWidth="1"/>
    <col min="3338" max="3341" width="9.140625" style="354"/>
    <col min="3342" max="3342" width="32.28515625" style="354" customWidth="1"/>
    <col min="3343" max="3584" width="9.140625" style="354"/>
    <col min="3585" max="3585" width="1.140625" style="354" customWidth="1"/>
    <col min="3586" max="3586" width="34.7109375" style="354" customWidth="1"/>
    <col min="3587" max="3589" width="10.42578125" style="354" customWidth="1"/>
    <col min="3590" max="3591" width="9.42578125" style="354" bestFit="1" customWidth="1"/>
    <col min="3592" max="3592" width="10.42578125" style="354" customWidth="1"/>
    <col min="3593" max="3593" width="5.5703125" style="354" customWidth="1"/>
    <col min="3594" max="3597" width="9.140625" style="354"/>
    <col min="3598" max="3598" width="32.28515625" style="354" customWidth="1"/>
    <col min="3599" max="3840" width="9.140625" style="354"/>
    <col min="3841" max="3841" width="1.140625" style="354" customWidth="1"/>
    <col min="3842" max="3842" width="34.7109375" style="354" customWidth="1"/>
    <col min="3843" max="3845" width="10.42578125" style="354" customWidth="1"/>
    <col min="3846" max="3847" width="9.42578125" style="354" bestFit="1" customWidth="1"/>
    <col min="3848" max="3848" width="10.42578125" style="354" customWidth="1"/>
    <col min="3849" max="3849" width="5.5703125" style="354" customWidth="1"/>
    <col min="3850" max="3853" width="9.140625" style="354"/>
    <col min="3854" max="3854" width="32.28515625" style="354" customWidth="1"/>
    <col min="3855" max="4096" width="9.140625" style="354"/>
    <col min="4097" max="4097" width="1.140625" style="354" customWidth="1"/>
    <col min="4098" max="4098" width="34.7109375" style="354" customWidth="1"/>
    <col min="4099" max="4101" width="10.42578125" style="354" customWidth="1"/>
    <col min="4102" max="4103" width="9.42578125" style="354" bestFit="1" customWidth="1"/>
    <col min="4104" max="4104" width="10.42578125" style="354" customWidth="1"/>
    <col min="4105" max="4105" width="5.5703125" style="354" customWidth="1"/>
    <col min="4106" max="4109" width="9.140625" style="354"/>
    <col min="4110" max="4110" width="32.28515625" style="354" customWidth="1"/>
    <col min="4111" max="4352" width="9.140625" style="354"/>
    <col min="4353" max="4353" width="1.140625" style="354" customWidth="1"/>
    <col min="4354" max="4354" width="34.7109375" style="354" customWidth="1"/>
    <col min="4355" max="4357" width="10.42578125" style="354" customWidth="1"/>
    <col min="4358" max="4359" width="9.42578125" style="354" bestFit="1" customWidth="1"/>
    <col min="4360" max="4360" width="10.42578125" style="354" customWidth="1"/>
    <col min="4361" max="4361" width="5.5703125" style="354" customWidth="1"/>
    <col min="4362" max="4365" width="9.140625" style="354"/>
    <col min="4366" max="4366" width="32.28515625" style="354" customWidth="1"/>
    <col min="4367" max="4608" width="9.140625" style="354"/>
    <col min="4609" max="4609" width="1.140625" style="354" customWidth="1"/>
    <col min="4610" max="4610" width="34.7109375" style="354" customWidth="1"/>
    <col min="4611" max="4613" width="10.42578125" style="354" customWidth="1"/>
    <col min="4614" max="4615" width="9.42578125" style="354" bestFit="1" customWidth="1"/>
    <col min="4616" max="4616" width="10.42578125" style="354" customWidth="1"/>
    <col min="4617" max="4617" width="5.5703125" style="354" customWidth="1"/>
    <col min="4618" max="4621" width="9.140625" style="354"/>
    <col min="4622" max="4622" width="32.28515625" style="354" customWidth="1"/>
    <col min="4623" max="4864" width="9.140625" style="354"/>
    <col min="4865" max="4865" width="1.140625" style="354" customWidth="1"/>
    <col min="4866" max="4866" width="34.7109375" style="354" customWidth="1"/>
    <col min="4867" max="4869" width="10.42578125" style="354" customWidth="1"/>
    <col min="4870" max="4871" width="9.42578125" style="354" bestFit="1" customWidth="1"/>
    <col min="4872" max="4872" width="10.42578125" style="354" customWidth="1"/>
    <col min="4873" max="4873" width="5.5703125" style="354" customWidth="1"/>
    <col min="4874" max="4877" width="9.140625" style="354"/>
    <col min="4878" max="4878" width="32.28515625" style="354" customWidth="1"/>
    <col min="4879" max="5120" width="9.140625" style="354"/>
    <col min="5121" max="5121" width="1.140625" style="354" customWidth="1"/>
    <col min="5122" max="5122" width="34.7109375" style="354" customWidth="1"/>
    <col min="5123" max="5125" width="10.42578125" style="354" customWidth="1"/>
    <col min="5126" max="5127" width="9.42578125" style="354" bestFit="1" customWidth="1"/>
    <col min="5128" max="5128" width="10.42578125" style="354" customWidth="1"/>
    <col min="5129" max="5129" width="5.5703125" style="354" customWidth="1"/>
    <col min="5130" max="5133" width="9.140625" style="354"/>
    <col min="5134" max="5134" width="32.28515625" style="354" customWidth="1"/>
    <col min="5135" max="5376" width="9.140625" style="354"/>
    <col min="5377" max="5377" width="1.140625" style="354" customWidth="1"/>
    <col min="5378" max="5378" width="34.7109375" style="354" customWidth="1"/>
    <col min="5379" max="5381" width="10.42578125" style="354" customWidth="1"/>
    <col min="5382" max="5383" width="9.42578125" style="354" bestFit="1" customWidth="1"/>
    <col min="5384" max="5384" width="10.42578125" style="354" customWidth="1"/>
    <col min="5385" max="5385" width="5.5703125" style="354" customWidth="1"/>
    <col min="5386" max="5389" width="9.140625" style="354"/>
    <col min="5390" max="5390" width="32.28515625" style="354" customWidth="1"/>
    <col min="5391" max="5632" width="9.140625" style="354"/>
    <col min="5633" max="5633" width="1.140625" style="354" customWidth="1"/>
    <col min="5634" max="5634" width="34.7109375" style="354" customWidth="1"/>
    <col min="5635" max="5637" width="10.42578125" style="354" customWidth="1"/>
    <col min="5638" max="5639" width="9.42578125" style="354" bestFit="1" customWidth="1"/>
    <col min="5640" max="5640" width="10.42578125" style="354" customWidth="1"/>
    <col min="5641" max="5641" width="5.5703125" style="354" customWidth="1"/>
    <col min="5642" max="5645" width="9.140625" style="354"/>
    <col min="5646" max="5646" width="32.28515625" style="354" customWidth="1"/>
    <col min="5647" max="5888" width="9.140625" style="354"/>
    <col min="5889" max="5889" width="1.140625" style="354" customWidth="1"/>
    <col min="5890" max="5890" width="34.7109375" style="354" customWidth="1"/>
    <col min="5891" max="5893" width="10.42578125" style="354" customWidth="1"/>
    <col min="5894" max="5895" width="9.42578125" style="354" bestFit="1" customWidth="1"/>
    <col min="5896" max="5896" width="10.42578125" style="354" customWidth="1"/>
    <col min="5897" max="5897" width="5.5703125" style="354" customWidth="1"/>
    <col min="5898" max="5901" width="9.140625" style="354"/>
    <col min="5902" max="5902" width="32.28515625" style="354" customWidth="1"/>
    <col min="5903" max="6144" width="9.140625" style="354"/>
    <col min="6145" max="6145" width="1.140625" style="354" customWidth="1"/>
    <col min="6146" max="6146" width="34.7109375" style="354" customWidth="1"/>
    <col min="6147" max="6149" width="10.42578125" style="354" customWidth="1"/>
    <col min="6150" max="6151" width="9.42578125" style="354" bestFit="1" customWidth="1"/>
    <col min="6152" max="6152" width="10.42578125" style="354" customWidth="1"/>
    <col min="6153" max="6153" width="5.5703125" style="354" customWidth="1"/>
    <col min="6154" max="6157" width="9.140625" style="354"/>
    <col min="6158" max="6158" width="32.28515625" style="354" customWidth="1"/>
    <col min="6159" max="6400" width="9.140625" style="354"/>
    <col min="6401" max="6401" width="1.140625" style="354" customWidth="1"/>
    <col min="6402" max="6402" width="34.7109375" style="354" customWidth="1"/>
    <col min="6403" max="6405" width="10.42578125" style="354" customWidth="1"/>
    <col min="6406" max="6407" width="9.42578125" style="354" bestFit="1" customWidth="1"/>
    <col min="6408" max="6408" width="10.42578125" style="354" customWidth="1"/>
    <col min="6409" max="6409" width="5.5703125" style="354" customWidth="1"/>
    <col min="6410" max="6413" width="9.140625" style="354"/>
    <col min="6414" max="6414" width="32.28515625" style="354" customWidth="1"/>
    <col min="6415" max="6656" width="9.140625" style="354"/>
    <col min="6657" max="6657" width="1.140625" style="354" customWidth="1"/>
    <col min="6658" max="6658" width="34.7109375" style="354" customWidth="1"/>
    <col min="6659" max="6661" width="10.42578125" style="354" customWidth="1"/>
    <col min="6662" max="6663" width="9.42578125" style="354" bestFit="1" customWidth="1"/>
    <col min="6664" max="6664" width="10.42578125" style="354" customWidth="1"/>
    <col min="6665" max="6665" width="5.5703125" style="354" customWidth="1"/>
    <col min="6666" max="6669" width="9.140625" style="354"/>
    <col min="6670" max="6670" width="32.28515625" style="354" customWidth="1"/>
    <col min="6671" max="6912" width="9.140625" style="354"/>
    <col min="6913" max="6913" width="1.140625" style="354" customWidth="1"/>
    <col min="6914" max="6914" width="34.7109375" style="354" customWidth="1"/>
    <col min="6915" max="6917" width="10.42578125" style="354" customWidth="1"/>
    <col min="6918" max="6919" width="9.42578125" style="354" bestFit="1" customWidth="1"/>
    <col min="6920" max="6920" width="10.42578125" style="354" customWidth="1"/>
    <col min="6921" max="6921" width="5.5703125" style="354" customWidth="1"/>
    <col min="6922" max="6925" width="9.140625" style="354"/>
    <col min="6926" max="6926" width="32.28515625" style="354" customWidth="1"/>
    <col min="6927" max="7168" width="9.140625" style="354"/>
    <col min="7169" max="7169" width="1.140625" style="354" customWidth="1"/>
    <col min="7170" max="7170" width="34.7109375" style="354" customWidth="1"/>
    <col min="7171" max="7173" width="10.42578125" style="354" customWidth="1"/>
    <col min="7174" max="7175" width="9.42578125" style="354" bestFit="1" customWidth="1"/>
    <col min="7176" max="7176" width="10.42578125" style="354" customWidth="1"/>
    <col min="7177" max="7177" width="5.5703125" style="354" customWidth="1"/>
    <col min="7178" max="7181" width="9.140625" style="354"/>
    <col min="7182" max="7182" width="32.28515625" style="354" customWidth="1"/>
    <col min="7183" max="7424" width="9.140625" style="354"/>
    <col min="7425" max="7425" width="1.140625" style="354" customWidth="1"/>
    <col min="7426" max="7426" width="34.7109375" style="354" customWidth="1"/>
    <col min="7427" max="7429" width="10.42578125" style="354" customWidth="1"/>
    <col min="7430" max="7431" width="9.42578125" style="354" bestFit="1" customWidth="1"/>
    <col min="7432" max="7432" width="10.42578125" style="354" customWidth="1"/>
    <col min="7433" max="7433" width="5.5703125" style="354" customWidth="1"/>
    <col min="7434" max="7437" width="9.140625" style="354"/>
    <col min="7438" max="7438" width="32.28515625" style="354" customWidth="1"/>
    <col min="7439" max="7680" width="9.140625" style="354"/>
    <col min="7681" max="7681" width="1.140625" style="354" customWidth="1"/>
    <col min="7682" max="7682" width="34.7109375" style="354" customWidth="1"/>
    <col min="7683" max="7685" width="10.42578125" style="354" customWidth="1"/>
    <col min="7686" max="7687" width="9.42578125" style="354" bestFit="1" customWidth="1"/>
    <col min="7688" max="7688" width="10.42578125" style="354" customWidth="1"/>
    <col min="7689" max="7689" width="5.5703125" style="354" customWidth="1"/>
    <col min="7690" max="7693" width="9.140625" style="354"/>
    <col min="7694" max="7694" width="32.28515625" style="354" customWidth="1"/>
    <col min="7695" max="7936" width="9.140625" style="354"/>
    <col min="7937" max="7937" width="1.140625" style="354" customWidth="1"/>
    <col min="7938" max="7938" width="34.7109375" style="354" customWidth="1"/>
    <col min="7939" max="7941" width="10.42578125" style="354" customWidth="1"/>
    <col min="7942" max="7943" width="9.42578125" style="354" bestFit="1" customWidth="1"/>
    <col min="7944" max="7944" width="10.42578125" style="354" customWidth="1"/>
    <col min="7945" max="7945" width="5.5703125" style="354" customWidth="1"/>
    <col min="7946" max="7949" width="9.140625" style="354"/>
    <col min="7950" max="7950" width="32.28515625" style="354" customWidth="1"/>
    <col min="7951" max="8192" width="9.140625" style="354"/>
    <col min="8193" max="8193" width="1.140625" style="354" customWidth="1"/>
    <col min="8194" max="8194" width="34.7109375" style="354" customWidth="1"/>
    <col min="8195" max="8197" width="10.42578125" style="354" customWidth="1"/>
    <col min="8198" max="8199" width="9.42578125" style="354" bestFit="1" customWidth="1"/>
    <col min="8200" max="8200" width="10.42578125" style="354" customWidth="1"/>
    <col min="8201" max="8201" width="5.5703125" style="354" customWidth="1"/>
    <col min="8202" max="8205" width="9.140625" style="354"/>
    <col min="8206" max="8206" width="32.28515625" style="354" customWidth="1"/>
    <col min="8207" max="8448" width="9.140625" style="354"/>
    <col min="8449" max="8449" width="1.140625" style="354" customWidth="1"/>
    <col min="8450" max="8450" width="34.7109375" style="354" customWidth="1"/>
    <col min="8451" max="8453" width="10.42578125" style="354" customWidth="1"/>
    <col min="8454" max="8455" width="9.42578125" style="354" bestFit="1" customWidth="1"/>
    <col min="8456" max="8456" width="10.42578125" style="354" customWidth="1"/>
    <col min="8457" max="8457" width="5.5703125" style="354" customWidth="1"/>
    <col min="8458" max="8461" width="9.140625" style="354"/>
    <col min="8462" max="8462" width="32.28515625" style="354" customWidth="1"/>
    <col min="8463" max="8704" width="9.140625" style="354"/>
    <col min="8705" max="8705" width="1.140625" style="354" customWidth="1"/>
    <col min="8706" max="8706" width="34.7109375" style="354" customWidth="1"/>
    <col min="8707" max="8709" width="10.42578125" style="354" customWidth="1"/>
    <col min="8710" max="8711" width="9.42578125" style="354" bestFit="1" customWidth="1"/>
    <col min="8712" max="8712" width="10.42578125" style="354" customWidth="1"/>
    <col min="8713" max="8713" width="5.5703125" style="354" customWidth="1"/>
    <col min="8714" max="8717" width="9.140625" style="354"/>
    <col min="8718" max="8718" width="32.28515625" style="354" customWidth="1"/>
    <col min="8719" max="8960" width="9.140625" style="354"/>
    <col min="8961" max="8961" width="1.140625" style="354" customWidth="1"/>
    <col min="8962" max="8962" width="34.7109375" style="354" customWidth="1"/>
    <col min="8963" max="8965" width="10.42578125" style="354" customWidth="1"/>
    <col min="8966" max="8967" width="9.42578125" style="354" bestFit="1" customWidth="1"/>
    <col min="8968" max="8968" width="10.42578125" style="354" customWidth="1"/>
    <col min="8969" max="8969" width="5.5703125" style="354" customWidth="1"/>
    <col min="8970" max="8973" width="9.140625" style="354"/>
    <col min="8974" max="8974" width="32.28515625" style="354" customWidth="1"/>
    <col min="8975" max="9216" width="9.140625" style="354"/>
    <col min="9217" max="9217" width="1.140625" style="354" customWidth="1"/>
    <col min="9218" max="9218" width="34.7109375" style="354" customWidth="1"/>
    <col min="9219" max="9221" width="10.42578125" style="354" customWidth="1"/>
    <col min="9222" max="9223" width="9.42578125" style="354" bestFit="1" customWidth="1"/>
    <col min="9224" max="9224" width="10.42578125" style="354" customWidth="1"/>
    <col min="9225" max="9225" width="5.5703125" style="354" customWidth="1"/>
    <col min="9226" max="9229" width="9.140625" style="354"/>
    <col min="9230" max="9230" width="32.28515625" style="354" customWidth="1"/>
    <col min="9231" max="9472" width="9.140625" style="354"/>
    <col min="9473" max="9473" width="1.140625" style="354" customWidth="1"/>
    <col min="9474" max="9474" width="34.7109375" style="354" customWidth="1"/>
    <col min="9475" max="9477" width="10.42578125" style="354" customWidth="1"/>
    <col min="9478" max="9479" width="9.42578125" style="354" bestFit="1" customWidth="1"/>
    <col min="9480" max="9480" width="10.42578125" style="354" customWidth="1"/>
    <col min="9481" max="9481" width="5.5703125" style="354" customWidth="1"/>
    <col min="9482" max="9485" width="9.140625" style="354"/>
    <col min="9486" max="9486" width="32.28515625" style="354" customWidth="1"/>
    <col min="9487" max="9728" width="9.140625" style="354"/>
    <col min="9729" max="9729" width="1.140625" style="354" customWidth="1"/>
    <col min="9730" max="9730" width="34.7109375" style="354" customWidth="1"/>
    <col min="9731" max="9733" width="10.42578125" style="354" customWidth="1"/>
    <col min="9734" max="9735" width="9.42578125" style="354" bestFit="1" customWidth="1"/>
    <col min="9736" max="9736" width="10.42578125" style="354" customWidth="1"/>
    <col min="9737" max="9737" width="5.5703125" style="354" customWidth="1"/>
    <col min="9738" max="9741" width="9.140625" style="354"/>
    <col min="9742" max="9742" width="32.28515625" style="354" customWidth="1"/>
    <col min="9743" max="9984" width="9.140625" style="354"/>
    <col min="9985" max="9985" width="1.140625" style="354" customWidth="1"/>
    <col min="9986" max="9986" width="34.7109375" style="354" customWidth="1"/>
    <col min="9987" max="9989" width="10.42578125" style="354" customWidth="1"/>
    <col min="9990" max="9991" width="9.42578125" style="354" bestFit="1" customWidth="1"/>
    <col min="9992" max="9992" width="10.42578125" style="354" customWidth="1"/>
    <col min="9993" max="9993" width="5.5703125" style="354" customWidth="1"/>
    <col min="9994" max="9997" width="9.140625" style="354"/>
    <col min="9998" max="9998" width="32.28515625" style="354" customWidth="1"/>
    <col min="9999" max="10240" width="9.140625" style="354"/>
    <col min="10241" max="10241" width="1.140625" style="354" customWidth="1"/>
    <col min="10242" max="10242" width="34.7109375" style="354" customWidth="1"/>
    <col min="10243" max="10245" width="10.42578125" style="354" customWidth="1"/>
    <col min="10246" max="10247" width="9.42578125" style="354" bestFit="1" customWidth="1"/>
    <col min="10248" max="10248" width="10.42578125" style="354" customWidth="1"/>
    <col min="10249" max="10249" width="5.5703125" style="354" customWidth="1"/>
    <col min="10250" max="10253" width="9.140625" style="354"/>
    <col min="10254" max="10254" width="32.28515625" style="354" customWidth="1"/>
    <col min="10255" max="10496" width="9.140625" style="354"/>
    <col min="10497" max="10497" width="1.140625" style="354" customWidth="1"/>
    <col min="10498" max="10498" width="34.7109375" style="354" customWidth="1"/>
    <col min="10499" max="10501" width="10.42578125" style="354" customWidth="1"/>
    <col min="10502" max="10503" width="9.42578125" style="354" bestFit="1" customWidth="1"/>
    <col min="10504" max="10504" width="10.42578125" style="354" customWidth="1"/>
    <col min="10505" max="10505" width="5.5703125" style="354" customWidth="1"/>
    <col min="10506" max="10509" width="9.140625" style="354"/>
    <col min="10510" max="10510" width="32.28515625" style="354" customWidth="1"/>
    <col min="10511" max="10752" width="9.140625" style="354"/>
    <col min="10753" max="10753" width="1.140625" style="354" customWidth="1"/>
    <col min="10754" max="10754" width="34.7109375" style="354" customWidth="1"/>
    <col min="10755" max="10757" width="10.42578125" style="354" customWidth="1"/>
    <col min="10758" max="10759" width="9.42578125" style="354" bestFit="1" customWidth="1"/>
    <col min="10760" max="10760" width="10.42578125" style="354" customWidth="1"/>
    <col min="10761" max="10761" width="5.5703125" style="354" customWidth="1"/>
    <col min="10762" max="10765" width="9.140625" style="354"/>
    <col min="10766" max="10766" width="32.28515625" style="354" customWidth="1"/>
    <col min="10767" max="11008" width="9.140625" style="354"/>
    <col min="11009" max="11009" width="1.140625" style="354" customWidth="1"/>
    <col min="11010" max="11010" width="34.7109375" style="354" customWidth="1"/>
    <col min="11011" max="11013" width="10.42578125" style="354" customWidth="1"/>
    <col min="11014" max="11015" width="9.42578125" style="354" bestFit="1" customWidth="1"/>
    <col min="11016" max="11016" width="10.42578125" style="354" customWidth="1"/>
    <col min="11017" max="11017" width="5.5703125" style="354" customWidth="1"/>
    <col min="11018" max="11021" width="9.140625" style="354"/>
    <col min="11022" max="11022" width="32.28515625" style="354" customWidth="1"/>
    <col min="11023" max="11264" width="9.140625" style="354"/>
    <col min="11265" max="11265" width="1.140625" style="354" customWidth="1"/>
    <col min="11266" max="11266" width="34.7109375" style="354" customWidth="1"/>
    <col min="11267" max="11269" width="10.42578125" style="354" customWidth="1"/>
    <col min="11270" max="11271" width="9.42578125" style="354" bestFit="1" customWidth="1"/>
    <col min="11272" max="11272" width="10.42578125" style="354" customWidth="1"/>
    <col min="11273" max="11273" width="5.5703125" style="354" customWidth="1"/>
    <col min="11274" max="11277" width="9.140625" style="354"/>
    <col min="11278" max="11278" width="32.28515625" style="354" customWidth="1"/>
    <col min="11279" max="11520" width="9.140625" style="354"/>
    <col min="11521" max="11521" width="1.140625" style="354" customWidth="1"/>
    <col min="11522" max="11522" width="34.7109375" style="354" customWidth="1"/>
    <col min="11523" max="11525" width="10.42578125" style="354" customWidth="1"/>
    <col min="11526" max="11527" width="9.42578125" style="354" bestFit="1" customWidth="1"/>
    <col min="11528" max="11528" width="10.42578125" style="354" customWidth="1"/>
    <col min="11529" max="11529" width="5.5703125" style="354" customWidth="1"/>
    <col min="11530" max="11533" width="9.140625" style="354"/>
    <col min="11534" max="11534" width="32.28515625" style="354" customWidth="1"/>
    <col min="11535" max="11776" width="9.140625" style="354"/>
    <col min="11777" max="11777" width="1.140625" style="354" customWidth="1"/>
    <col min="11778" max="11778" width="34.7109375" style="354" customWidth="1"/>
    <col min="11779" max="11781" width="10.42578125" style="354" customWidth="1"/>
    <col min="11782" max="11783" width="9.42578125" style="354" bestFit="1" customWidth="1"/>
    <col min="11784" max="11784" width="10.42578125" style="354" customWidth="1"/>
    <col min="11785" max="11785" width="5.5703125" style="354" customWidth="1"/>
    <col min="11786" max="11789" width="9.140625" style="354"/>
    <col min="11790" max="11790" width="32.28515625" style="354" customWidth="1"/>
    <col min="11791" max="12032" width="9.140625" style="354"/>
    <col min="12033" max="12033" width="1.140625" style="354" customWidth="1"/>
    <col min="12034" max="12034" width="34.7109375" style="354" customWidth="1"/>
    <col min="12035" max="12037" width="10.42578125" style="354" customWidth="1"/>
    <col min="12038" max="12039" width="9.42578125" style="354" bestFit="1" customWidth="1"/>
    <col min="12040" max="12040" width="10.42578125" style="354" customWidth="1"/>
    <col min="12041" max="12041" width="5.5703125" style="354" customWidth="1"/>
    <col min="12042" max="12045" width="9.140625" style="354"/>
    <col min="12046" max="12046" width="32.28515625" style="354" customWidth="1"/>
    <col min="12047" max="12288" width="9.140625" style="354"/>
    <col min="12289" max="12289" width="1.140625" style="354" customWidth="1"/>
    <col min="12290" max="12290" width="34.7109375" style="354" customWidth="1"/>
    <col min="12291" max="12293" width="10.42578125" style="354" customWidth="1"/>
    <col min="12294" max="12295" width="9.42578125" style="354" bestFit="1" customWidth="1"/>
    <col min="12296" max="12296" width="10.42578125" style="354" customWidth="1"/>
    <col min="12297" max="12297" width="5.5703125" style="354" customWidth="1"/>
    <col min="12298" max="12301" width="9.140625" style="354"/>
    <col min="12302" max="12302" width="32.28515625" style="354" customWidth="1"/>
    <col min="12303" max="12544" width="9.140625" style="354"/>
    <col min="12545" max="12545" width="1.140625" style="354" customWidth="1"/>
    <col min="12546" max="12546" width="34.7109375" style="354" customWidth="1"/>
    <col min="12547" max="12549" width="10.42578125" style="354" customWidth="1"/>
    <col min="12550" max="12551" width="9.42578125" style="354" bestFit="1" customWidth="1"/>
    <col min="12552" max="12552" width="10.42578125" style="354" customWidth="1"/>
    <col min="12553" max="12553" width="5.5703125" style="354" customWidth="1"/>
    <col min="12554" max="12557" width="9.140625" style="354"/>
    <col min="12558" max="12558" width="32.28515625" style="354" customWidth="1"/>
    <col min="12559" max="12800" width="9.140625" style="354"/>
    <col min="12801" max="12801" width="1.140625" style="354" customWidth="1"/>
    <col min="12802" max="12802" width="34.7109375" style="354" customWidth="1"/>
    <col min="12803" max="12805" width="10.42578125" style="354" customWidth="1"/>
    <col min="12806" max="12807" width="9.42578125" style="354" bestFit="1" customWidth="1"/>
    <col min="12808" max="12808" width="10.42578125" style="354" customWidth="1"/>
    <col min="12809" max="12809" width="5.5703125" style="354" customWidth="1"/>
    <col min="12810" max="12813" width="9.140625" style="354"/>
    <col min="12814" max="12814" width="32.28515625" style="354" customWidth="1"/>
    <col min="12815" max="13056" width="9.140625" style="354"/>
    <col min="13057" max="13057" width="1.140625" style="354" customWidth="1"/>
    <col min="13058" max="13058" width="34.7109375" style="354" customWidth="1"/>
    <col min="13059" max="13061" width="10.42578125" style="354" customWidth="1"/>
    <col min="13062" max="13063" width="9.42578125" style="354" bestFit="1" customWidth="1"/>
    <col min="13064" max="13064" width="10.42578125" style="354" customWidth="1"/>
    <col min="13065" max="13065" width="5.5703125" style="354" customWidth="1"/>
    <col min="13066" max="13069" width="9.140625" style="354"/>
    <col min="13070" max="13070" width="32.28515625" style="354" customWidth="1"/>
    <col min="13071" max="13312" width="9.140625" style="354"/>
    <col min="13313" max="13313" width="1.140625" style="354" customWidth="1"/>
    <col min="13314" max="13314" width="34.7109375" style="354" customWidth="1"/>
    <col min="13315" max="13317" width="10.42578125" style="354" customWidth="1"/>
    <col min="13318" max="13319" width="9.42578125" style="354" bestFit="1" customWidth="1"/>
    <col min="13320" max="13320" width="10.42578125" style="354" customWidth="1"/>
    <col min="13321" max="13321" width="5.5703125" style="354" customWidth="1"/>
    <col min="13322" max="13325" width="9.140625" style="354"/>
    <col min="13326" max="13326" width="32.28515625" style="354" customWidth="1"/>
    <col min="13327" max="13568" width="9.140625" style="354"/>
    <col min="13569" max="13569" width="1.140625" style="354" customWidth="1"/>
    <col min="13570" max="13570" width="34.7109375" style="354" customWidth="1"/>
    <col min="13571" max="13573" width="10.42578125" style="354" customWidth="1"/>
    <col min="13574" max="13575" width="9.42578125" style="354" bestFit="1" customWidth="1"/>
    <col min="13576" max="13576" width="10.42578125" style="354" customWidth="1"/>
    <col min="13577" max="13577" width="5.5703125" style="354" customWidth="1"/>
    <col min="13578" max="13581" width="9.140625" style="354"/>
    <col min="13582" max="13582" width="32.28515625" style="354" customWidth="1"/>
    <col min="13583" max="13824" width="9.140625" style="354"/>
    <col min="13825" max="13825" width="1.140625" style="354" customWidth="1"/>
    <col min="13826" max="13826" width="34.7109375" style="354" customWidth="1"/>
    <col min="13827" max="13829" width="10.42578125" style="354" customWidth="1"/>
    <col min="13830" max="13831" width="9.42578125" style="354" bestFit="1" customWidth="1"/>
    <col min="13832" max="13832" width="10.42578125" style="354" customWidth="1"/>
    <col min="13833" max="13833" width="5.5703125" style="354" customWidth="1"/>
    <col min="13834" max="13837" width="9.140625" style="354"/>
    <col min="13838" max="13838" width="32.28515625" style="354" customWidth="1"/>
    <col min="13839" max="14080" width="9.140625" style="354"/>
    <col min="14081" max="14081" width="1.140625" style="354" customWidth="1"/>
    <col min="14082" max="14082" width="34.7109375" style="354" customWidth="1"/>
    <col min="14083" max="14085" width="10.42578125" style="354" customWidth="1"/>
    <col min="14086" max="14087" width="9.42578125" style="354" bestFit="1" customWidth="1"/>
    <col min="14088" max="14088" width="10.42578125" style="354" customWidth="1"/>
    <col min="14089" max="14089" width="5.5703125" style="354" customWidth="1"/>
    <col min="14090" max="14093" width="9.140625" style="354"/>
    <col min="14094" max="14094" width="32.28515625" style="354" customWidth="1"/>
    <col min="14095" max="14336" width="9.140625" style="354"/>
    <col min="14337" max="14337" width="1.140625" style="354" customWidth="1"/>
    <col min="14338" max="14338" width="34.7109375" style="354" customWidth="1"/>
    <col min="14339" max="14341" width="10.42578125" style="354" customWidth="1"/>
    <col min="14342" max="14343" width="9.42578125" style="354" bestFit="1" customWidth="1"/>
    <col min="14344" max="14344" width="10.42578125" style="354" customWidth="1"/>
    <col min="14345" max="14345" width="5.5703125" style="354" customWidth="1"/>
    <col min="14346" max="14349" width="9.140625" style="354"/>
    <col min="14350" max="14350" width="32.28515625" style="354" customWidth="1"/>
    <col min="14351" max="14592" width="9.140625" style="354"/>
    <col min="14593" max="14593" width="1.140625" style="354" customWidth="1"/>
    <col min="14594" max="14594" width="34.7109375" style="354" customWidth="1"/>
    <col min="14595" max="14597" width="10.42578125" style="354" customWidth="1"/>
    <col min="14598" max="14599" width="9.42578125" style="354" bestFit="1" customWidth="1"/>
    <col min="14600" max="14600" width="10.42578125" style="354" customWidth="1"/>
    <col min="14601" max="14601" width="5.5703125" style="354" customWidth="1"/>
    <col min="14602" max="14605" width="9.140625" style="354"/>
    <col min="14606" max="14606" width="32.28515625" style="354" customWidth="1"/>
    <col min="14607" max="14848" width="9.140625" style="354"/>
    <col min="14849" max="14849" width="1.140625" style="354" customWidth="1"/>
    <col min="14850" max="14850" width="34.7109375" style="354" customWidth="1"/>
    <col min="14851" max="14853" width="10.42578125" style="354" customWidth="1"/>
    <col min="14854" max="14855" width="9.42578125" style="354" bestFit="1" customWidth="1"/>
    <col min="14856" max="14856" width="10.42578125" style="354" customWidth="1"/>
    <col min="14857" max="14857" width="5.5703125" style="354" customWidth="1"/>
    <col min="14858" max="14861" width="9.140625" style="354"/>
    <col min="14862" max="14862" width="32.28515625" style="354" customWidth="1"/>
    <col min="14863" max="15104" width="9.140625" style="354"/>
    <col min="15105" max="15105" width="1.140625" style="354" customWidth="1"/>
    <col min="15106" max="15106" width="34.7109375" style="354" customWidth="1"/>
    <col min="15107" max="15109" width="10.42578125" style="354" customWidth="1"/>
    <col min="15110" max="15111" width="9.42578125" style="354" bestFit="1" customWidth="1"/>
    <col min="15112" max="15112" width="10.42578125" style="354" customWidth="1"/>
    <col min="15113" max="15113" width="5.5703125" style="354" customWidth="1"/>
    <col min="15114" max="15117" width="9.140625" style="354"/>
    <col min="15118" max="15118" width="32.28515625" style="354" customWidth="1"/>
    <col min="15119" max="15360" width="9.140625" style="354"/>
    <col min="15361" max="15361" width="1.140625" style="354" customWidth="1"/>
    <col min="15362" max="15362" width="34.7109375" style="354" customWidth="1"/>
    <col min="15363" max="15365" width="10.42578125" style="354" customWidth="1"/>
    <col min="15366" max="15367" width="9.42578125" style="354" bestFit="1" customWidth="1"/>
    <col min="15368" max="15368" width="10.42578125" style="354" customWidth="1"/>
    <col min="15369" max="15369" width="5.5703125" style="354" customWidth="1"/>
    <col min="15370" max="15373" width="9.140625" style="354"/>
    <col min="15374" max="15374" width="32.28515625" style="354" customWidth="1"/>
    <col min="15375" max="15616" width="9.140625" style="354"/>
    <col min="15617" max="15617" width="1.140625" style="354" customWidth="1"/>
    <col min="15618" max="15618" width="34.7109375" style="354" customWidth="1"/>
    <col min="15619" max="15621" width="10.42578125" style="354" customWidth="1"/>
    <col min="15622" max="15623" width="9.42578125" style="354" bestFit="1" customWidth="1"/>
    <col min="15624" max="15624" width="10.42578125" style="354" customWidth="1"/>
    <col min="15625" max="15625" width="5.5703125" style="354" customWidth="1"/>
    <col min="15626" max="15629" width="9.140625" style="354"/>
    <col min="15630" max="15630" width="32.28515625" style="354" customWidth="1"/>
    <col min="15631" max="15872" width="9.140625" style="354"/>
    <col min="15873" max="15873" width="1.140625" style="354" customWidth="1"/>
    <col min="15874" max="15874" width="34.7109375" style="354" customWidth="1"/>
    <col min="15875" max="15877" width="10.42578125" style="354" customWidth="1"/>
    <col min="15878" max="15879" width="9.42578125" style="354" bestFit="1" customWidth="1"/>
    <col min="15880" max="15880" width="10.42578125" style="354" customWidth="1"/>
    <col min="15881" max="15881" width="5.5703125" style="354" customWidth="1"/>
    <col min="15882" max="15885" width="9.140625" style="354"/>
    <col min="15886" max="15886" width="32.28515625" style="354" customWidth="1"/>
    <col min="15887" max="16128" width="9.140625" style="354"/>
    <col min="16129" max="16129" width="1.140625" style="354" customWidth="1"/>
    <col min="16130" max="16130" width="34.7109375" style="354" customWidth="1"/>
    <col min="16131" max="16133" width="10.42578125" style="354" customWidth="1"/>
    <col min="16134" max="16135" width="9.42578125" style="354" bestFit="1" customWidth="1"/>
    <col min="16136" max="16136" width="10.42578125" style="354" customWidth="1"/>
    <col min="16137" max="16137" width="5.5703125" style="354" customWidth="1"/>
    <col min="16138" max="16141" width="9.140625" style="354"/>
    <col min="16142" max="16142" width="32.28515625" style="354" customWidth="1"/>
    <col min="16143" max="16384" width="9.140625" style="354"/>
  </cols>
  <sheetData>
    <row r="1" spans="2:14" ht="24.95" customHeight="1" x14ac:dyDescent="0.2">
      <c r="B1" s="500" t="s">
        <v>414</v>
      </c>
      <c r="C1" s="500"/>
      <c r="D1" s="500"/>
      <c r="E1" s="500"/>
      <c r="F1" s="500"/>
      <c r="G1" s="500"/>
      <c r="H1" s="500"/>
      <c r="I1" s="500"/>
      <c r="J1" s="500"/>
      <c r="K1" s="500"/>
      <c r="L1" s="500"/>
      <c r="M1" s="500"/>
      <c r="N1" s="500"/>
    </row>
    <row r="3" spans="2:14" ht="15.75" thickBot="1" x14ac:dyDescent="0.25">
      <c r="B3" s="501" t="s">
        <v>415</v>
      </c>
      <c r="C3" s="501"/>
      <c r="D3" s="501"/>
      <c r="E3" s="501"/>
      <c r="F3" s="501"/>
      <c r="G3" s="501"/>
      <c r="H3" s="501"/>
      <c r="I3" s="501"/>
      <c r="J3" s="501"/>
      <c r="K3" s="501"/>
      <c r="L3" s="501"/>
      <c r="M3" s="501"/>
      <c r="N3" s="501"/>
    </row>
    <row r="4" spans="2:14" ht="12.75" thickTop="1" x14ac:dyDescent="0.2"/>
    <row r="5" spans="2:14" ht="84.2" customHeight="1" x14ac:dyDescent="0.2">
      <c r="B5" s="502" t="s">
        <v>416</v>
      </c>
      <c r="C5" s="502"/>
      <c r="D5" s="502"/>
      <c r="E5" s="502"/>
      <c r="F5" s="502"/>
      <c r="G5" s="502"/>
      <c r="H5" s="502"/>
      <c r="I5" s="502"/>
      <c r="J5" s="502"/>
      <c r="K5" s="502"/>
      <c r="L5" s="502"/>
      <c r="M5" s="502"/>
      <c r="N5" s="502"/>
    </row>
    <row r="6" spans="2:14" ht="82.5" customHeight="1" x14ac:dyDescent="0.2">
      <c r="B6" s="502" t="s">
        <v>417</v>
      </c>
      <c r="C6" s="502"/>
      <c r="D6" s="502"/>
      <c r="E6" s="502"/>
      <c r="F6" s="502"/>
      <c r="G6" s="502"/>
      <c r="H6" s="502"/>
      <c r="I6" s="502"/>
      <c r="J6" s="502"/>
      <c r="K6" s="502"/>
      <c r="L6" s="502"/>
      <c r="M6" s="502"/>
      <c r="N6" s="502"/>
    </row>
    <row r="8" spans="2:14" ht="15.75" thickBot="1" x14ac:dyDescent="0.25">
      <c r="B8" s="501" t="s">
        <v>418</v>
      </c>
      <c r="C8" s="501"/>
      <c r="D8" s="501"/>
      <c r="E8" s="501"/>
      <c r="F8" s="501"/>
      <c r="G8" s="501"/>
      <c r="H8" s="501"/>
      <c r="I8" s="501"/>
      <c r="J8" s="501"/>
      <c r="K8" s="501"/>
      <c r="L8" s="501"/>
      <c r="M8" s="501"/>
      <c r="N8" s="501"/>
    </row>
    <row r="9" spans="2:14" ht="12.75" thickTop="1" x14ac:dyDescent="0.2"/>
    <row r="10" spans="2:14" x14ac:dyDescent="0.2">
      <c r="B10" s="399"/>
      <c r="C10" s="497" t="s">
        <v>419</v>
      </c>
      <c r="D10" s="498"/>
      <c r="E10" s="499"/>
      <c r="F10" s="497" t="s">
        <v>420</v>
      </c>
      <c r="G10" s="498"/>
      <c r="H10" s="499"/>
    </row>
    <row r="11" spans="2:14" ht="38.25" customHeight="1" x14ac:dyDescent="0.2">
      <c r="B11" s="400" t="s">
        <v>421</v>
      </c>
      <c r="C11" s="401" t="s">
        <v>422</v>
      </c>
      <c r="D11" s="402" t="s">
        <v>423</v>
      </c>
      <c r="E11" s="403" t="s">
        <v>424</v>
      </c>
      <c r="F11" s="401" t="s">
        <v>425</v>
      </c>
      <c r="G11" s="402" t="s">
        <v>426</v>
      </c>
      <c r="H11" s="403" t="s">
        <v>427</v>
      </c>
    </row>
    <row r="12" spans="2:14" x14ac:dyDescent="0.2">
      <c r="B12" s="404" t="s">
        <v>432</v>
      </c>
      <c r="C12" s="405">
        <v>145901021.59988979</v>
      </c>
      <c r="D12" s="406">
        <v>147973125.63046771</v>
      </c>
      <c r="E12" s="407">
        <v>2072104.0305779278</v>
      </c>
      <c r="F12" s="482">
        <v>7.6999999999999999E-2</v>
      </c>
      <c r="G12" s="483">
        <v>9.3500000000000014E-2</v>
      </c>
      <c r="H12" s="484">
        <v>8.5000000000000006E-2</v>
      </c>
    </row>
    <row r="13" spans="2:14" x14ac:dyDescent="0.2">
      <c r="B13" s="411" t="s">
        <v>433</v>
      </c>
      <c r="C13" s="412">
        <v>146180702.02477804</v>
      </c>
      <c r="D13" s="413">
        <v>148096013.15746635</v>
      </c>
      <c r="E13" s="414">
        <v>1915311.1326883137</v>
      </c>
      <c r="F13" s="479">
        <v>14.9</v>
      </c>
      <c r="G13" s="480">
        <v>18.2</v>
      </c>
      <c r="H13" s="481">
        <v>16.5</v>
      </c>
    </row>
    <row r="14" spans="2:14" x14ac:dyDescent="0.2">
      <c r="B14" s="411" t="s">
        <v>434</v>
      </c>
      <c r="C14" s="412">
        <v>146937073.61517867</v>
      </c>
      <c r="D14" s="413">
        <v>146937073.61517864</v>
      </c>
      <c r="E14" s="486">
        <v>0</v>
      </c>
      <c r="F14" s="418">
        <v>30.667448040399361</v>
      </c>
      <c r="G14" s="419">
        <v>37.482436493821446</v>
      </c>
      <c r="H14" s="420">
        <v>34.074942267110401</v>
      </c>
    </row>
    <row r="15" spans="2:14" x14ac:dyDescent="0.2">
      <c r="B15" s="421" t="s">
        <v>435</v>
      </c>
      <c r="C15" s="422">
        <v>146937073.61517864</v>
      </c>
      <c r="D15" s="423">
        <v>146937073.61517864</v>
      </c>
      <c r="E15" s="485">
        <v>0</v>
      </c>
      <c r="F15" s="425">
        <v>40.023571390512842</v>
      </c>
      <c r="G15" s="426">
        <v>48.917698366182364</v>
      </c>
      <c r="H15" s="427">
        <v>44.470634878347603</v>
      </c>
    </row>
  </sheetData>
  <mergeCells count="7">
    <mergeCell ref="C10:E10"/>
    <mergeCell ref="F10:H10"/>
    <mergeCell ref="B1:N1"/>
    <mergeCell ref="B3:N3"/>
    <mergeCell ref="B5:N5"/>
    <mergeCell ref="B6:N6"/>
    <mergeCell ref="B8:N8"/>
  </mergeCells>
  <pageMargins left="0.5" right="0.5" top="1" bottom="1" header="0.5" footer="0.5"/>
  <pageSetup scale="57" fitToHeight="10"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AB7F9-7424-4A78-90EA-FFB58CF47DD8}">
  <dimension ref="D1:Z34"/>
  <sheetViews>
    <sheetView showGridLines="0" zoomScaleNormal="100" workbookViewId="0">
      <pane xSplit="6" ySplit="2" topLeftCell="K21" activePane="bottomRight" state="frozen"/>
      <selection pane="topRight" activeCell="G1" sqref="G1"/>
      <selection pane="bottomLeft" activeCell="A3" sqref="A3"/>
      <selection pane="bottomRight" activeCell="K34" sqref="K34"/>
    </sheetView>
  </sheetViews>
  <sheetFormatPr baseColWidth="10" defaultColWidth="11.42578125" defaultRowHeight="12.75" outlineLevelCol="1" x14ac:dyDescent="0.25"/>
  <cols>
    <col min="1" max="3" width="1.42578125" style="1" customWidth="1"/>
    <col min="4" max="4" width="7.7109375" style="1" customWidth="1"/>
    <col min="5" max="5" width="27.85546875" style="1" customWidth="1"/>
    <col min="6" max="6" width="5.5703125" style="1" hidden="1" customWidth="1"/>
    <col min="7" max="10" width="12.5703125" style="1" hidden="1" customWidth="1" outlineLevel="1"/>
    <col min="11" max="11" width="12.5703125" style="1" customWidth="1" collapsed="1"/>
    <col min="12" max="13" width="12.5703125" style="1" customWidth="1"/>
    <col min="14" max="15" width="11.7109375" style="1" customWidth="1"/>
    <col min="16" max="20" width="12.5703125" style="1" bestFit="1" customWidth="1"/>
    <col min="21" max="26" width="13.42578125" style="1" bestFit="1" customWidth="1"/>
    <col min="27" max="28" width="11.42578125" style="1"/>
    <col min="29" max="29" width="15.85546875" style="1" bestFit="1" customWidth="1"/>
    <col min="30" max="30" width="14.42578125" style="1" bestFit="1" customWidth="1"/>
    <col min="31" max="16384" width="11.42578125" style="1"/>
  </cols>
  <sheetData>
    <row r="1" spans="4:26" x14ac:dyDescent="0.25">
      <c r="G1" s="123" t="s">
        <v>5</v>
      </c>
      <c r="H1" s="123" t="s">
        <v>6</v>
      </c>
      <c r="I1" s="123" t="s">
        <v>7</v>
      </c>
      <c r="J1" s="123" t="s">
        <v>8</v>
      </c>
      <c r="K1" s="123" t="s">
        <v>9</v>
      </c>
      <c r="L1" s="123" t="s">
        <v>10</v>
      </c>
      <c r="M1" s="123" t="s">
        <v>11</v>
      </c>
      <c r="N1" s="123" t="s">
        <v>316</v>
      </c>
      <c r="O1" s="123" t="s">
        <v>330</v>
      </c>
      <c r="P1" s="123" t="s">
        <v>331</v>
      </c>
      <c r="Q1" s="123" t="s">
        <v>12</v>
      </c>
      <c r="R1" s="123" t="s">
        <v>13</v>
      </c>
      <c r="S1" s="123" t="s">
        <v>14</v>
      </c>
      <c r="T1" s="123" t="s">
        <v>15</v>
      </c>
      <c r="U1" s="123" t="s">
        <v>16</v>
      </c>
      <c r="V1" s="123" t="s">
        <v>17</v>
      </c>
      <c r="W1" s="123" t="s">
        <v>18</v>
      </c>
      <c r="X1" s="123" t="s">
        <v>19</v>
      </c>
      <c r="Y1" s="123" t="s">
        <v>318</v>
      </c>
      <c r="Z1" s="123" t="s">
        <v>332</v>
      </c>
    </row>
    <row r="2" spans="4:26" x14ac:dyDescent="0.25">
      <c r="E2" s="121" t="s">
        <v>353</v>
      </c>
      <c r="F2" s="122"/>
      <c r="G2" s="123">
        <v>2015</v>
      </c>
      <c r="H2" s="123">
        <v>2016</v>
      </c>
      <c r="I2" s="123">
        <v>2017</v>
      </c>
      <c r="J2" s="123">
        <v>2018</v>
      </c>
      <c r="K2" s="123">
        <v>2019</v>
      </c>
      <c r="L2" s="123">
        <v>2020</v>
      </c>
      <c r="M2" s="123">
        <v>2021</v>
      </c>
      <c r="N2" s="123">
        <v>2022</v>
      </c>
      <c r="O2" s="123">
        <v>2023</v>
      </c>
      <c r="P2" s="123">
        <v>2024</v>
      </c>
      <c r="Q2" s="123">
        <v>2025</v>
      </c>
      <c r="R2" s="123">
        <v>2026</v>
      </c>
      <c r="S2" s="123">
        <v>2027</v>
      </c>
      <c r="T2" s="123">
        <v>2028</v>
      </c>
      <c r="U2" s="123">
        <v>2029</v>
      </c>
      <c r="V2" s="123">
        <v>2030</v>
      </c>
      <c r="W2" s="123">
        <v>2031</v>
      </c>
      <c r="X2" s="123">
        <v>2032</v>
      </c>
      <c r="Y2" s="123">
        <v>2033</v>
      </c>
      <c r="Z2" s="123">
        <v>2034</v>
      </c>
    </row>
    <row r="3" spans="4:26" x14ac:dyDescent="0.25">
      <c r="D3" s="13"/>
      <c r="J3" s="109"/>
      <c r="K3" s="110"/>
      <c r="L3" s="110"/>
    </row>
    <row r="4" spans="4:26" x14ac:dyDescent="0.25">
      <c r="D4" s="13"/>
      <c r="E4" s="25" t="s">
        <v>354</v>
      </c>
      <c r="F4" s="25"/>
      <c r="G4" s="25"/>
      <c r="H4" s="25"/>
      <c r="I4" s="25"/>
      <c r="J4" s="318"/>
      <c r="K4" s="319"/>
      <c r="L4" s="319"/>
    </row>
    <row r="5" spans="4:26" x14ac:dyDescent="0.25">
      <c r="D5" s="13"/>
      <c r="E5" s="314" t="s">
        <v>355</v>
      </c>
      <c r="F5" s="314"/>
      <c r="G5" s="314"/>
      <c r="H5" s="314"/>
      <c r="I5" s="314"/>
      <c r="J5" s="315"/>
      <c r="K5" s="316"/>
      <c r="L5" s="316"/>
    </row>
    <row r="6" spans="4:26" x14ac:dyDescent="0.25">
      <c r="D6" s="13"/>
      <c r="E6" s="314" t="s">
        <v>356</v>
      </c>
      <c r="F6" s="314"/>
      <c r="G6" s="314"/>
      <c r="H6" s="314"/>
      <c r="I6" s="314"/>
      <c r="J6" s="315"/>
      <c r="K6" s="316"/>
      <c r="L6" s="316"/>
    </row>
    <row r="7" spans="4:26" x14ac:dyDescent="0.25">
      <c r="D7" s="13"/>
      <c r="E7" s="314" t="s">
        <v>357</v>
      </c>
      <c r="F7" s="314"/>
      <c r="G7" s="314"/>
      <c r="H7" s="314"/>
      <c r="I7" s="314"/>
      <c r="J7" s="315"/>
      <c r="K7" s="316"/>
      <c r="L7" s="316"/>
    </row>
    <row r="8" spans="4:26" x14ac:dyDescent="0.25">
      <c r="D8" s="13"/>
      <c r="E8" s="314" t="s">
        <v>358</v>
      </c>
      <c r="F8" s="314"/>
      <c r="G8" s="314"/>
      <c r="H8" s="314"/>
      <c r="I8" s="314"/>
      <c r="J8" s="315"/>
      <c r="K8" s="316"/>
      <c r="L8" s="316"/>
    </row>
    <row r="9" spans="4:26" x14ac:dyDescent="0.25">
      <c r="D9" s="13"/>
      <c r="E9" s="314" t="s">
        <v>359</v>
      </c>
      <c r="F9" s="314"/>
      <c r="G9" s="314"/>
      <c r="H9" s="314"/>
      <c r="I9" s="314"/>
      <c r="J9" s="315"/>
      <c r="K9" s="316"/>
      <c r="L9" s="316"/>
    </row>
    <row r="10" spans="4:26" x14ac:dyDescent="0.25">
      <c r="D10" s="13"/>
      <c r="J10" s="109"/>
      <c r="K10" s="110"/>
      <c r="L10" s="110"/>
    </row>
    <row r="11" spans="4:26" x14ac:dyDescent="0.25">
      <c r="D11" s="13"/>
      <c r="J11" s="109"/>
      <c r="K11" s="110"/>
      <c r="L11" s="110"/>
    </row>
    <row r="12" spans="4:26" x14ac:dyDescent="0.25">
      <c r="E12" s="70" t="s">
        <v>360</v>
      </c>
      <c r="F12" s="71"/>
      <c r="G12" s="72">
        <f>G$2</f>
        <v>2015</v>
      </c>
      <c r="H12" s="72">
        <f t="shared" ref="H12:Z12" si="0">H$2</f>
        <v>2016</v>
      </c>
      <c r="I12" s="72">
        <f t="shared" si="0"/>
        <v>2017</v>
      </c>
      <c r="J12" s="72">
        <f t="shared" si="0"/>
        <v>2018</v>
      </c>
      <c r="K12" s="72">
        <f t="shared" si="0"/>
        <v>2019</v>
      </c>
      <c r="L12" s="72">
        <f t="shared" si="0"/>
        <v>2020</v>
      </c>
      <c r="M12" s="72">
        <f t="shared" si="0"/>
        <v>2021</v>
      </c>
      <c r="N12" s="72">
        <f t="shared" si="0"/>
        <v>2022</v>
      </c>
      <c r="O12" s="72">
        <f t="shared" si="0"/>
        <v>2023</v>
      </c>
      <c r="P12" s="72">
        <f t="shared" si="0"/>
        <v>2024</v>
      </c>
      <c r="Q12" s="72">
        <f t="shared" si="0"/>
        <v>2025</v>
      </c>
      <c r="R12" s="72">
        <f t="shared" si="0"/>
        <v>2026</v>
      </c>
      <c r="S12" s="72">
        <f t="shared" si="0"/>
        <v>2027</v>
      </c>
      <c r="T12" s="72">
        <f t="shared" si="0"/>
        <v>2028</v>
      </c>
      <c r="U12" s="73">
        <f t="shared" si="0"/>
        <v>2029</v>
      </c>
      <c r="V12" s="72">
        <f t="shared" si="0"/>
        <v>2030</v>
      </c>
      <c r="W12" s="72">
        <f t="shared" si="0"/>
        <v>2031</v>
      </c>
      <c r="X12" s="72">
        <f t="shared" si="0"/>
        <v>2032</v>
      </c>
      <c r="Y12" s="72">
        <f t="shared" si="0"/>
        <v>2033</v>
      </c>
      <c r="Z12" s="73">
        <f t="shared" si="0"/>
        <v>2034</v>
      </c>
    </row>
    <row r="13" spans="4:26" x14ac:dyDescent="0.25">
      <c r="E13" s="74"/>
      <c r="P13" s="302"/>
      <c r="U13" s="75"/>
      <c r="Z13" s="75"/>
    </row>
    <row r="14" spans="4:26" x14ac:dyDescent="0.25">
      <c r="D14" s="309"/>
      <c r="E14" s="76" t="s">
        <v>362</v>
      </c>
      <c r="K14" s="311">
        <f>+EEFF!K78</f>
        <v>-10394773</v>
      </c>
      <c r="L14" s="311">
        <f>+EEFF!L78</f>
        <v>-10278370</v>
      </c>
      <c r="M14" s="311">
        <f>+EEFF!M78</f>
        <v>7306828</v>
      </c>
      <c r="N14" s="311">
        <f>+EEFF!N78</f>
        <v>-1937793.0000000075</v>
      </c>
      <c r="O14" s="311">
        <f>+EEFF!O78</f>
        <v>11173889.000000007</v>
      </c>
      <c r="P14" s="311">
        <f>+EEFF!P78</f>
        <v>20685041.559705459</v>
      </c>
      <c r="Q14" s="311">
        <f>+EEFF!Q78</f>
        <v>-3205977.0166778006</v>
      </c>
      <c r="R14" s="311">
        <f>+EEFF!R78</f>
        <v>515714.83037537709</v>
      </c>
      <c r="S14" s="311">
        <f>+EEFF!S78</f>
        <v>-227251.69608621299</v>
      </c>
      <c r="T14" s="311">
        <f>+EEFF!T78</f>
        <v>314460.0940454267</v>
      </c>
      <c r="U14" s="321">
        <f>+EEFF!U78</f>
        <v>223278.11402839422</v>
      </c>
      <c r="V14" s="311">
        <f>+EEFF!V78</f>
        <v>157397.40949453413</v>
      </c>
      <c r="W14" s="311">
        <f>+EEFF!W78</f>
        <v>-11480.742977660149</v>
      </c>
      <c r="X14" s="311">
        <f>+EEFF!X78</f>
        <v>-86818.19903928414</v>
      </c>
      <c r="Y14" s="311">
        <f>+EEFF!Y78</f>
        <v>-115158.75015095621</v>
      </c>
      <c r="Z14" s="321">
        <f>+EEFF!Z78</f>
        <v>-176683.1385390088</v>
      </c>
    </row>
    <row r="15" spans="4:26" x14ac:dyDescent="0.25">
      <c r="D15" s="310"/>
      <c r="E15" s="76" t="s">
        <v>363</v>
      </c>
      <c r="K15" s="322">
        <f>+EEFF!K111</f>
        <v>483192316.41666663</v>
      </c>
      <c r="L15" s="322">
        <f>+EEFF!L111</f>
        <v>507044366</v>
      </c>
      <c r="M15" s="322">
        <f>+EEFF!M111</f>
        <v>520950888</v>
      </c>
      <c r="N15" s="322">
        <f>+EEFF!N111</f>
        <v>562522631</v>
      </c>
      <c r="O15" s="322">
        <f>+EEFF!O111</f>
        <v>595948210</v>
      </c>
      <c r="P15" s="322">
        <f>+EEFF!P111</f>
        <v>636654720.54869604</v>
      </c>
      <c r="Q15" s="322">
        <f ca="1">+EEFF!Q111</f>
        <v>678242519.09604788</v>
      </c>
      <c r="R15" s="322">
        <f ca="1">+EEFF!R111</f>
        <v>717854658.60614872</v>
      </c>
      <c r="S15" s="322">
        <f ca="1">+EEFF!S111</f>
        <v>760035682.42083597</v>
      </c>
      <c r="T15" s="322">
        <f ca="1">+EEFF!T111</f>
        <v>804072226.61749327</v>
      </c>
      <c r="U15" s="323">
        <f ca="1">+EEFF!U111</f>
        <v>849307544.09529054</v>
      </c>
      <c r="V15" s="322">
        <f ca="1">+EEFF!V111</f>
        <v>896813012.27739823</v>
      </c>
      <c r="W15" s="322">
        <f ca="1">+EEFF!W111</f>
        <v>945472766.26451743</v>
      </c>
      <c r="X15" s="322">
        <f ca="1">+EEFF!X111</f>
        <v>995807686.44042826</v>
      </c>
      <c r="Y15" s="322">
        <f ca="1">+EEFF!Y111</f>
        <v>1048064578.5143026</v>
      </c>
      <c r="Z15" s="323">
        <f ca="1">+EEFF!Z111</f>
        <v>1102039657.9253397</v>
      </c>
    </row>
    <row r="16" spans="4:26" x14ac:dyDescent="0.25">
      <c r="E16" s="320" t="s">
        <v>364</v>
      </c>
      <c r="F16" s="314"/>
      <c r="G16" s="314"/>
      <c r="H16" s="314"/>
      <c r="I16" s="314"/>
      <c r="J16" s="314"/>
      <c r="K16" s="324">
        <f>+K14/K15</f>
        <v>-2.1512703424357384E-2</v>
      </c>
      <c r="L16" s="324">
        <f t="shared" ref="L16:Y16" si="1">+L14/L15</f>
        <v>-2.0271145267000166E-2</v>
      </c>
      <c r="M16" s="324">
        <f t="shared" si="1"/>
        <v>1.4025944034862649E-2</v>
      </c>
      <c r="N16" s="324">
        <f t="shared" si="1"/>
        <v>-3.4448267380019549E-3</v>
      </c>
      <c r="O16" s="324">
        <f t="shared" si="1"/>
        <v>1.874976518513246E-2</v>
      </c>
      <c r="P16" s="324">
        <f t="shared" si="1"/>
        <v>3.2490203703945231E-2</v>
      </c>
      <c r="Q16" s="324">
        <f t="shared" ca="1" si="1"/>
        <v>-4.7268888729516427E-3</v>
      </c>
      <c r="R16" s="324">
        <f t="shared" ca="1" si="1"/>
        <v>7.1841120509928214E-4</v>
      </c>
      <c r="S16" s="324">
        <f t="shared" ca="1" si="1"/>
        <v>-2.9900135130811196E-4</v>
      </c>
      <c r="T16" s="324">
        <f t="shared" ca="1" si="1"/>
        <v>3.9108438724251462E-4</v>
      </c>
      <c r="U16" s="325">
        <f t="shared" ca="1" si="1"/>
        <v>2.628943020472486E-4</v>
      </c>
      <c r="V16" s="324">
        <f t="shared" ca="1" si="1"/>
        <v>1.7550749971260304E-4</v>
      </c>
      <c r="W16" s="324">
        <f t="shared" ca="1" si="1"/>
        <v>-1.2142859516746939E-5</v>
      </c>
      <c r="X16" s="324">
        <f t="shared" ca="1" si="1"/>
        <v>-8.7183700448849498E-5</v>
      </c>
      <c r="Y16" s="324">
        <f t="shared" ca="1" si="1"/>
        <v>-1.0987753284649786E-4</v>
      </c>
      <c r="Z16" s="325">
        <f ca="1">+Z14/Z15</f>
        <v>-1.603237571972919E-4</v>
      </c>
    </row>
    <row r="17" spans="5:26" x14ac:dyDescent="0.25">
      <c r="E17" s="76"/>
      <c r="U17" s="75"/>
      <c r="Z17" s="75"/>
    </row>
    <row r="18" spans="5:26" x14ac:dyDescent="0.25">
      <c r="E18" s="76" t="s">
        <v>365</v>
      </c>
      <c r="K18" s="322">
        <f>+EEFF!K127</f>
        <v>109282566</v>
      </c>
      <c r="L18" s="322">
        <f>+EEFF!L127</f>
        <v>107996379</v>
      </c>
      <c r="M18" s="322">
        <f>+EEFF!M127</f>
        <v>107996378.49663</v>
      </c>
      <c r="N18" s="322">
        <f>+EEFF!N127</f>
        <v>107996379</v>
      </c>
      <c r="O18" s="322">
        <f>+EEFF!O127</f>
        <v>109581276</v>
      </c>
      <c r="P18" s="322">
        <f>+EEFF!P127</f>
        <v>109581276.08463</v>
      </c>
      <c r="Q18" s="322">
        <f>+EEFF!Q127</f>
        <v>140717428.98222706</v>
      </c>
      <c r="R18" s="322">
        <f ca="1">+EEFF!R127</f>
        <v>178631856.48388809</v>
      </c>
      <c r="S18" s="322">
        <f ca="1">+EEFF!S127</f>
        <v>215416604.09129268</v>
      </c>
      <c r="T18" s="322">
        <f ca="1">+EEFF!T127</f>
        <v>254534187.11091647</v>
      </c>
      <c r="U18" s="323">
        <f ca="1">+EEFF!U127</f>
        <v>294900258.92263401</v>
      </c>
      <c r="V18" s="322">
        <f ca="1">+EEFF!V127</f>
        <v>336409303.87401259</v>
      </c>
      <c r="W18" s="322">
        <f ca="1">+EEFF!W127</f>
        <v>379883221.78712714</v>
      </c>
      <c r="X18" s="322">
        <f ca="1">+EEFF!X127</f>
        <v>424693723.12071627</v>
      </c>
      <c r="Y18" s="322">
        <f ca="1">+EEFF!Y127</f>
        <v>471017767.63201576</v>
      </c>
      <c r="Z18" s="323">
        <f ca="1">+EEFF!Z127</f>
        <v>519054597.18199164</v>
      </c>
    </row>
    <row r="19" spans="5:26" x14ac:dyDescent="0.25">
      <c r="E19" s="76" t="s">
        <v>363</v>
      </c>
      <c r="K19" s="12">
        <f>+K15</f>
        <v>483192316.41666663</v>
      </c>
      <c r="L19" s="12">
        <f t="shared" ref="L19:Z19" si="2">+L15</f>
        <v>507044366</v>
      </c>
      <c r="M19" s="12">
        <f t="shared" si="2"/>
        <v>520950888</v>
      </c>
      <c r="N19" s="12">
        <f t="shared" si="2"/>
        <v>562522631</v>
      </c>
      <c r="O19" s="12">
        <f t="shared" si="2"/>
        <v>595948210</v>
      </c>
      <c r="P19" s="12">
        <f t="shared" si="2"/>
        <v>636654720.54869604</v>
      </c>
      <c r="Q19" s="12">
        <f t="shared" ca="1" si="2"/>
        <v>678242519.09604788</v>
      </c>
      <c r="R19" s="12">
        <f t="shared" ca="1" si="2"/>
        <v>717854658.60614872</v>
      </c>
      <c r="S19" s="12">
        <f t="shared" ca="1" si="2"/>
        <v>760035682.42083597</v>
      </c>
      <c r="T19" s="12">
        <f t="shared" ca="1" si="2"/>
        <v>804072226.61749327</v>
      </c>
      <c r="U19" s="77">
        <f t="shared" ca="1" si="2"/>
        <v>849307544.09529054</v>
      </c>
      <c r="V19" s="12">
        <f t="shared" ca="1" si="2"/>
        <v>896813012.27739823</v>
      </c>
      <c r="W19" s="12">
        <f t="shared" ca="1" si="2"/>
        <v>945472766.26451743</v>
      </c>
      <c r="X19" s="12">
        <f t="shared" ca="1" si="2"/>
        <v>995807686.44042826</v>
      </c>
      <c r="Y19" s="12">
        <f t="shared" ca="1" si="2"/>
        <v>1048064578.5143026</v>
      </c>
      <c r="Z19" s="77">
        <f t="shared" ca="1" si="2"/>
        <v>1102039657.9253397</v>
      </c>
    </row>
    <row r="20" spans="5:26" x14ac:dyDescent="0.25">
      <c r="E20" s="320" t="s">
        <v>366</v>
      </c>
      <c r="F20" s="314"/>
      <c r="G20" s="314"/>
      <c r="H20" s="314"/>
      <c r="I20" s="314"/>
      <c r="J20" s="314"/>
      <c r="K20" s="326">
        <f>+K18/K19</f>
        <v>0.2261678472257895</v>
      </c>
      <c r="L20" s="326">
        <f t="shared" ref="L20:Z20" si="3">+L18/L19</f>
        <v>0.21299197119961688</v>
      </c>
      <c r="M20" s="326">
        <f t="shared" si="3"/>
        <v>0.20730625666316169</v>
      </c>
      <c r="N20" s="326">
        <f t="shared" si="3"/>
        <v>0.19198583852175719</v>
      </c>
      <c r="O20" s="326">
        <f t="shared" si="3"/>
        <v>0.18387717952873792</v>
      </c>
      <c r="P20" s="326">
        <f t="shared" si="3"/>
        <v>0.17212041715513898</v>
      </c>
      <c r="Q20" s="326">
        <f t="shared" ca="1" si="3"/>
        <v>0.20747361750450749</v>
      </c>
      <c r="R20" s="326">
        <f t="shared" ca="1" si="3"/>
        <v>0.24884125824402364</v>
      </c>
      <c r="S20" s="326">
        <f t="shared" ca="1" si="3"/>
        <v>0.28342959294378933</v>
      </c>
      <c r="T20" s="326">
        <f t="shared" ca="1" si="3"/>
        <v>0.31655637228221467</v>
      </c>
      <c r="U20" s="327">
        <f t="shared" ca="1" si="3"/>
        <v>0.34722434879201641</v>
      </c>
      <c r="V20" s="326">
        <f t="shared" ca="1" si="3"/>
        <v>0.37511643928952709</v>
      </c>
      <c r="W20" s="326">
        <f t="shared" ca="1" si="3"/>
        <v>0.40179181816945769</v>
      </c>
      <c r="X20" s="326">
        <f t="shared" ca="1" si="3"/>
        <v>0.42648166800038306</v>
      </c>
      <c r="Y20" s="326">
        <f t="shared" ca="1" si="3"/>
        <v>0.4494167413803003</v>
      </c>
      <c r="Z20" s="327">
        <f t="shared" ca="1" si="3"/>
        <v>0.47099448141380429</v>
      </c>
    </row>
    <row r="21" spans="5:26" x14ac:dyDescent="0.25">
      <c r="E21" s="76"/>
      <c r="U21" s="75"/>
      <c r="Z21" s="75"/>
    </row>
    <row r="22" spans="5:26" x14ac:dyDescent="0.25">
      <c r="E22" s="76" t="s">
        <v>367</v>
      </c>
      <c r="K22" s="322">
        <f>+EEFF!K44</f>
        <v>41789458</v>
      </c>
      <c r="L22" s="322">
        <f>+EEFF!L44</f>
        <v>51676585</v>
      </c>
      <c r="M22" s="322">
        <f>+EEFF!M44</f>
        <v>70331829</v>
      </c>
      <c r="N22" s="322">
        <f>+EEFF!N44</f>
        <v>97501818</v>
      </c>
      <c r="O22" s="322">
        <f>+EEFF!O44</f>
        <v>73926522</v>
      </c>
      <c r="P22" s="322">
        <f>+EEFF!P44</f>
        <v>79833684.217843577</v>
      </c>
      <c r="Q22" s="322">
        <f>+EEFF!Q44</f>
        <v>83832683.000147939</v>
      </c>
      <c r="R22" s="322">
        <f>+EEFF!R44</f>
        <v>82106575.724693596</v>
      </c>
      <c r="S22" s="322">
        <f>+EEFF!S44</f>
        <v>85706756.861572117</v>
      </c>
      <c r="T22" s="322">
        <f>+EEFF!T44</f>
        <v>87638454.756121159</v>
      </c>
      <c r="U22" s="323">
        <f>+EEFF!U44</f>
        <v>89408036.869115502</v>
      </c>
      <c r="V22" s="322">
        <f>+EEFF!V44</f>
        <v>92442232.219856799</v>
      </c>
      <c r="W22" s="322">
        <f>+EEFF!W44</f>
        <v>94509376.559901938</v>
      </c>
      <c r="X22" s="322">
        <f>+EEFF!X44</f>
        <v>96848105.076341808</v>
      </c>
      <c r="Y22" s="322">
        <f>+EEFF!Y44</f>
        <v>99493665.549251392</v>
      </c>
      <c r="Z22" s="323">
        <f>+EEFF!Z44</f>
        <v>101984982.35447386</v>
      </c>
    </row>
    <row r="23" spans="5:26" x14ac:dyDescent="0.25">
      <c r="E23" s="76" t="s">
        <v>363</v>
      </c>
      <c r="K23" s="12">
        <f>+K15</f>
        <v>483192316.41666663</v>
      </c>
      <c r="L23" s="12">
        <f t="shared" ref="L23:Z23" si="4">+L15</f>
        <v>507044366</v>
      </c>
      <c r="M23" s="12">
        <f t="shared" si="4"/>
        <v>520950888</v>
      </c>
      <c r="N23" s="12">
        <f t="shared" si="4"/>
        <v>562522631</v>
      </c>
      <c r="O23" s="12">
        <f t="shared" si="4"/>
        <v>595948210</v>
      </c>
      <c r="P23" s="12">
        <f t="shared" si="4"/>
        <v>636654720.54869604</v>
      </c>
      <c r="Q23" s="12">
        <f t="shared" ca="1" si="4"/>
        <v>678242519.09604788</v>
      </c>
      <c r="R23" s="12">
        <f t="shared" ca="1" si="4"/>
        <v>717854658.60614872</v>
      </c>
      <c r="S23" s="12">
        <f t="shared" ca="1" si="4"/>
        <v>760035682.42083597</v>
      </c>
      <c r="T23" s="12">
        <f t="shared" ca="1" si="4"/>
        <v>804072226.61749327</v>
      </c>
      <c r="U23" s="77">
        <f t="shared" ca="1" si="4"/>
        <v>849307544.09529054</v>
      </c>
      <c r="V23" s="12">
        <f t="shared" ca="1" si="4"/>
        <v>896813012.27739823</v>
      </c>
      <c r="W23" s="12">
        <f t="shared" ca="1" si="4"/>
        <v>945472766.26451743</v>
      </c>
      <c r="X23" s="12">
        <f t="shared" ca="1" si="4"/>
        <v>995807686.44042826</v>
      </c>
      <c r="Y23" s="12">
        <f t="shared" ca="1" si="4"/>
        <v>1048064578.5143026</v>
      </c>
      <c r="Z23" s="77">
        <f t="shared" ca="1" si="4"/>
        <v>1102039657.9253397</v>
      </c>
    </row>
    <row r="24" spans="5:26" x14ac:dyDescent="0.25">
      <c r="E24" s="320" t="s">
        <v>368</v>
      </c>
      <c r="K24" s="326">
        <f>+K22/K23</f>
        <v>8.6486180719736641E-2</v>
      </c>
      <c r="L24" s="326">
        <f t="shared" ref="L24:Z24" si="5">+L22/L23</f>
        <v>0.10191728468983718</v>
      </c>
      <c r="M24" s="326">
        <f t="shared" si="5"/>
        <v>0.13500664001171642</v>
      </c>
      <c r="N24" s="326">
        <f t="shared" si="5"/>
        <v>0.17332959178312596</v>
      </c>
      <c r="O24" s="326">
        <f t="shared" si="5"/>
        <v>0.12404856791163112</v>
      </c>
      <c r="P24" s="326">
        <f t="shared" si="5"/>
        <v>0.12539557414895081</v>
      </c>
      <c r="Q24" s="326">
        <f t="shared" ca="1" si="5"/>
        <v>0.12360281262206764</v>
      </c>
      <c r="R24" s="326">
        <f t="shared" ca="1" si="5"/>
        <v>0.11437771523851238</v>
      </c>
      <c r="S24" s="326">
        <f t="shared" ca="1" si="5"/>
        <v>0.11276675404052386</v>
      </c>
      <c r="T24" s="326">
        <f t="shared" ca="1" si="5"/>
        <v>0.10899326186752104</v>
      </c>
      <c r="U24" s="327">
        <f t="shared" ca="1" si="5"/>
        <v>0.10527168572882016</v>
      </c>
      <c r="V24" s="326">
        <f t="shared" ca="1" si="5"/>
        <v>0.10307860273470583</v>
      </c>
      <c r="W24" s="326">
        <f t="shared" ca="1" si="5"/>
        <v>9.9959914163683911E-2</v>
      </c>
      <c r="X24" s="326">
        <f t="shared" ca="1" si="5"/>
        <v>9.7255832019665284E-2</v>
      </c>
      <c r="Y24" s="326">
        <f t="shared" ca="1" si="5"/>
        <v>9.4930854060815528E-2</v>
      </c>
      <c r="Z24" s="327">
        <f t="shared" ca="1" si="5"/>
        <v>9.2542025707556777E-2</v>
      </c>
    </row>
    <row r="25" spans="5:26" x14ac:dyDescent="0.25">
      <c r="E25" s="76"/>
      <c r="U25" s="75"/>
      <c r="Z25" s="75"/>
    </row>
    <row r="26" spans="5:26" x14ac:dyDescent="0.25">
      <c r="E26" s="76" t="s">
        <v>369</v>
      </c>
      <c r="K26" s="322">
        <f>+EEFF!K128</f>
        <v>211058574</v>
      </c>
      <c r="L26" s="322">
        <f>+EEFF!L128</f>
        <v>227347894</v>
      </c>
      <c r="M26" s="322">
        <f>+EEFF!M128</f>
        <v>247557374</v>
      </c>
      <c r="N26" s="322">
        <f>+EEFF!N128</f>
        <v>230577068</v>
      </c>
      <c r="O26" s="322">
        <f>+EEFF!O128</f>
        <v>262882809</v>
      </c>
      <c r="P26" s="322">
        <f>+EEFF!P128</f>
        <v>272514095.00800705</v>
      </c>
      <c r="Q26" s="322">
        <f ca="1">+EEFF!Q128</f>
        <v>310428522.50966811</v>
      </c>
      <c r="R26" s="322">
        <f ca="1">+EEFF!R128</f>
        <v>347213270.1170727</v>
      </c>
      <c r="S26" s="322">
        <f ca="1">+EEFF!S128</f>
        <v>386330853.13669646</v>
      </c>
      <c r="T26" s="322">
        <f ca="1">+EEFF!T128</f>
        <v>426696924.94841397</v>
      </c>
      <c r="U26" s="323">
        <f ca="1">+EEFF!U128</f>
        <v>468205969.89979255</v>
      </c>
      <c r="V26" s="322">
        <f ca="1">+EEFF!V128</f>
        <v>511679887.81290716</v>
      </c>
      <c r="W26" s="322">
        <f ca="1">+EEFF!W128</f>
        <v>556490389.1464963</v>
      </c>
      <c r="X26" s="322">
        <f ca="1">+EEFF!X128</f>
        <v>602814433.65779567</v>
      </c>
      <c r="Y26" s="322">
        <f ca="1">+EEFF!Y128</f>
        <v>650851263.20777166</v>
      </c>
      <c r="Z26" s="323">
        <f ca="1">+EEFF!Z128</f>
        <v>700500414.53436589</v>
      </c>
    </row>
    <row r="27" spans="5:26" x14ac:dyDescent="0.25">
      <c r="E27" s="76" t="s">
        <v>370</v>
      </c>
      <c r="K27" s="12">
        <f>+EEFF!K120</f>
        <v>272133742.41666663</v>
      </c>
      <c r="L27" s="12">
        <f>+EEFF!L120</f>
        <v>279696472</v>
      </c>
      <c r="M27" s="12">
        <f>+EEFF!M120</f>
        <v>273393514</v>
      </c>
      <c r="N27" s="12">
        <f>+EEFF!N120</f>
        <v>331945563</v>
      </c>
      <c r="O27" s="12">
        <f>+EEFF!O120</f>
        <v>333065401</v>
      </c>
      <c r="P27" s="12">
        <f>+EEFF!P120</f>
        <v>364140625.54068911</v>
      </c>
      <c r="Q27" s="12">
        <f ca="1">+EEFF!Q120</f>
        <v>367813996.58637989</v>
      </c>
      <c r="R27" s="12">
        <f ca="1">+EEFF!R120</f>
        <v>370641388.48907602</v>
      </c>
      <c r="S27" s="12">
        <f ca="1">+EEFF!S120</f>
        <v>373704829.28413934</v>
      </c>
      <c r="T27" s="12">
        <f ca="1">+EEFF!T120</f>
        <v>377375301.66907918</v>
      </c>
      <c r="U27" s="77">
        <f ca="1">+EEFF!U120</f>
        <v>381101574.19549793</v>
      </c>
      <c r="V27" s="12">
        <f ca="1">+EEFF!V120</f>
        <v>385133124.46449113</v>
      </c>
      <c r="W27" s="12">
        <f ca="1">+EEFF!W120</f>
        <v>388982377.11802113</v>
      </c>
      <c r="X27" s="12">
        <f ca="1">+EEFF!X120</f>
        <v>392993252.78263223</v>
      </c>
      <c r="Y27" s="12">
        <f ca="1">+EEFF!Y120</f>
        <v>397213315.30653059</v>
      </c>
      <c r="Z27" s="77">
        <f ca="1">+EEFF!Z120</f>
        <v>401539243.39097357</v>
      </c>
    </row>
    <row r="28" spans="5:26" x14ac:dyDescent="0.25">
      <c r="E28" s="320" t="s">
        <v>371</v>
      </c>
      <c r="K28" s="326">
        <f>+K26/K27</f>
        <v>0.7755692922373667</v>
      </c>
      <c r="L28" s="326">
        <f t="shared" ref="L28:Z28" si="6">+L26/L27</f>
        <v>0.81283790379737075</v>
      </c>
      <c r="M28" s="326">
        <f t="shared" si="6"/>
        <v>0.90549834331475765</v>
      </c>
      <c r="N28" s="326">
        <f t="shared" si="6"/>
        <v>0.69462313614356097</v>
      </c>
      <c r="O28" s="326">
        <f t="shared" si="6"/>
        <v>0.78928285018713185</v>
      </c>
      <c r="P28" s="326">
        <f t="shared" si="6"/>
        <v>0.74837597316522508</v>
      </c>
      <c r="Q28" s="326">
        <f t="shared" ca="1" si="6"/>
        <v>0.84398235355561035</v>
      </c>
      <c r="R28" s="326">
        <f t="shared" ca="1" si="6"/>
        <v>0.93679033400045175</v>
      </c>
      <c r="S28" s="326">
        <f t="shared" ca="1" si="6"/>
        <v>1.0337860869412452</v>
      </c>
      <c r="T28" s="326">
        <f t="shared" ca="1" si="6"/>
        <v>1.1306964792374912</v>
      </c>
      <c r="U28" s="327">
        <f t="shared" ca="1" si="6"/>
        <v>1.2285595274387706</v>
      </c>
      <c r="V28" s="326">
        <f t="shared" ca="1" si="6"/>
        <v>1.3285792763849464</v>
      </c>
      <c r="W28" s="326">
        <f t="shared" ca="1" si="6"/>
        <v>1.4306313650236437</v>
      </c>
      <c r="X28" s="326">
        <f t="shared" ca="1" si="6"/>
        <v>1.5339053008913037</v>
      </c>
      <c r="Y28" s="326">
        <f t="shared" ca="1" si="6"/>
        <v>1.6385434176734683</v>
      </c>
      <c r="Z28" s="327">
        <f t="shared" ca="1" si="6"/>
        <v>1.7445378653869148</v>
      </c>
    </row>
    <row r="29" spans="5:26" x14ac:dyDescent="0.25">
      <c r="E29" s="76"/>
      <c r="U29" s="75"/>
      <c r="Z29" s="75"/>
    </row>
    <row r="30" spans="5:26" x14ac:dyDescent="0.25">
      <c r="E30" s="76" t="s">
        <v>372</v>
      </c>
      <c r="K30" s="322">
        <f>+EEFF!K39</f>
        <v>358534549</v>
      </c>
      <c r="L30" s="322">
        <f>+EEFF!L39</f>
        <v>383784560</v>
      </c>
      <c r="M30" s="322">
        <f>+EEFF!M39</f>
        <v>437691547</v>
      </c>
      <c r="N30" s="322">
        <f>+EEFF!N39</f>
        <v>530191512</v>
      </c>
      <c r="O30" s="322">
        <f>+EEFF!O39</f>
        <v>554729657</v>
      </c>
      <c r="P30" s="322">
        <f>+EEFF!P39</f>
        <v>579869129.94618535</v>
      </c>
      <c r="Q30" s="322">
        <f>+EEFF!Q39</f>
        <v>586815853.55903232</v>
      </c>
      <c r="R30" s="322">
        <f>+EEFF!R39</f>
        <v>609944719.79373682</v>
      </c>
      <c r="S30" s="322">
        <f>+EEFF!S39</f>
        <v>620771796.10008574</v>
      </c>
      <c r="T30" s="322">
        <f>+EEFF!T39</f>
        <v>641173782.64383876</v>
      </c>
      <c r="U30" s="323">
        <f>+EEFF!U39</f>
        <v>661666636.26773965</v>
      </c>
      <c r="V30" s="322">
        <f>+EEFF!V39</f>
        <v>681345818.84497547</v>
      </c>
      <c r="W30" s="322">
        <f>+EEFF!W39</f>
        <v>700651354.33225882</v>
      </c>
      <c r="X30" s="322">
        <f>+EEFF!X39</f>
        <v>719943942.78876317</v>
      </c>
      <c r="Y30" s="322">
        <f>+EEFF!Y39</f>
        <v>739767756.89273202</v>
      </c>
      <c r="Z30" s="323">
        <f>+EEFF!Z39</f>
        <v>760137424.05868578</v>
      </c>
    </row>
    <row r="31" spans="5:26" x14ac:dyDescent="0.25">
      <c r="E31" s="76" t="s">
        <v>363</v>
      </c>
      <c r="K31" s="12">
        <f>+K15</f>
        <v>483192316.41666663</v>
      </c>
      <c r="L31" s="12">
        <f t="shared" ref="L31:Z31" si="7">+L15</f>
        <v>507044366</v>
      </c>
      <c r="M31" s="12">
        <f t="shared" si="7"/>
        <v>520950888</v>
      </c>
      <c r="N31" s="12">
        <f t="shared" si="7"/>
        <v>562522631</v>
      </c>
      <c r="O31" s="12">
        <f t="shared" si="7"/>
        <v>595948210</v>
      </c>
      <c r="P31" s="12">
        <f t="shared" si="7"/>
        <v>636654720.54869604</v>
      </c>
      <c r="Q31" s="12">
        <f t="shared" ca="1" si="7"/>
        <v>678242519.09604788</v>
      </c>
      <c r="R31" s="12">
        <f t="shared" ca="1" si="7"/>
        <v>717854658.60614872</v>
      </c>
      <c r="S31" s="12">
        <f t="shared" ca="1" si="7"/>
        <v>760035682.42083597</v>
      </c>
      <c r="T31" s="12">
        <f t="shared" ca="1" si="7"/>
        <v>804072226.61749327</v>
      </c>
      <c r="U31" s="77">
        <f t="shared" ca="1" si="7"/>
        <v>849307544.09529054</v>
      </c>
      <c r="V31" s="12">
        <f t="shared" ca="1" si="7"/>
        <v>896813012.27739823</v>
      </c>
      <c r="W31" s="12">
        <f t="shared" ca="1" si="7"/>
        <v>945472766.26451743</v>
      </c>
      <c r="X31" s="12">
        <f t="shared" ca="1" si="7"/>
        <v>995807686.44042826</v>
      </c>
      <c r="Y31" s="12">
        <f t="shared" ca="1" si="7"/>
        <v>1048064578.5143026</v>
      </c>
      <c r="Z31" s="77">
        <f t="shared" ca="1" si="7"/>
        <v>1102039657.9253397</v>
      </c>
    </row>
    <row r="32" spans="5:26" x14ac:dyDescent="0.25">
      <c r="E32" s="320" t="s">
        <v>373</v>
      </c>
      <c r="K32" s="326">
        <f>+K30/K31</f>
        <v>0.74201210743348889</v>
      </c>
      <c r="L32" s="326">
        <f t="shared" ref="L32:Z32" si="8">+L30/L31</f>
        <v>0.75690528430011195</v>
      </c>
      <c r="M32" s="326">
        <f t="shared" si="8"/>
        <v>0.84017813786699991</v>
      </c>
      <c r="N32" s="326">
        <f t="shared" si="8"/>
        <v>0.94252476750575387</v>
      </c>
      <c r="O32" s="326">
        <f t="shared" si="8"/>
        <v>0.9308353438967456</v>
      </c>
      <c r="P32" s="326">
        <f t="shared" si="8"/>
        <v>0.91080629928641621</v>
      </c>
      <c r="Q32" s="326">
        <f t="shared" ca="1" si="8"/>
        <v>0.86520062814866316</v>
      </c>
      <c r="R32" s="326">
        <f t="shared" ca="1" si="8"/>
        <v>0.84967717696234002</v>
      </c>
      <c r="S32" s="326">
        <f t="shared" ca="1" si="8"/>
        <v>0.81676664722217729</v>
      </c>
      <c r="T32" s="326">
        <f t="shared" ca="1" si="8"/>
        <v>0.79740819471041469</v>
      </c>
      <c r="U32" s="327">
        <f t="shared" ca="1" si="8"/>
        <v>0.77906600602796716</v>
      </c>
      <c r="V32" s="326">
        <f t="shared" ca="1" si="8"/>
        <v>0.75974122756620377</v>
      </c>
      <c r="W32" s="326">
        <f t="shared" ca="1" si="8"/>
        <v>0.74105926614943418</v>
      </c>
      <c r="X32" s="326">
        <f t="shared" ca="1" si="8"/>
        <v>0.7229748801821807</v>
      </c>
      <c r="Y32" s="326">
        <f t="shared" ca="1" si="8"/>
        <v>0.70584176973273849</v>
      </c>
      <c r="Z32" s="327">
        <f t="shared" ca="1" si="8"/>
        <v>0.68975505426882111</v>
      </c>
    </row>
    <row r="33" spans="5:26" x14ac:dyDescent="0.25">
      <c r="E33" s="74"/>
      <c r="U33" s="75"/>
      <c r="Z33" s="75"/>
    </row>
    <row r="34" spans="5:26" x14ac:dyDescent="0.25">
      <c r="E34" s="328" t="s">
        <v>374</v>
      </c>
      <c r="F34" s="329" t="s">
        <v>374</v>
      </c>
      <c r="G34" s="329" t="s">
        <v>374</v>
      </c>
      <c r="H34" s="329" t="s">
        <v>374</v>
      </c>
      <c r="I34" s="329" t="s">
        <v>374</v>
      </c>
      <c r="J34" s="329" t="s">
        <v>374</v>
      </c>
      <c r="K34" s="330">
        <f>+(0.717*K16)+(0.847*K20)+(3.107*K24)+(0.42*K28)+(0.998*K32)</f>
        <v>1.5111193076995173</v>
      </c>
      <c r="L34" s="330">
        <f t="shared" ref="L34:Z34" si="9">+(0.717*L16)+(0.847*L20)+(3.107*L24)+(0.42*L28)+(0.998*L32)</f>
        <v>1.5793101853073679</v>
      </c>
      <c r="M34" s="330">
        <f t="shared" si="9"/>
        <v>1.8239177175665615</v>
      </c>
      <c r="N34" s="330">
        <f t="shared" si="9"/>
        <v>1.9310585412779913</v>
      </c>
      <c r="O34" s="330">
        <f t="shared" si="9"/>
        <v>1.8150789234875662</v>
      </c>
      <c r="P34" s="330">
        <f t="shared" si="9"/>
        <v>1.7819881136841595</v>
      </c>
      <c r="Q34" s="330">
        <f t="shared" ca="1" si="9"/>
        <v>1.7743177289068979</v>
      </c>
      <c r="R34" s="330">
        <f t="shared" ca="1" si="9"/>
        <v>1.8080849707014073</v>
      </c>
      <c r="S34" s="330">
        <f t="shared" ca="1" si="9"/>
        <v>1.8395400565014652</v>
      </c>
      <c r="T34" s="330">
        <f t="shared" ca="1" si="9"/>
        <v>1.8777516190518169</v>
      </c>
      <c r="U34" s="331">
        <f t="shared" ca="1" si="9"/>
        <v>1.914869521741045</v>
      </c>
      <c r="V34" s="330">
        <f t="shared" ca="1" si="9"/>
        <v>1.9543397228450035</v>
      </c>
      <c r="W34" s="330">
        <f t="shared" ca="1" si="9"/>
        <v>1.9913267377928887</v>
      </c>
      <c r="X34" s="330">
        <f t="shared" ca="1" si="9"/>
        <v>2.0291104889643665</v>
      </c>
      <c r="Y34" s="330">
        <f t="shared" ca="1" si="9"/>
        <v>2.0681456829411466</v>
      </c>
      <c r="Z34" s="331">
        <f t="shared" ca="1" si="9"/>
        <v>2.1074268951197483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2</vt:i4>
      </vt:variant>
    </vt:vector>
  </HeadingPairs>
  <TitlesOfParts>
    <vt:vector size="20" baseType="lpstr">
      <vt:lpstr>Macros</vt:lpstr>
      <vt:lpstr>Politicas</vt:lpstr>
      <vt:lpstr>EEFF</vt:lpstr>
      <vt:lpstr>WACC</vt:lpstr>
      <vt:lpstr>EVA</vt:lpstr>
      <vt:lpstr>Tornado EVA 2025</vt:lpstr>
      <vt:lpstr>Tornado VPN</vt:lpstr>
      <vt:lpstr>Z-SCORE ALTMAN</vt:lpstr>
      <vt:lpstr>Sensibilidad</vt:lpstr>
      <vt:lpstr>Tablas EVA</vt:lpstr>
      <vt:lpstr>INDICADORES FINAN.TRADICIONALES</vt:lpstr>
      <vt:lpstr>GRAFICAS</vt:lpstr>
      <vt:lpstr>TABLA</vt:lpstr>
      <vt:lpstr>TABLAS FIN TRADICIONALES</vt:lpstr>
      <vt:lpstr>Valoración</vt:lpstr>
      <vt:lpstr>BG a Nov</vt:lpstr>
      <vt:lpstr>ER a Nov</vt:lpstr>
      <vt:lpstr>resumen</vt:lpstr>
      <vt:lpstr>CREC_NACIONAL</vt:lpstr>
      <vt:lpstr>P.INTERNACIONAL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Deiber Alexander Moreno Camargo</cp:lastModifiedBy>
  <cp:revision/>
  <dcterms:created xsi:type="dcterms:W3CDTF">2020-01-24T07:54:57Z</dcterms:created>
  <dcterms:modified xsi:type="dcterms:W3CDTF">2025-06-12T23:22:40Z</dcterms:modified>
  <cp:category/>
  <cp:contentStatus/>
</cp:coreProperties>
</file>