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harts/chart2.xml" ContentType="application/vnd.openxmlformats-officedocument.drawingml.chart+xml"/>
  <Override PartName="/xl/comments7.xml" ContentType="application/vnd.openxmlformats-officedocument.spreadsheetml.comments+xml"/>
  <Override PartName="/xl/drawings/drawing7.xml" ContentType="application/vnd.openxmlformats-officedocument.drawing+xml"/>
  <Override PartName="/xl/comments8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P\Desktop\TESIS\revisón 3\"/>
    </mc:Choice>
  </mc:AlternateContent>
  <bookViews>
    <workbookView xWindow="0" yWindow="0" windowWidth="28800" windowHeight="12330" tabRatio="879"/>
  </bookViews>
  <sheets>
    <sheet name="Calculos oferta -demanda 2" sheetId="26" r:id="rId1"/>
    <sheet name="Servicios complementarios" sheetId="30" r:id="rId2"/>
    <sheet name="Informe cotelco 2019" sheetId="28" r:id="rId3"/>
    <sheet name="Informe cotelco 2020" sheetId="29" r:id="rId4"/>
    <sheet name="Matriz de perfil competitivo " sheetId="24" r:id="rId5"/>
    <sheet name="Inversión del Proyecto " sheetId="11" r:id="rId6"/>
    <sheet name="Estudios del proyecto " sheetId="10" r:id="rId7"/>
    <sheet name="Inmobiliario, equipos, varios" sheetId="13" r:id="rId8"/>
    <sheet name="Costo nómina" sheetId="20" r:id="rId9"/>
    <sheet name="gastos de mantenimiento" sheetId="14" r:id="rId10"/>
    <sheet name="Balance " sheetId="17" r:id="rId11"/>
    <sheet name="Estados de resultados" sheetId="23" r:id="rId12"/>
    <sheet name="Flujo del proyecto" sheetId="38" r:id="rId13"/>
    <sheet name="flujo de caja del inversionista" sheetId="32" r:id="rId14"/>
    <sheet name="Valoración empresa" sheetId="39" r:id="rId15"/>
    <sheet name="AH-V Bce" sheetId="33" r:id="rId16"/>
    <sheet name="AH-V PyG" sheetId="34" r:id="rId17"/>
    <sheet name="Cálculo WACC" sheetId="31" r:id="rId18"/>
    <sheet name="Prestamo Créditos" sheetId="27" r:id="rId19"/>
    <sheet name="Capacidad Instalada Habitacione" sheetId="16" r:id="rId20"/>
    <sheet name="Requerrimientos espaciales" sheetId="2" r:id="rId21"/>
    <sheet name="Etapas de construcción " sheetId="4" r:id="rId22"/>
    <sheet name="notas importantes" sheetId="5" r:id="rId23"/>
  </sheets>
  <externalReferences>
    <externalReference r:id="rId24"/>
  </externalReferences>
  <definedNames>
    <definedName name="_xlnm._FilterDatabase" localSheetId="19" hidden="1">'Capacidad Instalada Habitacione'!$C$5:$I$15</definedName>
    <definedName name="_xlnm.Print_Area" localSheetId="16">'AH-V PyG'!$A$1:$G$39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56" i="26" l="1"/>
  <c r="K356" i="26"/>
  <c r="L356" i="26"/>
  <c r="M356" i="26"/>
  <c r="N356" i="26"/>
  <c r="O356" i="26"/>
  <c r="O334" i="26"/>
  <c r="N334" i="26"/>
  <c r="M334" i="26"/>
  <c r="L334" i="26"/>
  <c r="K334" i="26"/>
  <c r="J334" i="26"/>
  <c r="J312" i="26"/>
  <c r="K312" i="26"/>
  <c r="L312" i="26"/>
  <c r="M312" i="26"/>
  <c r="N312" i="26"/>
  <c r="O312" i="26"/>
  <c r="O290" i="26"/>
  <c r="N290" i="26"/>
  <c r="M290" i="26"/>
  <c r="L290" i="26"/>
  <c r="K290" i="26"/>
  <c r="J290" i="26"/>
  <c r="J267" i="26"/>
  <c r="K267" i="26"/>
  <c r="L267" i="26"/>
  <c r="M267" i="26"/>
  <c r="N267" i="26"/>
  <c r="M245" i="26"/>
  <c r="N245" i="26"/>
  <c r="O245" i="26"/>
  <c r="O221" i="26"/>
  <c r="N221" i="26"/>
  <c r="M221" i="26"/>
  <c r="L221" i="26"/>
  <c r="K221" i="26"/>
  <c r="J221" i="26"/>
  <c r="J199" i="26"/>
  <c r="K199" i="26"/>
  <c r="L199" i="26"/>
  <c r="M199" i="26"/>
  <c r="N199" i="26"/>
  <c r="O199" i="26"/>
  <c r="O176" i="26"/>
  <c r="N176" i="26"/>
  <c r="M176" i="26"/>
  <c r="L176" i="26"/>
  <c r="K176" i="26"/>
  <c r="J176" i="26"/>
  <c r="C44" i="31" l="1"/>
  <c r="C32" i="31" l="1"/>
  <c r="C30" i="31"/>
  <c r="C39" i="31"/>
  <c r="C29" i="31"/>
  <c r="D211" i="17"/>
  <c r="I5" i="14"/>
  <c r="I6" i="14" s="1"/>
  <c r="C13" i="23"/>
  <c r="E6" i="30" l="1"/>
  <c r="G76" i="26"/>
  <c r="Y183" i="26"/>
  <c r="Z183" i="26" s="1"/>
  <c r="AA183" i="26" s="1"/>
  <c r="AB183" i="26" s="1"/>
  <c r="X183" i="26"/>
  <c r="W183" i="26"/>
  <c r="S178" i="26"/>
  <c r="R178" i="26"/>
  <c r="J178" i="26"/>
  <c r="J155" i="26"/>
  <c r="I156" i="26"/>
  <c r="F153" i="26"/>
  <c r="F198" i="26"/>
  <c r="F61" i="26" l="1"/>
  <c r="E127" i="39" l="1"/>
  <c r="F127" i="39"/>
  <c r="G127" i="39"/>
  <c r="B126" i="39"/>
  <c r="B123" i="39"/>
  <c r="C202" i="39"/>
  <c r="E145" i="39"/>
  <c r="F145" i="39" s="1"/>
  <c r="G145" i="39" s="1"/>
  <c r="G111" i="39"/>
  <c r="F111" i="39"/>
  <c r="E111" i="39"/>
  <c r="D111" i="39"/>
  <c r="C111" i="39"/>
  <c r="E107" i="39"/>
  <c r="F107" i="39" s="1"/>
  <c r="G107" i="39" s="1"/>
  <c r="C96" i="39"/>
  <c r="D96" i="39" s="1"/>
  <c r="E96" i="39" s="1"/>
  <c r="F96" i="39" s="1"/>
  <c r="G96" i="39" s="1"/>
  <c r="B92" i="39"/>
  <c r="G84" i="39"/>
  <c r="F84" i="39"/>
  <c r="E84" i="39"/>
  <c r="D84" i="39"/>
  <c r="C84" i="39"/>
  <c r="G83" i="39"/>
  <c r="F83" i="39"/>
  <c r="E83" i="39"/>
  <c r="D83" i="39"/>
  <c r="C83" i="39"/>
  <c r="G80" i="39"/>
  <c r="F80" i="39"/>
  <c r="E80" i="39"/>
  <c r="D80" i="39"/>
  <c r="C80" i="39"/>
  <c r="G79" i="39"/>
  <c r="F79" i="39"/>
  <c r="E79" i="39"/>
  <c r="D79" i="39"/>
  <c r="C79" i="39"/>
  <c r="G78" i="39"/>
  <c r="F78" i="39"/>
  <c r="E78" i="39"/>
  <c r="D78" i="39"/>
  <c r="C78" i="39"/>
  <c r="B77" i="39"/>
  <c r="B81" i="39" s="1"/>
  <c r="B87" i="39" s="1"/>
  <c r="D75" i="39"/>
  <c r="E75" i="39" s="1"/>
  <c r="F75" i="39" s="1"/>
  <c r="G75" i="39" s="1"/>
  <c r="B66" i="39"/>
  <c r="B65" i="39"/>
  <c r="F60" i="39"/>
  <c r="E60" i="39"/>
  <c r="B54" i="39"/>
  <c r="B55" i="39" s="1"/>
  <c r="G46" i="39"/>
  <c r="F46" i="39"/>
  <c r="E46" i="39"/>
  <c r="D46" i="39"/>
  <c r="C46" i="39"/>
  <c r="D28" i="39"/>
  <c r="E28" i="39" s="1"/>
  <c r="F28" i="39" s="1"/>
  <c r="G28" i="39" s="1"/>
  <c r="D5" i="39"/>
  <c r="E5" i="39" s="1"/>
  <c r="F5" i="39" s="1"/>
  <c r="G5" i="39" s="1"/>
  <c r="G69" i="38" l="1"/>
  <c r="H69" i="38"/>
  <c r="G70" i="38"/>
  <c r="H70" i="38"/>
  <c r="E6" i="14"/>
  <c r="I64" i="17" l="1"/>
  <c r="H64" i="17"/>
  <c r="G64" i="17"/>
  <c r="F64" i="17"/>
  <c r="D40" i="39" s="1"/>
  <c r="D92" i="39" s="1"/>
  <c r="E64" i="17"/>
  <c r="C40" i="39" s="1"/>
  <c r="C92" i="39" s="1"/>
  <c r="G33" i="17"/>
  <c r="F33" i="17"/>
  <c r="E33" i="17"/>
  <c r="H19" i="33" l="1"/>
  <c r="F40" i="39"/>
  <c r="F92" i="39" s="1"/>
  <c r="J19" i="33"/>
  <c r="G40" i="39"/>
  <c r="G92" i="39" s="1"/>
  <c r="F19" i="33"/>
  <c r="E40" i="39"/>
  <c r="E92" i="39" s="1"/>
  <c r="D19" i="33"/>
  <c r="B19" i="33"/>
  <c r="C133" i="17" l="1"/>
  <c r="C135" i="17"/>
  <c r="E135" i="17"/>
  <c r="F135" i="17"/>
  <c r="G135" i="17"/>
  <c r="H135" i="17"/>
  <c r="I135" i="17"/>
  <c r="O15" i="33" l="1"/>
  <c r="N21" i="34"/>
  <c r="N22" i="34"/>
  <c r="N23" i="34"/>
  <c r="N28" i="34"/>
  <c r="M39" i="34"/>
  <c r="N39" i="34"/>
  <c r="O39" i="34"/>
  <c r="P39" i="34"/>
  <c r="P28" i="34"/>
  <c r="P27" i="34"/>
  <c r="P23" i="34"/>
  <c r="P22" i="34"/>
  <c r="P21" i="34"/>
  <c r="P15" i="34"/>
  <c r="P59" i="33"/>
  <c r="O59" i="33"/>
  <c r="P58" i="33"/>
  <c r="O58" i="33"/>
  <c r="P54" i="33"/>
  <c r="O54" i="33"/>
  <c r="J49" i="33"/>
  <c r="H49" i="33"/>
  <c r="P48" i="33"/>
  <c r="O48" i="33"/>
  <c r="P47" i="33"/>
  <c r="O47" i="33"/>
  <c r="P46" i="33"/>
  <c r="O46" i="33"/>
  <c r="P45" i="33"/>
  <c r="O45" i="33"/>
  <c r="P44" i="33"/>
  <c r="O44" i="33"/>
  <c r="P43" i="33"/>
  <c r="O43" i="33"/>
  <c r="P42" i="33"/>
  <c r="O42" i="33"/>
  <c r="P41" i="33"/>
  <c r="F41" i="33"/>
  <c r="P37" i="33"/>
  <c r="O37" i="33"/>
  <c r="P36" i="33"/>
  <c r="O36" i="33"/>
  <c r="P35" i="33"/>
  <c r="O35" i="33"/>
  <c r="P34" i="33"/>
  <c r="O34" i="33"/>
  <c r="P32" i="33"/>
  <c r="O32" i="33"/>
  <c r="P31" i="33"/>
  <c r="O31" i="33"/>
  <c r="P30" i="33"/>
  <c r="O30" i="33"/>
  <c r="A24" i="33"/>
  <c r="P18" i="33"/>
  <c r="O18" i="33"/>
  <c r="P17" i="33"/>
  <c r="O17" i="33"/>
  <c r="P15" i="33"/>
  <c r="P14" i="33"/>
  <c r="O14" i="33"/>
  <c r="P10" i="33"/>
  <c r="O10" i="33"/>
  <c r="P9" i="33"/>
  <c r="O9" i="33"/>
  <c r="P8" i="33"/>
  <c r="O8" i="33"/>
  <c r="P7" i="33"/>
  <c r="O7" i="33"/>
  <c r="M19" i="33" l="1"/>
  <c r="N19" i="33"/>
  <c r="O19" i="33"/>
  <c r="P19" i="33"/>
  <c r="F49" i="33"/>
  <c r="O49" i="33" s="1"/>
  <c r="O41" i="33"/>
  <c r="P49" i="33"/>
  <c r="D209" i="17" l="1"/>
  <c r="C20" i="31"/>
  <c r="C13" i="31" l="1"/>
  <c r="C42" i="31"/>
  <c r="B72" i="38" l="1"/>
  <c r="C43" i="31"/>
  <c r="E59" i="14"/>
  <c r="E60" i="14"/>
  <c r="E61" i="14"/>
  <c r="E58" i="14"/>
  <c r="E46" i="14"/>
  <c r="E47" i="14"/>
  <c r="E48" i="14"/>
  <c r="E49" i="14"/>
  <c r="E50" i="14"/>
  <c r="E51" i="14"/>
  <c r="E52" i="14"/>
  <c r="E45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20" i="14"/>
  <c r="E7" i="14"/>
  <c r="E8" i="14"/>
  <c r="E9" i="14"/>
  <c r="E10" i="14"/>
  <c r="E11" i="14"/>
  <c r="E12" i="14"/>
  <c r="E13" i="14"/>
  <c r="E14" i="14"/>
  <c r="E15" i="14"/>
  <c r="E23" i="20"/>
  <c r="E24" i="20"/>
  <c r="E25" i="20"/>
  <c r="E26" i="20"/>
  <c r="E22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5" i="20"/>
  <c r="F38" i="17"/>
  <c r="G38" i="17"/>
  <c r="G61" i="26" l="1"/>
  <c r="F62" i="26"/>
  <c r="F47" i="26" s="1"/>
  <c r="G47" i="26" s="1"/>
  <c r="F63" i="26"/>
  <c r="G63" i="26" s="1"/>
  <c r="F64" i="26"/>
  <c r="G64" i="26" s="1"/>
  <c r="F65" i="26"/>
  <c r="G65" i="26" s="1"/>
  <c r="F66" i="26"/>
  <c r="F51" i="26" s="1"/>
  <c r="G51" i="26" s="1"/>
  <c r="G62" i="26" l="1"/>
  <c r="G66" i="26"/>
  <c r="F46" i="26"/>
  <c r="G46" i="26" s="1"/>
  <c r="F49" i="26"/>
  <c r="G49" i="26" s="1"/>
  <c r="F48" i="26"/>
  <c r="G48" i="26" s="1"/>
  <c r="F50" i="26"/>
  <c r="G50" i="26" s="1"/>
  <c r="F169" i="17"/>
  <c r="D74" i="17"/>
  <c r="C70" i="38" l="1"/>
  <c r="C81" i="38" s="1"/>
  <c r="B58" i="39"/>
  <c r="D63" i="17"/>
  <c r="B39" i="39" s="1"/>
  <c r="D54" i="17"/>
  <c r="B30" i="39" s="1"/>
  <c r="B35" i="39" s="1"/>
  <c r="C9" i="27"/>
  <c r="C4" i="27" s="1"/>
  <c r="C71" i="38" l="1"/>
  <c r="F168" i="39"/>
  <c r="B169" i="39"/>
  <c r="B60" i="39"/>
  <c r="B61" i="39" s="1"/>
  <c r="E52" i="30"/>
  <c r="F52" i="30" s="1"/>
  <c r="G52" i="30" s="1"/>
  <c r="H52" i="30" s="1"/>
  <c r="I52" i="30" s="1"/>
  <c r="F66" i="30"/>
  <c r="G66" i="30" s="1"/>
  <c r="E41" i="10"/>
  <c r="F12" i="10" s="1"/>
  <c r="G78" i="30"/>
  <c r="H78" i="30"/>
  <c r="G79" i="30"/>
  <c r="H79" i="30"/>
  <c r="G80" i="30"/>
  <c r="H80" i="30"/>
  <c r="G81" i="30"/>
  <c r="H81" i="30"/>
  <c r="G82" i="30"/>
  <c r="H82" i="30"/>
  <c r="G83" i="30"/>
  <c r="H83" i="30"/>
  <c r="G84" i="30"/>
  <c r="H84" i="30"/>
  <c r="G85" i="30"/>
  <c r="H85" i="30"/>
  <c r="G86" i="30"/>
  <c r="H86" i="30"/>
  <c r="G87" i="30"/>
  <c r="H87" i="30"/>
  <c r="G88" i="30"/>
  <c r="H88" i="30"/>
  <c r="G89" i="30"/>
  <c r="H89" i="30"/>
  <c r="G90" i="30"/>
  <c r="H90" i="30"/>
  <c r="G91" i="30"/>
  <c r="H91" i="30"/>
  <c r="G92" i="30"/>
  <c r="H92" i="30"/>
  <c r="G93" i="30"/>
  <c r="H93" i="30"/>
  <c r="E318" i="13"/>
  <c r="I22" i="20"/>
  <c r="H22" i="20"/>
  <c r="C20" i="20"/>
  <c r="E289" i="13"/>
  <c r="F266" i="13"/>
  <c r="E221" i="13"/>
  <c r="E223" i="13"/>
  <c r="F172" i="13"/>
  <c r="E49" i="13"/>
  <c r="E10" i="30"/>
  <c r="F21" i="10"/>
  <c r="D53" i="30"/>
  <c r="E53" i="30" s="1"/>
  <c r="F7" i="30"/>
  <c r="G7" i="30" s="1"/>
  <c r="H7" i="30" s="1"/>
  <c r="I7" i="30" s="1"/>
  <c r="E11" i="30"/>
  <c r="F11" i="30" s="1"/>
  <c r="G11" i="30" s="1"/>
  <c r="H11" i="30" s="1"/>
  <c r="I11" i="30" s="1"/>
  <c r="E12" i="30"/>
  <c r="F12" i="30" s="1"/>
  <c r="G12" i="30" s="1"/>
  <c r="H12" i="30" s="1"/>
  <c r="I12" i="30" s="1"/>
  <c r="E13" i="30"/>
  <c r="F13" i="30" s="1"/>
  <c r="G13" i="30" s="1"/>
  <c r="H13" i="30" s="1"/>
  <c r="I13" i="30" s="1"/>
  <c r="E14" i="30"/>
  <c r="F14" i="30" s="1"/>
  <c r="G14" i="30" s="1"/>
  <c r="H14" i="30" s="1"/>
  <c r="I14" i="30" s="1"/>
  <c r="E15" i="30"/>
  <c r="F15" i="30" s="1"/>
  <c r="G15" i="30" s="1"/>
  <c r="H15" i="30" s="1"/>
  <c r="I15" i="30" s="1"/>
  <c r="H61" i="26"/>
  <c r="I61" i="26" s="1"/>
  <c r="J61" i="26" s="1"/>
  <c r="K61" i="26" s="1"/>
  <c r="H94" i="30" l="1"/>
  <c r="H66" i="30"/>
  <c r="F10" i="30"/>
  <c r="G10" i="30" s="1"/>
  <c r="H10" i="30" s="1"/>
  <c r="I10" i="30" s="1"/>
  <c r="F53" i="30"/>
  <c r="T221" i="26"/>
  <c r="T267" i="26" s="1"/>
  <c r="T312" i="26" s="1"/>
  <c r="T356" i="26" s="1"/>
  <c r="T178" i="26"/>
  <c r="T269" i="26" s="1"/>
  <c r="V178" i="26"/>
  <c r="U178" i="26"/>
  <c r="H65" i="26"/>
  <c r="I387" i="26"/>
  <c r="I389" i="26"/>
  <c r="I388" i="26"/>
  <c r="H66" i="26"/>
  <c r="H62" i="26"/>
  <c r="H63" i="26"/>
  <c r="H64" i="26"/>
  <c r="I64" i="26" l="1"/>
  <c r="J64" i="26" s="1"/>
  <c r="K64" i="26" s="1"/>
  <c r="I63" i="26"/>
  <c r="J63" i="26" s="1"/>
  <c r="K63" i="26" s="1"/>
  <c r="I62" i="26"/>
  <c r="J62" i="26" s="1"/>
  <c r="K62" i="26" s="1"/>
  <c r="I66" i="26"/>
  <c r="J66" i="26" s="1"/>
  <c r="K66" i="26" s="1"/>
  <c r="I65" i="26"/>
  <c r="J65" i="26" s="1"/>
  <c r="K65" i="26" s="1"/>
  <c r="D69" i="30"/>
  <c r="E69" i="30" s="1"/>
  <c r="D68" i="30"/>
  <c r="E68" i="30" s="1"/>
  <c r="I66" i="30"/>
  <c r="G53" i="30"/>
  <c r="T223" i="26"/>
  <c r="T314" i="26"/>
  <c r="T358" i="26"/>
  <c r="N177" i="26"/>
  <c r="N222" i="26" s="1"/>
  <c r="H50" i="26"/>
  <c r="I50" i="26" s="1"/>
  <c r="J50" i="26" s="1"/>
  <c r="K50" i="26" s="1"/>
  <c r="H48" i="26"/>
  <c r="I48" i="26" s="1"/>
  <c r="J48" i="26" s="1"/>
  <c r="K48" i="26" s="1"/>
  <c r="H169" i="26"/>
  <c r="K80" i="26"/>
  <c r="J80" i="26"/>
  <c r="I80" i="26"/>
  <c r="H80" i="26"/>
  <c r="U121" i="26"/>
  <c r="C128" i="26"/>
  <c r="F124" i="26" s="1"/>
  <c r="F156" i="26" s="1"/>
  <c r="V121" i="26"/>
  <c r="E75" i="28"/>
  <c r="E26" i="28"/>
  <c r="U117" i="26"/>
  <c r="U112" i="26"/>
  <c r="I391" i="26"/>
  <c r="I390" i="26"/>
  <c r="E78" i="29"/>
  <c r="E73" i="29"/>
  <c r="E26" i="29"/>
  <c r="E23" i="29"/>
  <c r="E17" i="29"/>
  <c r="E14" i="29"/>
  <c r="V117" i="26"/>
  <c r="V112" i="26"/>
  <c r="E80" i="28"/>
  <c r="E23" i="28"/>
  <c r="E17" i="28"/>
  <c r="E14" i="28"/>
  <c r="F68" i="30" l="1"/>
  <c r="F69" i="30"/>
  <c r="H53" i="30"/>
  <c r="J124" i="26"/>
  <c r="F129" i="26"/>
  <c r="L177" i="26"/>
  <c r="L222" i="26" s="1"/>
  <c r="H49" i="26"/>
  <c r="I49" i="26" s="1"/>
  <c r="J49" i="26" s="1"/>
  <c r="K49" i="26" s="1"/>
  <c r="M177" i="26"/>
  <c r="M222" i="26" s="1"/>
  <c r="K177" i="26"/>
  <c r="K222" i="26" s="1"/>
  <c r="H47" i="26"/>
  <c r="I47" i="26" s="1"/>
  <c r="J47" i="26" s="1"/>
  <c r="K47" i="26" s="1"/>
  <c r="H51" i="26"/>
  <c r="I51" i="26" s="1"/>
  <c r="J51" i="26" s="1"/>
  <c r="K51" i="26" s="1"/>
  <c r="O177" i="26"/>
  <c r="O222" i="26" s="1"/>
  <c r="Q124" i="26"/>
  <c r="F167" i="26" s="1"/>
  <c r="M124" i="26"/>
  <c r="I124" i="26"/>
  <c r="P124" i="26"/>
  <c r="L124" i="26"/>
  <c r="H124" i="26"/>
  <c r="K124" i="26"/>
  <c r="O124" i="26"/>
  <c r="G124" i="26"/>
  <c r="N124" i="26"/>
  <c r="G68" i="30" l="1"/>
  <c r="G69" i="30"/>
  <c r="I53" i="30"/>
  <c r="H69" i="30" l="1"/>
  <c r="H68" i="30"/>
  <c r="I68" i="30" l="1"/>
  <c r="I69" i="30"/>
  <c r="G75" i="17" l="1"/>
  <c r="H75" i="17"/>
  <c r="I75" i="17"/>
  <c r="C105" i="17"/>
  <c r="D75" i="17"/>
  <c r="D58" i="17"/>
  <c r="G28" i="23"/>
  <c r="H349" i="26"/>
  <c r="P335" i="26"/>
  <c r="H305" i="26"/>
  <c r="P291" i="26"/>
  <c r="D77" i="17" l="1"/>
  <c r="H260" i="26"/>
  <c r="P246" i="26"/>
  <c r="L155" i="26"/>
  <c r="K155" i="26"/>
  <c r="H214" i="26"/>
  <c r="P200" i="26"/>
  <c r="D234" i="17" l="1"/>
  <c r="D128" i="17"/>
  <c r="D5" i="31"/>
  <c r="D6" i="31" s="1"/>
  <c r="D203" i="17"/>
  <c r="F29" i="17"/>
  <c r="F21" i="17"/>
  <c r="M9" i="17"/>
  <c r="E28" i="17" s="1"/>
  <c r="D28" i="17"/>
  <c r="O9" i="17" l="1"/>
  <c r="E17" i="17" s="1"/>
  <c r="E21" i="17" l="1"/>
  <c r="D29" i="17"/>
  <c r="F36" i="14"/>
  <c r="H5" i="14"/>
  <c r="G59" i="14"/>
  <c r="H59" i="14" s="1"/>
  <c r="G60" i="14"/>
  <c r="H60" i="14" s="1"/>
  <c r="G61" i="14"/>
  <c r="H61" i="14" s="1"/>
  <c r="G58" i="14"/>
  <c r="H58" i="14" s="1"/>
  <c r="C5" i="27"/>
  <c r="F52" i="14"/>
  <c r="G52" i="14" s="1"/>
  <c r="H52" i="14" s="1"/>
  <c r="F23" i="14"/>
  <c r="F22" i="20"/>
  <c r="C80" i="20"/>
  <c r="C86" i="20" s="1"/>
  <c r="G79" i="20"/>
  <c r="G78" i="20"/>
  <c r="G81" i="20"/>
  <c r="D111" i="13"/>
  <c r="E287" i="13"/>
  <c r="E61" i="13"/>
  <c r="E62" i="13"/>
  <c r="E63" i="13"/>
  <c r="E64" i="13"/>
  <c r="E65" i="13"/>
  <c r="E75" i="13"/>
  <c r="E85" i="13"/>
  <c r="E86" i="13"/>
  <c r="E106" i="13"/>
  <c r="E153" i="13"/>
  <c r="E169" i="13"/>
  <c r="E196" i="13"/>
  <c r="E216" i="13"/>
  <c r="E222" i="13"/>
  <c r="E206" i="13"/>
  <c r="E227" i="13"/>
  <c r="E230" i="13"/>
  <c r="E274" i="13" s="1"/>
  <c r="E231" i="13"/>
  <c r="E244" i="13"/>
  <c r="E249" i="13"/>
  <c r="E251" i="13"/>
  <c r="E256" i="13"/>
  <c r="E264" i="13"/>
  <c r="E268" i="13"/>
  <c r="E269" i="13"/>
  <c r="E270" i="13"/>
  <c r="E271" i="13"/>
  <c r="E272" i="13"/>
  <c r="E273" i="13"/>
  <c r="E288" i="13"/>
  <c r="I392" i="26"/>
  <c r="I393" i="26"/>
  <c r="I394" i="26"/>
  <c r="I395" i="26"/>
  <c r="I396" i="26"/>
  <c r="I397" i="26"/>
  <c r="I398" i="26"/>
  <c r="I13" i="26"/>
  <c r="F8" i="26" s="1"/>
  <c r="F12" i="26" s="1"/>
  <c r="H15" i="26" s="1"/>
  <c r="G129" i="26"/>
  <c r="G135" i="26" s="1"/>
  <c r="G141" i="26" s="1"/>
  <c r="H129" i="26"/>
  <c r="H135" i="26" s="1"/>
  <c r="H141" i="26" s="1"/>
  <c r="I129" i="26"/>
  <c r="J129" i="26"/>
  <c r="J135" i="26" s="1"/>
  <c r="J141" i="26" s="1"/>
  <c r="K129" i="26"/>
  <c r="K135" i="26" s="1"/>
  <c r="K141" i="26" s="1"/>
  <c r="L129" i="26"/>
  <c r="L135" i="26" s="1"/>
  <c r="L141" i="26" s="1"/>
  <c r="M129" i="26"/>
  <c r="M135" i="26" s="1"/>
  <c r="M141" i="26" s="1"/>
  <c r="P129" i="26"/>
  <c r="P135" i="26" s="1"/>
  <c r="P141" i="26" s="1"/>
  <c r="Q129" i="26"/>
  <c r="Q135" i="26" s="1"/>
  <c r="Q141" i="26" s="1"/>
  <c r="S117" i="26"/>
  <c r="S112" i="26"/>
  <c r="F443" i="26"/>
  <c r="F431" i="26"/>
  <c r="F414" i="26"/>
  <c r="F398" i="26"/>
  <c r="F160" i="26"/>
  <c r="N155" i="26"/>
  <c r="R9" i="24"/>
  <c r="R10" i="24"/>
  <c r="R11" i="24"/>
  <c r="R12" i="24"/>
  <c r="R13" i="24"/>
  <c r="R14" i="24"/>
  <c r="R8" i="24"/>
  <c r="M9" i="24"/>
  <c r="M10" i="24"/>
  <c r="M11" i="24"/>
  <c r="M12" i="24"/>
  <c r="M13" i="24"/>
  <c r="M14" i="24"/>
  <c r="M8" i="24"/>
  <c r="K9" i="24"/>
  <c r="K10" i="24"/>
  <c r="K11" i="24"/>
  <c r="K12" i="24"/>
  <c r="K13" i="24"/>
  <c r="K14" i="24"/>
  <c r="K8" i="24"/>
  <c r="K15" i="24" s="1"/>
  <c r="I9" i="24"/>
  <c r="I10" i="24"/>
  <c r="I11" i="24"/>
  <c r="I12" i="24"/>
  <c r="I13" i="24"/>
  <c r="I14" i="24"/>
  <c r="I8" i="24"/>
  <c r="I15" i="24" s="1"/>
  <c r="O9" i="24"/>
  <c r="O10" i="24"/>
  <c r="O11" i="24"/>
  <c r="O12" i="24"/>
  <c r="O13" i="24"/>
  <c r="O14" i="24"/>
  <c r="O8" i="24"/>
  <c r="O15" i="24" s="1"/>
  <c r="G9" i="24"/>
  <c r="G10" i="24"/>
  <c r="G11" i="24"/>
  <c r="G12" i="24"/>
  <c r="G13" i="24"/>
  <c r="G14" i="24"/>
  <c r="G8" i="24"/>
  <c r="G15" i="24" s="1"/>
  <c r="E9" i="24"/>
  <c r="E10" i="24"/>
  <c r="E11" i="24"/>
  <c r="E12" i="24"/>
  <c r="E13" i="24"/>
  <c r="E14" i="24"/>
  <c r="E8" i="24"/>
  <c r="C15" i="24"/>
  <c r="H62" i="14" l="1"/>
  <c r="O155" i="26"/>
  <c r="F445" i="26"/>
  <c r="I400" i="26"/>
  <c r="G78" i="26" s="1"/>
  <c r="O268" i="26"/>
  <c r="O313" i="26" s="1"/>
  <c r="I160" i="26"/>
  <c r="M160" i="26" s="1"/>
  <c r="E4" i="27"/>
  <c r="E5" i="27"/>
  <c r="E9" i="27"/>
  <c r="E13" i="27"/>
  <c r="E17" i="27"/>
  <c r="E21" i="27"/>
  <c r="E25" i="27"/>
  <c r="E29" i="27"/>
  <c r="E33" i="27"/>
  <c r="E37" i="27"/>
  <c r="E12" i="27"/>
  <c r="E36" i="27"/>
  <c r="E6" i="27"/>
  <c r="E10" i="27"/>
  <c r="E14" i="27"/>
  <c r="E18" i="27"/>
  <c r="E22" i="27"/>
  <c r="E26" i="27"/>
  <c r="E30" i="27"/>
  <c r="E34" i="27"/>
  <c r="E38" i="27"/>
  <c r="E8" i="27"/>
  <c r="E16" i="27"/>
  <c r="E24" i="27"/>
  <c r="E32" i="27"/>
  <c r="E7" i="27"/>
  <c r="E11" i="27"/>
  <c r="E15" i="27"/>
  <c r="E19" i="27"/>
  <c r="E23" i="27"/>
  <c r="E27" i="27"/>
  <c r="E31" i="27"/>
  <c r="E35" i="27"/>
  <c r="E20" i="27"/>
  <c r="E28" i="27"/>
  <c r="F296" i="26"/>
  <c r="I296" i="26" s="1"/>
  <c r="J146" i="26"/>
  <c r="F303" i="26"/>
  <c r="Q146" i="26"/>
  <c r="F347" i="26" s="1"/>
  <c r="I347" i="26" s="1"/>
  <c r="F302" i="26"/>
  <c r="P146" i="26"/>
  <c r="F346" i="26" s="1"/>
  <c r="I346" i="26" s="1"/>
  <c r="F298" i="26"/>
  <c r="I298" i="26" s="1"/>
  <c r="L146" i="26"/>
  <c r="F342" i="26" s="1"/>
  <c r="I342" i="26" s="1"/>
  <c r="F294" i="26"/>
  <c r="H146" i="26"/>
  <c r="F338" i="26" s="1"/>
  <c r="I338" i="26" s="1"/>
  <c r="F299" i="26"/>
  <c r="I299" i="26" s="1"/>
  <c r="M146" i="26"/>
  <c r="F343" i="26" s="1"/>
  <c r="I343" i="26" s="1"/>
  <c r="F297" i="26"/>
  <c r="I297" i="26" s="1"/>
  <c r="K146" i="26"/>
  <c r="F341" i="26" s="1"/>
  <c r="I341" i="26" s="1"/>
  <c r="F293" i="26"/>
  <c r="I293" i="26" s="1"/>
  <c r="G146" i="26"/>
  <c r="F337" i="26" s="1"/>
  <c r="I337" i="26" s="1"/>
  <c r="I135" i="26"/>
  <c r="I141" i="26" s="1"/>
  <c r="F204" i="26"/>
  <c r="F210" i="26"/>
  <c r="I210" i="26" s="1"/>
  <c r="O129" i="26"/>
  <c r="O135" i="26" s="1"/>
  <c r="F135" i="26"/>
  <c r="F141" i="26" s="1"/>
  <c r="F146" i="26" s="1"/>
  <c r="F209" i="26"/>
  <c r="I209" i="26" s="1"/>
  <c r="N129" i="26"/>
  <c r="N135" i="26" s="1"/>
  <c r="N141" i="26" s="1"/>
  <c r="N268" i="26"/>
  <c r="F205" i="26"/>
  <c r="I205" i="26" s="1"/>
  <c r="F251" i="26"/>
  <c r="I251" i="26" s="1"/>
  <c r="F212" i="26"/>
  <c r="I212" i="26" s="1"/>
  <c r="F258" i="26"/>
  <c r="I258" i="26" s="1"/>
  <c r="F163" i="26"/>
  <c r="F159" i="26"/>
  <c r="I159" i="26" s="1"/>
  <c r="F166" i="26"/>
  <c r="F162" i="26"/>
  <c r="F158" i="26"/>
  <c r="F165" i="26"/>
  <c r="F161" i="26"/>
  <c r="F157" i="26"/>
  <c r="S124" i="26"/>
  <c r="N156" i="26"/>
  <c r="F164" i="26"/>
  <c r="H2" i="27"/>
  <c r="F3" i="27" s="1"/>
  <c r="E3" i="27"/>
  <c r="G80" i="20"/>
  <c r="C87" i="20"/>
  <c r="C85" i="20"/>
  <c r="E217" i="13"/>
  <c r="K268" i="26"/>
  <c r="R15" i="24"/>
  <c r="E15" i="24"/>
  <c r="M15" i="24"/>
  <c r="E21" i="5"/>
  <c r="E23" i="5" s="1"/>
  <c r="F26" i="26" l="1"/>
  <c r="F169" i="26"/>
  <c r="N160" i="26"/>
  <c r="N182" i="26" s="1"/>
  <c r="K160" i="26"/>
  <c r="K182" i="26" s="1"/>
  <c r="G44" i="26"/>
  <c r="O251" i="26"/>
  <c r="O273" i="26" s="1"/>
  <c r="K251" i="26"/>
  <c r="K273" i="26" s="1"/>
  <c r="L251" i="26"/>
  <c r="M251" i="26"/>
  <c r="N251" i="26"/>
  <c r="N273" i="26" s="1"/>
  <c r="J251" i="26"/>
  <c r="O298" i="26"/>
  <c r="O320" i="26" s="1"/>
  <c r="N298" i="26"/>
  <c r="M298" i="26"/>
  <c r="L298" i="26"/>
  <c r="K298" i="26"/>
  <c r="J298" i="26"/>
  <c r="M205" i="26"/>
  <c r="N205" i="26"/>
  <c r="O205" i="26"/>
  <c r="L205" i="26"/>
  <c r="K205" i="26"/>
  <c r="J205" i="26"/>
  <c r="O341" i="26"/>
  <c r="N341" i="26"/>
  <c r="M341" i="26"/>
  <c r="L341" i="26"/>
  <c r="K341" i="26"/>
  <c r="J341" i="26"/>
  <c r="O338" i="26"/>
  <c r="N338" i="26"/>
  <c r="M338" i="26"/>
  <c r="L338" i="26"/>
  <c r="K338" i="26"/>
  <c r="J338" i="26"/>
  <c r="O346" i="26"/>
  <c r="N346" i="26"/>
  <c r="M346" i="26"/>
  <c r="L346" i="26"/>
  <c r="K346" i="26"/>
  <c r="J346" i="26"/>
  <c r="M209" i="26"/>
  <c r="M231" i="26" s="1"/>
  <c r="N209" i="26"/>
  <c r="N231" i="26" s="1"/>
  <c r="O209" i="26"/>
  <c r="O231" i="26" s="1"/>
  <c r="L209" i="26"/>
  <c r="L231" i="26" s="1"/>
  <c r="K209" i="26"/>
  <c r="K231" i="26" s="1"/>
  <c r="J209" i="26"/>
  <c r="O293" i="26"/>
  <c r="O315" i="26" s="1"/>
  <c r="N293" i="26"/>
  <c r="M293" i="26"/>
  <c r="L293" i="26"/>
  <c r="K293" i="26"/>
  <c r="J293" i="26"/>
  <c r="O258" i="26"/>
  <c r="O280" i="26" s="1"/>
  <c r="N258" i="26"/>
  <c r="N280" i="26" s="1"/>
  <c r="M258" i="26"/>
  <c r="L258" i="26"/>
  <c r="K258" i="26"/>
  <c r="K280" i="26" s="1"/>
  <c r="J258" i="26"/>
  <c r="J156" i="26"/>
  <c r="O297" i="26"/>
  <c r="O319" i="26" s="1"/>
  <c r="N297" i="26"/>
  <c r="M297" i="26"/>
  <c r="L297" i="26"/>
  <c r="K297" i="26"/>
  <c r="J297" i="26"/>
  <c r="O299" i="26"/>
  <c r="O321" i="26" s="1"/>
  <c r="N299" i="26"/>
  <c r="M299" i="26"/>
  <c r="L299" i="26"/>
  <c r="K299" i="26"/>
  <c r="J299" i="26"/>
  <c r="M156" i="26"/>
  <c r="K156" i="26"/>
  <c r="L156" i="26"/>
  <c r="M212" i="26"/>
  <c r="M234" i="26" s="1"/>
  <c r="N212" i="26"/>
  <c r="N234" i="26" s="1"/>
  <c r="O212" i="26"/>
  <c r="O234" i="26" s="1"/>
  <c r="L212" i="26"/>
  <c r="L234" i="26" s="1"/>
  <c r="K212" i="26"/>
  <c r="K234" i="26" s="1"/>
  <c r="J212" i="26"/>
  <c r="N210" i="26"/>
  <c r="J210" i="26"/>
  <c r="M210" i="26"/>
  <c r="K210" i="26"/>
  <c r="L210" i="26"/>
  <c r="O210" i="26"/>
  <c r="O337" i="26"/>
  <c r="N337" i="26"/>
  <c r="M337" i="26"/>
  <c r="L337" i="26"/>
  <c r="K337" i="26"/>
  <c r="J337" i="26"/>
  <c r="O343" i="26"/>
  <c r="N343" i="26"/>
  <c r="M343" i="26"/>
  <c r="L343" i="26"/>
  <c r="K343" i="26"/>
  <c r="J343" i="26"/>
  <c r="O342" i="26"/>
  <c r="N342" i="26"/>
  <c r="M342" i="26"/>
  <c r="L342" i="26"/>
  <c r="K342" i="26"/>
  <c r="J342" i="26"/>
  <c r="O347" i="26"/>
  <c r="N347" i="26"/>
  <c r="M347" i="26"/>
  <c r="L347" i="26"/>
  <c r="K347" i="26"/>
  <c r="J347" i="26"/>
  <c r="O296" i="26"/>
  <c r="O318" i="26" s="1"/>
  <c r="N296" i="26"/>
  <c r="M296" i="26"/>
  <c r="J296" i="26"/>
  <c r="K296" i="26"/>
  <c r="L296" i="26"/>
  <c r="O156" i="26"/>
  <c r="M268" i="26"/>
  <c r="M182" i="26"/>
  <c r="L160" i="26"/>
  <c r="L182" i="26" s="1"/>
  <c r="O160" i="26"/>
  <c r="O182" i="26" s="1"/>
  <c r="F255" i="26"/>
  <c r="I255" i="26" s="1"/>
  <c r="I157" i="26"/>
  <c r="O157" i="26" s="1"/>
  <c r="O179" i="26" s="1"/>
  <c r="F336" i="26"/>
  <c r="I336" i="26" s="1"/>
  <c r="K78" i="26"/>
  <c r="J78" i="26"/>
  <c r="H78" i="26"/>
  <c r="I78" i="26"/>
  <c r="I303" i="26"/>
  <c r="I164" i="26"/>
  <c r="K164" i="26" s="1"/>
  <c r="K186" i="26" s="1"/>
  <c r="I162" i="26"/>
  <c r="M162" i="26" s="1"/>
  <c r="M184" i="26" s="1"/>
  <c r="I163" i="26"/>
  <c r="M163" i="26" s="1"/>
  <c r="M185" i="26" s="1"/>
  <c r="I167" i="26"/>
  <c r="M167" i="26" s="1"/>
  <c r="M189" i="26" s="1"/>
  <c r="I161" i="26"/>
  <c r="M161" i="26" s="1"/>
  <c r="M183" i="26" s="1"/>
  <c r="I166" i="26"/>
  <c r="O166" i="26" s="1"/>
  <c r="O188" i="26" s="1"/>
  <c r="I294" i="26"/>
  <c r="I302" i="26"/>
  <c r="I158" i="26"/>
  <c r="M158" i="26" s="1"/>
  <c r="M180" i="26" s="1"/>
  <c r="I165" i="26"/>
  <c r="L165" i="26" s="1"/>
  <c r="L187" i="26" s="1"/>
  <c r="O357" i="26"/>
  <c r="K313" i="26"/>
  <c r="F300" i="26"/>
  <c r="I300" i="26" s="1"/>
  <c r="N146" i="26"/>
  <c r="F344" i="26" s="1"/>
  <c r="I344" i="26" s="1"/>
  <c r="F295" i="26"/>
  <c r="I295" i="26" s="1"/>
  <c r="I146" i="26"/>
  <c r="F339" i="26" s="1"/>
  <c r="I339" i="26" s="1"/>
  <c r="F340" i="26"/>
  <c r="I340" i="26" s="1"/>
  <c r="N313" i="26"/>
  <c r="F256" i="26"/>
  <c r="I256" i="26" s="1"/>
  <c r="O141" i="26"/>
  <c r="F250" i="26"/>
  <c r="I250" i="26" s="1"/>
  <c r="F292" i="26"/>
  <c r="I292" i="26" s="1"/>
  <c r="S135" i="26"/>
  <c r="I76" i="26" s="1"/>
  <c r="I44" i="26" s="1"/>
  <c r="S129" i="26"/>
  <c r="H76" i="26" s="1"/>
  <c r="H44" i="26" s="1"/>
  <c r="F208" i="26"/>
  <c r="I208" i="26" s="1"/>
  <c r="F206" i="26"/>
  <c r="F252" i="26"/>
  <c r="I252" i="26" s="1"/>
  <c r="F203" i="26"/>
  <c r="F249" i="26"/>
  <c r="I249" i="26" s="1"/>
  <c r="F211" i="26"/>
  <c r="I211" i="26" s="1"/>
  <c r="F257" i="26"/>
  <c r="I257" i="26" s="1"/>
  <c r="F201" i="26"/>
  <c r="I201" i="26" s="1"/>
  <c r="F202" i="26"/>
  <c r="I202" i="26" s="1"/>
  <c r="F248" i="26"/>
  <c r="I248" i="26" s="1"/>
  <c r="F207" i="26"/>
  <c r="I207" i="26" s="1"/>
  <c r="P155" i="26"/>
  <c r="J159" i="26"/>
  <c r="F28" i="26"/>
  <c r="G3" i="27"/>
  <c r="G88" i="20"/>
  <c r="J79" i="20"/>
  <c r="J77" i="20"/>
  <c r="G86" i="20"/>
  <c r="G87" i="20"/>
  <c r="J80" i="20"/>
  <c r="J81" i="20"/>
  <c r="J78" i="20"/>
  <c r="C90" i="20"/>
  <c r="C92" i="20" s="1"/>
  <c r="F27" i="26"/>
  <c r="N157" i="26"/>
  <c r="N179" i="26" s="1"/>
  <c r="J160" i="26"/>
  <c r="F288" i="13"/>
  <c r="F16" i="13"/>
  <c r="F29" i="26" l="1"/>
  <c r="M157" i="26"/>
  <c r="M179" i="26" s="1"/>
  <c r="J157" i="26"/>
  <c r="N162" i="26"/>
  <c r="N184" i="26" s="1"/>
  <c r="L268" i="26"/>
  <c r="N292" i="26"/>
  <c r="N314" i="26" s="1"/>
  <c r="O292" i="26"/>
  <c r="O314" i="26" s="1"/>
  <c r="K292" i="26"/>
  <c r="K314" i="26" s="1"/>
  <c r="L292" i="26"/>
  <c r="M292" i="26"/>
  <c r="J292" i="26"/>
  <c r="K162" i="26"/>
  <c r="K184" i="26" s="1"/>
  <c r="M207" i="26"/>
  <c r="N207" i="26"/>
  <c r="O207" i="26"/>
  <c r="L207" i="26"/>
  <c r="K207" i="26"/>
  <c r="J207" i="26"/>
  <c r="O249" i="26"/>
  <c r="O271" i="26" s="1"/>
  <c r="N249" i="26"/>
  <c r="N271" i="26" s="1"/>
  <c r="M249" i="26"/>
  <c r="M271" i="26" s="1"/>
  <c r="L249" i="26"/>
  <c r="K249" i="26"/>
  <c r="K271" i="26" s="1"/>
  <c r="J249" i="26"/>
  <c r="M208" i="26"/>
  <c r="N208" i="26"/>
  <c r="O208" i="26"/>
  <c r="L208" i="26"/>
  <c r="K208" i="26"/>
  <c r="J208" i="26"/>
  <c r="O250" i="26"/>
  <c r="O272" i="26" s="1"/>
  <c r="N250" i="26"/>
  <c r="N272" i="26" s="1"/>
  <c r="M250" i="26"/>
  <c r="M272" i="26" s="1"/>
  <c r="L250" i="26"/>
  <c r="K250" i="26"/>
  <c r="K272" i="26" s="1"/>
  <c r="J250" i="26"/>
  <c r="O295" i="26"/>
  <c r="O317" i="26" s="1"/>
  <c r="N295" i="26"/>
  <c r="M295" i="26"/>
  <c r="L295" i="26"/>
  <c r="K295" i="26"/>
  <c r="K317" i="26" s="1"/>
  <c r="J295" i="26"/>
  <c r="O302" i="26"/>
  <c r="O324" i="26" s="1"/>
  <c r="N302" i="26"/>
  <c r="N324" i="26" s="1"/>
  <c r="M302" i="26"/>
  <c r="L302" i="26"/>
  <c r="K302" i="26"/>
  <c r="K324" i="26" s="1"/>
  <c r="J302" i="26"/>
  <c r="L336" i="26"/>
  <c r="M336" i="26"/>
  <c r="O336" i="26"/>
  <c r="O358" i="26" s="1"/>
  <c r="N336" i="26"/>
  <c r="K336" i="26"/>
  <c r="J336" i="26"/>
  <c r="M211" i="26"/>
  <c r="N211" i="26"/>
  <c r="O211" i="26"/>
  <c r="L211" i="26"/>
  <c r="K211" i="26"/>
  <c r="J211" i="26"/>
  <c r="O339" i="26"/>
  <c r="O361" i="26" s="1"/>
  <c r="N339" i="26"/>
  <c r="M339" i="26"/>
  <c r="L339" i="26"/>
  <c r="K339" i="26"/>
  <c r="J339" i="26"/>
  <c r="O248" i="26"/>
  <c r="N248" i="26"/>
  <c r="N270" i="26" s="1"/>
  <c r="M248" i="26"/>
  <c r="M270" i="26" s="1"/>
  <c r="L248" i="26"/>
  <c r="K248" i="26"/>
  <c r="K270" i="26" s="1"/>
  <c r="J248" i="26"/>
  <c r="N340" i="26"/>
  <c r="M340" i="26"/>
  <c r="J340" i="26"/>
  <c r="O340" i="26"/>
  <c r="O362" i="26" s="1"/>
  <c r="L340" i="26"/>
  <c r="K340" i="26"/>
  <c r="J344" i="26"/>
  <c r="O344" i="26"/>
  <c r="O366" i="26" s="1"/>
  <c r="L344" i="26"/>
  <c r="K344" i="26"/>
  <c r="N344" i="26"/>
  <c r="M344" i="26"/>
  <c r="O294" i="26"/>
  <c r="O316" i="26" s="1"/>
  <c r="N294" i="26"/>
  <c r="N316" i="26" s="1"/>
  <c r="M294" i="26"/>
  <c r="L294" i="26"/>
  <c r="K294" i="26"/>
  <c r="K316" i="26" s="1"/>
  <c r="J294" i="26"/>
  <c r="O303" i="26"/>
  <c r="O325" i="26" s="1"/>
  <c r="N303" i="26"/>
  <c r="N325" i="26" s="1"/>
  <c r="M303" i="26"/>
  <c r="L303" i="26"/>
  <c r="K303" i="26"/>
  <c r="K325" i="26" s="1"/>
  <c r="J303" i="26"/>
  <c r="M201" i="26"/>
  <c r="M223" i="26" s="1"/>
  <c r="N201" i="26"/>
  <c r="N223" i="26" s="1"/>
  <c r="O201" i="26"/>
  <c r="O223" i="26" s="1"/>
  <c r="L201" i="26"/>
  <c r="L223" i="26" s="1"/>
  <c r="K201" i="26"/>
  <c r="K223" i="26" s="1"/>
  <c r="J201" i="26"/>
  <c r="N255" i="26"/>
  <c r="N277" i="26" s="1"/>
  <c r="J255" i="26"/>
  <c r="O255" i="26"/>
  <c r="O277" i="26" s="1"/>
  <c r="K255" i="26"/>
  <c r="L255" i="26"/>
  <c r="M255" i="26"/>
  <c r="M277" i="26" s="1"/>
  <c r="L202" i="26"/>
  <c r="L224" i="26" s="1"/>
  <c r="O202" i="26"/>
  <c r="O224" i="26" s="1"/>
  <c r="N202" i="26"/>
  <c r="N224" i="26" s="1"/>
  <c r="J202" i="26"/>
  <c r="M202" i="26"/>
  <c r="M224" i="26" s="1"/>
  <c r="K202" i="26"/>
  <c r="O257" i="26"/>
  <c r="O279" i="26" s="1"/>
  <c r="N257" i="26"/>
  <c r="N279" i="26" s="1"/>
  <c r="M257" i="26"/>
  <c r="M279" i="26" s="1"/>
  <c r="L257" i="26"/>
  <c r="K257" i="26"/>
  <c r="K279" i="26" s="1"/>
  <c r="J257" i="26"/>
  <c r="O252" i="26"/>
  <c r="O274" i="26" s="1"/>
  <c r="N252" i="26"/>
  <c r="N274" i="26" s="1"/>
  <c r="M252" i="26"/>
  <c r="M274" i="26" s="1"/>
  <c r="L252" i="26"/>
  <c r="K252" i="26"/>
  <c r="K274" i="26" s="1"/>
  <c r="J252" i="26"/>
  <c r="O256" i="26"/>
  <c r="O278" i="26" s="1"/>
  <c r="N256" i="26"/>
  <c r="N278" i="26" s="1"/>
  <c r="M256" i="26"/>
  <c r="M278" i="26" s="1"/>
  <c r="L256" i="26"/>
  <c r="K256" i="26"/>
  <c r="K278" i="26" s="1"/>
  <c r="J256" i="26"/>
  <c r="O300" i="26"/>
  <c r="O322" i="26" s="1"/>
  <c r="N300" i="26"/>
  <c r="N322" i="26" s="1"/>
  <c r="M300" i="26"/>
  <c r="L300" i="26"/>
  <c r="J300" i="26"/>
  <c r="K300" i="26"/>
  <c r="K322" i="26" s="1"/>
  <c r="K157" i="26"/>
  <c r="K179" i="26" s="1"/>
  <c r="L157" i="26"/>
  <c r="L179" i="26" s="1"/>
  <c r="K277" i="26"/>
  <c r="I81" i="26"/>
  <c r="H81" i="26"/>
  <c r="J167" i="26"/>
  <c r="I169" i="26"/>
  <c r="G43" i="26" s="1"/>
  <c r="E65" i="30" s="1"/>
  <c r="K166" i="26"/>
  <c r="K188" i="26" s="1"/>
  <c r="P298" i="26"/>
  <c r="J162" i="26"/>
  <c r="O162" i="26"/>
  <c r="O184" i="26" s="1"/>
  <c r="N166" i="26"/>
  <c r="N188" i="26" s="1"/>
  <c r="J166" i="26"/>
  <c r="L162" i="26"/>
  <c r="L184" i="26" s="1"/>
  <c r="L166" i="26"/>
  <c r="L188" i="26" s="1"/>
  <c r="L158" i="26"/>
  <c r="L180" i="26" s="1"/>
  <c r="N158" i="26"/>
  <c r="N180" i="26" s="1"/>
  <c r="K158" i="26"/>
  <c r="K180" i="26" s="1"/>
  <c r="J163" i="26"/>
  <c r="O158" i="26"/>
  <c r="O180" i="26" s="1"/>
  <c r="P296" i="26"/>
  <c r="K167" i="26"/>
  <c r="K189" i="26" s="1"/>
  <c r="K165" i="26"/>
  <c r="K187" i="26" s="1"/>
  <c r="N167" i="26"/>
  <c r="N189" i="26" s="1"/>
  <c r="P299" i="26"/>
  <c r="L167" i="26"/>
  <c r="L189" i="26" s="1"/>
  <c r="J158" i="26"/>
  <c r="O167" i="26"/>
  <c r="O189" i="26" s="1"/>
  <c r="P297" i="26"/>
  <c r="J164" i="26"/>
  <c r="N165" i="26"/>
  <c r="N187" i="26" s="1"/>
  <c r="I203" i="26"/>
  <c r="N164" i="26"/>
  <c r="N186" i="26" s="1"/>
  <c r="K161" i="26"/>
  <c r="K183" i="26" s="1"/>
  <c r="M165" i="26"/>
  <c r="M187" i="26" s="1"/>
  <c r="M164" i="26"/>
  <c r="M186" i="26" s="1"/>
  <c r="N161" i="26"/>
  <c r="N183" i="26" s="1"/>
  <c r="O161" i="26"/>
  <c r="O183" i="26" s="1"/>
  <c r="O165" i="26"/>
  <c r="O187" i="26" s="1"/>
  <c r="O164" i="26"/>
  <c r="O186" i="26" s="1"/>
  <c r="L164" i="26"/>
  <c r="L186" i="26" s="1"/>
  <c r="K163" i="26"/>
  <c r="K185" i="26" s="1"/>
  <c r="O163" i="26"/>
  <c r="O185" i="26" s="1"/>
  <c r="L163" i="26"/>
  <c r="L185" i="26" s="1"/>
  <c r="N163" i="26"/>
  <c r="N185" i="26" s="1"/>
  <c r="J161" i="26"/>
  <c r="J165" i="26"/>
  <c r="I206" i="26"/>
  <c r="L161" i="26"/>
  <c r="L183" i="26" s="1"/>
  <c r="M166" i="26"/>
  <c r="M188" i="26" s="1"/>
  <c r="P342" i="26"/>
  <c r="H3" i="27"/>
  <c r="F4" i="27" s="1"/>
  <c r="G4" i="27" s="1"/>
  <c r="M273" i="26"/>
  <c r="M280" i="26"/>
  <c r="N320" i="26"/>
  <c r="N318" i="26"/>
  <c r="N321" i="26"/>
  <c r="N319" i="26"/>
  <c r="N315" i="26"/>
  <c r="N357" i="26"/>
  <c r="P337" i="26"/>
  <c r="F301" i="26"/>
  <c r="I301" i="26" s="1"/>
  <c r="O146" i="26"/>
  <c r="F345" i="26" s="1"/>
  <c r="I345" i="26" s="1"/>
  <c r="P347" i="26"/>
  <c r="P293" i="26"/>
  <c r="P343" i="26"/>
  <c r="P338" i="26"/>
  <c r="P341" i="26"/>
  <c r="K320" i="26"/>
  <c r="K321" i="26"/>
  <c r="K315" i="26"/>
  <c r="K318" i="26"/>
  <c r="K319" i="26"/>
  <c r="K357" i="26"/>
  <c r="K364" i="26" s="1"/>
  <c r="O368" i="26"/>
  <c r="O359" i="26"/>
  <c r="O363" i="26"/>
  <c r="O360" i="26"/>
  <c r="O364" i="26"/>
  <c r="O369" i="26"/>
  <c r="O365" i="26"/>
  <c r="P346" i="26"/>
  <c r="S141" i="26"/>
  <c r="J76" i="26" s="1"/>
  <c r="J44" i="26" s="1"/>
  <c r="K178" i="26"/>
  <c r="M313" i="26"/>
  <c r="M357" i="26" s="1"/>
  <c r="P212" i="26"/>
  <c r="P209" i="26"/>
  <c r="P258" i="26"/>
  <c r="F253" i="26"/>
  <c r="I253" i="26" s="1"/>
  <c r="F254" i="26"/>
  <c r="I254" i="26" s="1"/>
  <c r="P251" i="26"/>
  <c r="F247" i="26"/>
  <c r="I247" i="26" s="1"/>
  <c r="I204" i="26"/>
  <c r="M159" i="26"/>
  <c r="M181" i="26" s="1"/>
  <c r="N159" i="26"/>
  <c r="N181" i="26" s="1"/>
  <c r="O159" i="26"/>
  <c r="O181" i="26" s="1"/>
  <c r="L159" i="26"/>
  <c r="L181" i="26" s="1"/>
  <c r="K159" i="26"/>
  <c r="K181" i="26" s="1"/>
  <c r="G91" i="20"/>
  <c r="G93" i="20" s="1"/>
  <c r="F7" i="20" s="1"/>
  <c r="J82" i="20"/>
  <c r="G7" i="20" s="1"/>
  <c r="P160" i="26"/>
  <c r="F6" i="14"/>
  <c r="F20" i="14"/>
  <c r="F9" i="14"/>
  <c r="F10" i="14"/>
  <c r="F11" i="14"/>
  <c r="F12" i="14"/>
  <c r="F13" i="14"/>
  <c r="F14" i="14"/>
  <c r="F21" i="14"/>
  <c r="F22" i="14"/>
  <c r="F24" i="14"/>
  <c r="F25" i="14"/>
  <c r="F27" i="14"/>
  <c r="F28" i="14"/>
  <c r="F29" i="14"/>
  <c r="F30" i="14"/>
  <c r="F31" i="14"/>
  <c r="F32" i="14"/>
  <c r="F33" i="14"/>
  <c r="F34" i="14"/>
  <c r="F35" i="14"/>
  <c r="E29" i="20"/>
  <c r="G28" i="20"/>
  <c r="H23" i="20"/>
  <c r="I23" i="20" s="1"/>
  <c r="H24" i="20"/>
  <c r="I24" i="20" s="1"/>
  <c r="H25" i="20"/>
  <c r="I25" i="20" s="1"/>
  <c r="H26" i="20"/>
  <c r="I26" i="20" s="1"/>
  <c r="F23" i="20"/>
  <c r="F24" i="20"/>
  <c r="F25" i="20"/>
  <c r="F26" i="20"/>
  <c r="C28" i="20"/>
  <c r="C29" i="20" s="1"/>
  <c r="C34" i="20"/>
  <c r="G308" i="20"/>
  <c r="G309" i="20"/>
  <c r="C308" i="20"/>
  <c r="C311" i="20" s="1"/>
  <c r="C317" i="20" s="1"/>
  <c r="G310" i="20"/>
  <c r="G312" i="20"/>
  <c r="G287" i="20"/>
  <c r="G291" i="20" s="1"/>
  <c r="C287" i="20"/>
  <c r="C290" i="20" s="1"/>
  <c r="C296" i="20" s="1"/>
  <c r="G289" i="20"/>
  <c r="G288" i="20"/>
  <c r="G266" i="20"/>
  <c r="G270" i="20" s="1"/>
  <c r="C268" i="20" s="1"/>
  <c r="G268" i="20" s="1"/>
  <c r="C266" i="20"/>
  <c r="G245" i="20"/>
  <c r="G249" i="20" s="1"/>
  <c r="C246" i="20" s="1"/>
  <c r="C245" i="20"/>
  <c r="G224" i="20"/>
  <c r="G228" i="20" s="1"/>
  <c r="C224" i="20"/>
  <c r="C227" i="20" s="1"/>
  <c r="C233" i="20" s="1"/>
  <c r="G226" i="20"/>
  <c r="G225" i="20"/>
  <c r="G203" i="20"/>
  <c r="G207" i="20" s="1"/>
  <c r="C205" i="20" s="1"/>
  <c r="G205" i="20" s="1"/>
  <c r="C203" i="20"/>
  <c r="G183" i="20"/>
  <c r="G187" i="20" s="1"/>
  <c r="C183" i="20"/>
  <c r="G162" i="20"/>
  <c r="G166" i="20" s="1"/>
  <c r="C162" i="20"/>
  <c r="G141" i="20"/>
  <c r="G145" i="20" s="1"/>
  <c r="C141" i="20"/>
  <c r="G120" i="20"/>
  <c r="G124" i="20" s="1"/>
  <c r="C120" i="20"/>
  <c r="C123" i="20" s="1"/>
  <c r="C129" i="20" s="1"/>
  <c r="G122" i="20"/>
  <c r="G121" i="20"/>
  <c r="G99" i="20"/>
  <c r="G103" i="20" s="1"/>
  <c r="C99" i="20"/>
  <c r="C102" i="20" s="1"/>
  <c r="C108" i="20" s="1"/>
  <c r="G101" i="20"/>
  <c r="G100" i="20"/>
  <c r="G55" i="20"/>
  <c r="G59" i="20" s="1"/>
  <c r="C55" i="20"/>
  <c r="H7" i="20" l="1"/>
  <c r="I7" i="20" s="1"/>
  <c r="E72" i="30"/>
  <c r="E71" i="30"/>
  <c r="C10" i="23" s="1"/>
  <c r="H28" i="20"/>
  <c r="L278" i="26"/>
  <c r="F94" i="26"/>
  <c r="H94" i="26"/>
  <c r="G94" i="26"/>
  <c r="L273" i="26"/>
  <c r="H95" i="26"/>
  <c r="G95" i="26"/>
  <c r="F95" i="26"/>
  <c r="L277" i="26"/>
  <c r="L313" i="26"/>
  <c r="L357" i="26" s="1"/>
  <c r="L280" i="26"/>
  <c r="L274" i="26"/>
  <c r="L279" i="26"/>
  <c r="L270" i="26"/>
  <c r="L272" i="26"/>
  <c r="L271" i="26"/>
  <c r="P157" i="26"/>
  <c r="P255" i="26"/>
  <c r="M204" i="26"/>
  <c r="M226" i="26" s="1"/>
  <c r="N204" i="26"/>
  <c r="N226" i="26" s="1"/>
  <c r="O204" i="26"/>
  <c r="O226" i="26" s="1"/>
  <c r="L204" i="26"/>
  <c r="L226" i="26" s="1"/>
  <c r="K204" i="26"/>
  <c r="K226" i="26" s="1"/>
  <c r="J204" i="26"/>
  <c r="M247" i="26"/>
  <c r="M269" i="26" s="1"/>
  <c r="N247" i="26"/>
  <c r="N269" i="26" s="1"/>
  <c r="J247" i="26"/>
  <c r="O247" i="26"/>
  <c r="O269" i="26" s="1"/>
  <c r="K247" i="26"/>
  <c r="K269" i="26" s="1"/>
  <c r="L247" i="26"/>
  <c r="L269" i="26" s="1"/>
  <c r="O254" i="26"/>
  <c r="N254" i="26"/>
  <c r="N276" i="26" s="1"/>
  <c r="M254" i="26"/>
  <c r="M276" i="26" s="1"/>
  <c r="L254" i="26"/>
  <c r="L276" i="26" s="1"/>
  <c r="K254" i="26"/>
  <c r="J254" i="26"/>
  <c r="M203" i="26"/>
  <c r="N203" i="26"/>
  <c r="N225" i="26" s="1"/>
  <c r="O203" i="26"/>
  <c r="O225" i="26" s="1"/>
  <c r="L203" i="26"/>
  <c r="L225" i="26" s="1"/>
  <c r="K203" i="26"/>
  <c r="K225" i="26" s="1"/>
  <c r="J203" i="26"/>
  <c r="O253" i="26"/>
  <c r="O275" i="26" s="1"/>
  <c r="N253" i="26"/>
  <c r="N275" i="26" s="1"/>
  <c r="M253" i="26"/>
  <c r="M275" i="26" s="1"/>
  <c r="L253" i="26"/>
  <c r="K253" i="26"/>
  <c r="K275" i="26" s="1"/>
  <c r="J253" i="26"/>
  <c r="O345" i="26"/>
  <c r="N345" i="26"/>
  <c r="M345" i="26"/>
  <c r="L345" i="26"/>
  <c r="K345" i="26"/>
  <c r="J345" i="26"/>
  <c r="M206" i="26"/>
  <c r="M228" i="26" s="1"/>
  <c r="K206" i="26"/>
  <c r="K228" i="26" s="1"/>
  <c r="L206" i="26"/>
  <c r="L228" i="26" s="1"/>
  <c r="O206" i="26"/>
  <c r="O228" i="26" s="1"/>
  <c r="N206" i="26"/>
  <c r="N228" i="26" s="1"/>
  <c r="J206" i="26"/>
  <c r="O301" i="26"/>
  <c r="O323" i="26" s="1"/>
  <c r="O327" i="26" s="1"/>
  <c r="N301" i="26"/>
  <c r="M301" i="26"/>
  <c r="M323" i="26" s="1"/>
  <c r="L301" i="26"/>
  <c r="K301" i="26"/>
  <c r="K323" i="26" s="1"/>
  <c r="J301" i="26"/>
  <c r="K363" i="26"/>
  <c r="K365" i="26"/>
  <c r="J81" i="26"/>
  <c r="K359" i="26"/>
  <c r="K366" i="26"/>
  <c r="K360" i="26"/>
  <c r="K362" i="26"/>
  <c r="K368" i="26"/>
  <c r="P162" i="26"/>
  <c r="S146" i="26"/>
  <c r="K76" i="26" s="1"/>
  <c r="K44" i="26" s="1"/>
  <c r="K361" i="26"/>
  <c r="P166" i="26"/>
  <c r="M225" i="26"/>
  <c r="P158" i="26"/>
  <c r="P164" i="26"/>
  <c r="N323" i="26"/>
  <c r="P300" i="26"/>
  <c r="P340" i="26"/>
  <c r="P295" i="26"/>
  <c r="P161" i="26"/>
  <c r="P256" i="26"/>
  <c r="P167" i="26"/>
  <c r="F305" i="26"/>
  <c r="P165" i="26"/>
  <c r="P339" i="26"/>
  <c r="P303" i="26"/>
  <c r="P302" i="26"/>
  <c r="P163" i="26"/>
  <c r="P294" i="26"/>
  <c r="H4" i="27"/>
  <c r="F5" i="27" s="1"/>
  <c r="G5" i="27" s="1"/>
  <c r="H5" i="27" s="1"/>
  <c r="F6" i="27" s="1"/>
  <c r="G6" i="27" s="1"/>
  <c r="H6" i="27" s="1"/>
  <c r="P336" i="26"/>
  <c r="M316" i="26"/>
  <c r="M320" i="26"/>
  <c r="M324" i="26"/>
  <c r="M317" i="26"/>
  <c r="M321" i="26"/>
  <c r="M325" i="26"/>
  <c r="M315" i="26"/>
  <c r="M322" i="26"/>
  <c r="M318" i="26"/>
  <c r="M314" i="26"/>
  <c r="M319" i="26"/>
  <c r="F349" i="26"/>
  <c r="K358" i="26"/>
  <c r="N362" i="26"/>
  <c r="N366" i="26"/>
  <c r="N358" i="26"/>
  <c r="N368" i="26"/>
  <c r="N359" i="26"/>
  <c r="N363" i="26"/>
  <c r="N360" i="26"/>
  <c r="N364" i="26"/>
  <c r="N369" i="26"/>
  <c r="N361" i="26"/>
  <c r="N365" i="26"/>
  <c r="J169" i="26"/>
  <c r="N317" i="26"/>
  <c r="P250" i="26"/>
  <c r="K369" i="26"/>
  <c r="P344" i="26"/>
  <c r="I305" i="26"/>
  <c r="J43" i="26" s="1"/>
  <c r="H65" i="30" s="1"/>
  <c r="H16" i="26"/>
  <c r="K169" i="26"/>
  <c r="P249" i="26"/>
  <c r="F260" i="26"/>
  <c r="K276" i="26"/>
  <c r="O276" i="26"/>
  <c r="P257" i="26"/>
  <c r="P248" i="26"/>
  <c r="O270" i="26"/>
  <c r="P252" i="26"/>
  <c r="L275" i="26"/>
  <c r="K224" i="26"/>
  <c r="K191" i="26"/>
  <c r="K227" i="26"/>
  <c r="L227" i="26"/>
  <c r="N227" i="26"/>
  <c r="O227" i="26"/>
  <c r="M227" i="26"/>
  <c r="P201" i="26"/>
  <c r="P202" i="26"/>
  <c r="P159" i="26"/>
  <c r="M169" i="26"/>
  <c r="M178" i="26"/>
  <c r="M191" i="26" s="1"/>
  <c r="N178" i="26"/>
  <c r="N191" i="26" s="1"/>
  <c r="N169" i="26"/>
  <c r="L178" i="26"/>
  <c r="L191" i="26" s="1"/>
  <c r="L169" i="26"/>
  <c r="P156" i="26"/>
  <c r="O169" i="26"/>
  <c r="O178" i="26"/>
  <c r="O191" i="26" s="1"/>
  <c r="F28" i="20"/>
  <c r="I28" i="20"/>
  <c r="G227" i="20"/>
  <c r="J224" i="20" s="1"/>
  <c r="C247" i="20"/>
  <c r="G247" i="20" s="1"/>
  <c r="G246" i="20"/>
  <c r="C267" i="20"/>
  <c r="G311" i="20"/>
  <c r="C318" i="20"/>
  <c r="C316" i="20"/>
  <c r="G290" i="20"/>
  <c r="C297" i="20"/>
  <c r="C295" i="20"/>
  <c r="C234" i="20"/>
  <c r="C232" i="20"/>
  <c r="C204" i="20"/>
  <c r="C184" i="20"/>
  <c r="C185" i="20"/>
  <c r="G185" i="20" s="1"/>
  <c r="C163" i="20"/>
  <c r="C164" i="20"/>
  <c r="G164" i="20" s="1"/>
  <c r="C142" i="20"/>
  <c r="C143" i="20"/>
  <c r="G143" i="20" s="1"/>
  <c r="G123" i="20"/>
  <c r="C130" i="20"/>
  <c r="C128" i="20"/>
  <c r="G102" i="20"/>
  <c r="C109" i="20"/>
  <c r="C107" i="20"/>
  <c r="G56" i="20"/>
  <c r="G57" i="20"/>
  <c r="H72" i="30" l="1"/>
  <c r="H71" i="30"/>
  <c r="F10" i="23" s="1"/>
  <c r="L325" i="26"/>
  <c r="L315" i="26"/>
  <c r="L324" i="26"/>
  <c r="I94" i="26"/>
  <c r="H59" i="26" s="1"/>
  <c r="L322" i="26"/>
  <c r="L321" i="26"/>
  <c r="L320" i="26"/>
  <c r="L323" i="26"/>
  <c r="I95" i="26"/>
  <c r="I59" i="26" s="1"/>
  <c r="L314" i="26"/>
  <c r="L317" i="26"/>
  <c r="L316" i="26"/>
  <c r="G96" i="26"/>
  <c r="H96" i="26"/>
  <c r="F96" i="26"/>
  <c r="L318" i="26"/>
  <c r="L319" i="26"/>
  <c r="L305" i="26"/>
  <c r="N327" i="26"/>
  <c r="M305" i="26"/>
  <c r="K81" i="26"/>
  <c r="P169" i="26"/>
  <c r="K305" i="26"/>
  <c r="N305" i="26"/>
  <c r="P203" i="26"/>
  <c r="P301" i="26"/>
  <c r="O305" i="26"/>
  <c r="P206" i="26"/>
  <c r="M327" i="26"/>
  <c r="F7" i="27"/>
  <c r="G7" i="27" s="1"/>
  <c r="M362" i="26"/>
  <c r="M366" i="26"/>
  <c r="M358" i="26"/>
  <c r="M364" i="26"/>
  <c r="M359" i="26"/>
  <c r="M363" i="26"/>
  <c r="M360" i="26"/>
  <c r="M368" i="26"/>
  <c r="M361" i="26"/>
  <c r="M365" i="26"/>
  <c r="M369" i="26"/>
  <c r="L362" i="26"/>
  <c r="L366" i="26"/>
  <c r="L358" i="26"/>
  <c r="L360" i="26"/>
  <c r="L368" i="26"/>
  <c r="L359" i="26"/>
  <c r="L363" i="26"/>
  <c r="L364" i="26"/>
  <c r="L365" i="26"/>
  <c r="L361" i="26"/>
  <c r="L369" i="26"/>
  <c r="M349" i="26"/>
  <c r="L349" i="26"/>
  <c r="I349" i="26"/>
  <c r="K43" i="26" s="1"/>
  <c r="I65" i="30" s="1"/>
  <c r="K327" i="26"/>
  <c r="K260" i="26"/>
  <c r="J305" i="26"/>
  <c r="P292" i="26"/>
  <c r="N260" i="26"/>
  <c r="M260" i="26"/>
  <c r="I260" i="26"/>
  <c r="I43" i="26" s="1"/>
  <c r="G65" i="30" s="1"/>
  <c r="L260" i="26"/>
  <c r="P253" i="26"/>
  <c r="O260" i="26"/>
  <c r="K282" i="26"/>
  <c r="N282" i="26"/>
  <c r="M282" i="26"/>
  <c r="L282" i="26"/>
  <c r="O282" i="26"/>
  <c r="P254" i="26"/>
  <c r="I214" i="26"/>
  <c r="H43" i="26" s="1"/>
  <c r="F65" i="30" s="1"/>
  <c r="P205" i="26"/>
  <c r="O229" i="26"/>
  <c r="L229" i="26"/>
  <c r="K229" i="26"/>
  <c r="N229" i="26"/>
  <c r="M229" i="26"/>
  <c r="O233" i="26"/>
  <c r="L233" i="26"/>
  <c r="M233" i="26"/>
  <c r="K233" i="26"/>
  <c r="N233" i="26"/>
  <c r="P204" i="26"/>
  <c r="O232" i="26"/>
  <c r="M232" i="26"/>
  <c r="L232" i="26"/>
  <c r="N232" i="26"/>
  <c r="K232" i="26"/>
  <c r="L230" i="26"/>
  <c r="M230" i="26"/>
  <c r="K230" i="26"/>
  <c r="O230" i="26"/>
  <c r="N230" i="26"/>
  <c r="F214" i="26"/>
  <c r="G58" i="20"/>
  <c r="G65" i="20" s="1"/>
  <c r="J225" i="20"/>
  <c r="J227" i="20"/>
  <c r="J226" i="20"/>
  <c r="G235" i="20"/>
  <c r="C321" i="20"/>
  <c r="C323" i="20" s="1"/>
  <c r="G248" i="20"/>
  <c r="G255" i="20" s="1"/>
  <c r="J228" i="20"/>
  <c r="G234" i="20"/>
  <c r="C112" i="20"/>
  <c r="C114" i="20" s="1"/>
  <c r="G233" i="20"/>
  <c r="C300" i="20"/>
  <c r="C302" i="20" s="1"/>
  <c r="C248" i="20"/>
  <c r="C254" i="20" s="1"/>
  <c r="C269" i="20"/>
  <c r="G267" i="20"/>
  <c r="G269" i="20" s="1"/>
  <c r="C133" i="20"/>
  <c r="C135" i="20" s="1"/>
  <c r="G319" i="20"/>
  <c r="J310" i="20"/>
  <c r="J308" i="20"/>
  <c r="G318" i="20"/>
  <c r="J311" i="20"/>
  <c r="J312" i="20"/>
  <c r="J309" i="20"/>
  <c r="G317" i="20"/>
  <c r="G298" i="20"/>
  <c r="J289" i="20"/>
  <c r="J287" i="20"/>
  <c r="G297" i="20"/>
  <c r="J290" i="20"/>
  <c r="G296" i="20"/>
  <c r="J291" i="20"/>
  <c r="J288" i="20"/>
  <c r="C237" i="20"/>
  <c r="C239" i="20" s="1"/>
  <c r="G204" i="20"/>
  <c r="G206" i="20" s="1"/>
  <c r="C206" i="20"/>
  <c r="G184" i="20"/>
  <c r="G186" i="20" s="1"/>
  <c r="C186" i="20"/>
  <c r="G163" i="20"/>
  <c r="G165" i="20" s="1"/>
  <c r="C165" i="20"/>
  <c r="G142" i="20"/>
  <c r="G144" i="20" s="1"/>
  <c r="C144" i="20"/>
  <c r="G131" i="20"/>
  <c r="J122" i="20"/>
  <c r="J120" i="20"/>
  <c r="G130" i="20"/>
  <c r="J123" i="20"/>
  <c r="G129" i="20"/>
  <c r="J124" i="20"/>
  <c r="J121" i="20"/>
  <c r="G110" i="20"/>
  <c r="J101" i="20"/>
  <c r="J99" i="20"/>
  <c r="G108" i="20"/>
  <c r="J103" i="20"/>
  <c r="G109" i="20"/>
  <c r="J102" i="20"/>
  <c r="J100" i="20"/>
  <c r="C58" i="20"/>
  <c r="F72" i="30" l="1"/>
  <c r="F71" i="30"/>
  <c r="D10" i="23" s="1"/>
  <c r="I72" i="30"/>
  <c r="I71" i="30"/>
  <c r="G10" i="23" s="1"/>
  <c r="G72" i="30"/>
  <c r="G71" i="30"/>
  <c r="E10" i="23" s="1"/>
  <c r="H68" i="26"/>
  <c r="F6" i="30"/>
  <c r="F18" i="30" s="1"/>
  <c r="D23" i="23" s="1"/>
  <c r="F49" i="30"/>
  <c r="F55" i="30" s="1"/>
  <c r="D9" i="23" s="1"/>
  <c r="I68" i="26"/>
  <c r="G6" i="30"/>
  <c r="G18" i="30" s="1"/>
  <c r="E23" i="23" s="1"/>
  <c r="G49" i="30"/>
  <c r="G55" i="30" s="1"/>
  <c r="E9" i="23" s="1"/>
  <c r="F10" i="34" s="1"/>
  <c r="L327" i="26"/>
  <c r="F97" i="26"/>
  <c r="G97" i="26"/>
  <c r="H97" i="26"/>
  <c r="I96" i="26"/>
  <c r="J96" i="26" s="1"/>
  <c r="J94" i="26"/>
  <c r="P305" i="26"/>
  <c r="J95" i="26"/>
  <c r="H7" i="27"/>
  <c r="F8" i="27" s="1"/>
  <c r="G8" i="27" s="1"/>
  <c r="H8" i="27" s="1"/>
  <c r="F9" i="27" s="1"/>
  <c r="G9" i="27" s="1"/>
  <c r="H9" i="27" s="1"/>
  <c r="F10" i="27" s="1"/>
  <c r="G10" i="27" s="1"/>
  <c r="H10" i="27" s="1"/>
  <c r="F11" i="27" s="1"/>
  <c r="G11" i="27" s="1"/>
  <c r="H11" i="27" s="1"/>
  <c r="F12" i="27" s="1"/>
  <c r="G12" i="27" s="1"/>
  <c r="H12" i="27" s="1"/>
  <c r="P345" i="26"/>
  <c r="P349" i="26" s="1"/>
  <c r="J349" i="26"/>
  <c r="N349" i="26"/>
  <c r="N367" i="26"/>
  <c r="N371" i="26" s="1"/>
  <c r="O367" i="26"/>
  <c r="O371" i="26" s="1"/>
  <c r="O349" i="26"/>
  <c r="M367" i="26"/>
  <c r="M371" i="26" s="1"/>
  <c r="K367" i="26"/>
  <c r="K371" i="26" s="1"/>
  <c r="K349" i="26"/>
  <c r="L367" i="26"/>
  <c r="L371" i="26" s="1"/>
  <c r="J260" i="26"/>
  <c r="P247" i="26"/>
  <c r="P260" i="26" s="1"/>
  <c r="J214" i="26"/>
  <c r="K214" i="26"/>
  <c r="N236" i="26"/>
  <c r="L236" i="26"/>
  <c r="K236" i="26"/>
  <c r="P208" i="26"/>
  <c r="O236" i="26"/>
  <c r="O214" i="26"/>
  <c r="P207" i="26"/>
  <c r="P211" i="26"/>
  <c r="P210" i="26"/>
  <c r="L214" i="26"/>
  <c r="N214" i="26"/>
  <c r="M236" i="26"/>
  <c r="M214" i="26"/>
  <c r="J55" i="20"/>
  <c r="J58" i="20"/>
  <c r="J56" i="20"/>
  <c r="J57" i="20"/>
  <c r="G64" i="20"/>
  <c r="G66" i="20"/>
  <c r="J59" i="20"/>
  <c r="J245" i="20"/>
  <c r="J229" i="20"/>
  <c r="G14" i="20" s="1"/>
  <c r="G254" i="20"/>
  <c r="J246" i="20"/>
  <c r="J247" i="20"/>
  <c r="J248" i="20"/>
  <c r="G256" i="20"/>
  <c r="G238" i="20"/>
  <c r="G240" i="20" s="1"/>
  <c r="F14" i="20" s="1"/>
  <c r="J249" i="20"/>
  <c r="C253" i="20"/>
  <c r="C255" i="20"/>
  <c r="J313" i="20"/>
  <c r="J269" i="20"/>
  <c r="J268" i="20"/>
  <c r="J266" i="20"/>
  <c r="G276" i="20"/>
  <c r="G277" i="20"/>
  <c r="J270" i="20"/>
  <c r="J267" i="20"/>
  <c r="G275" i="20"/>
  <c r="C274" i="20"/>
  <c r="C276" i="20"/>
  <c r="C275" i="20"/>
  <c r="G322" i="20"/>
  <c r="G324" i="20" s="1"/>
  <c r="J292" i="20"/>
  <c r="G17" i="20" s="1"/>
  <c r="G301" i="20"/>
  <c r="G303" i="20" s="1"/>
  <c r="F17" i="20" s="1"/>
  <c r="C212" i="20"/>
  <c r="C211" i="20"/>
  <c r="C213" i="20"/>
  <c r="J203" i="20"/>
  <c r="J205" i="20"/>
  <c r="G212" i="20"/>
  <c r="G214" i="20"/>
  <c r="G213" i="20"/>
  <c r="J207" i="20"/>
  <c r="J206" i="20"/>
  <c r="J204" i="20"/>
  <c r="C192" i="20"/>
  <c r="C191" i="20"/>
  <c r="C193" i="20"/>
  <c r="G194" i="20"/>
  <c r="J185" i="20"/>
  <c r="G193" i="20"/>
  <c r="J186" i="20"/>
  <c r="J183" i="20"/>
  <c r="G192" i="20"/>
  <c r="J187" i="20"/>
  <c r="J184" i="20"/>
  <c r="C171" i="20"/>
  <c r="C172" i="20"/>
  <c r="C170" i="20"/>
  <c r="G173" i="20"/>
  <c r="J164" i="20"/>
  <c r="J162" i="20"/>
  <c r="G171" i="20"/>
  <c r="J166" i="20"/>
  <c r="G172" i="20"/>
  <c r="J165" i="20"/>
  <c r="J163" i="20"/>
  <c r="C150" i="20"/>
  <c r="C149" i="20"/>
  <c r="C151" i="20"/>
  <c r="G152" i="20"/>
  <c r="J143" i="20"/>
  <c r="G151" i="20"/>
  <c r="J144" i="20"/>
  <c r="J141" i="20"/>
  <c r="J145" i="20"/>
  <c r="J142" i="20"/>
  <c r="G150" i="20"/>
  <c r="G134" i="20"/>
  <c r="G136" i="20" s="1"/>
  <c r="F9" i="20" s="1"/>
  <c r="J125" i="20"/>
  <c r="G9" i="20" s="1"/>
  <c r="J104" i="20"/>
  <c r="G8" i="20" s="1"/>
  <c r="G113" i="20"/>
  <c r="G115" i="20" s="1"/>
  <c r="F8" i="20" s="1"/>
  <c r="C64" i="20"/>
  <c r="C63" i="20"/>
  <c r="C65" i="20"/>
  <c r="D10" i="34" l="1"/>
  <c r="D13" i="39"/>
  <c r="E26" i="38"/>
  <c r="F142" i="17"/>
  <c r="D24" i="34"/>
  <c r="E30" i="32"/>
  <c r="N10" i="34"/>
  <c r="E13" i="39"/>
  <c r="F26" i="38"/>
  <c r="G142" i="17"/>
  <c r="F24" i="34"/>
  <c r="F30" i="32"/>
  <c r="F7" i="14"/>
  <c r="F18" i="20"/>
  <c r="G18" i="20"/>
  <c r="I97" i="26"/>
  <c r="K59" i="26" s="1"/>
  <c r="F13" i="27"/>
  <c r="G13" i="27" s="1"/>
  <c r="H13" i="27" s="1"/>
  <c r="F14" i="27" s="1"/>
  <c r="G14" i="27" s="1"/>
  <c r="J59" i="26"/>
  <c r="P214" i="26"/>
  <c r="G259" i="20"/>
  <c r="G261" i="20" s="1"/>
  <c r="F15" i="20" s="1"/>
  <c r="J60" i="20"/>
  <c r="G6" i="20" s="1"/>
  <c r="G69" i="20"/>
  <c r="G71" i="20" s="1"/>
  <c r="F6" i="20" s="1"/>
  <c r="H8" i="20"/>
  <c r="I8" i="20" s="1"/>
  <c r="H17" i="20"/>
  <c r="I17" i="20" s="1"/>
  <c r="H14" i="20"/>
  <c r="I14" i="20" s="1"/>
  <c r="H9" i="20"/>
  <c r="I9" i="20" s="1"/>
  <c r="J250" i="20"/>
  <c r="G15" i="20" s="1"/>
  <c r="J188" i="20"/>
  <c r="G12" i="20" s="1"/>
  <c r="C258" i="20"/>
  <c r="C260" i="20" s="1"/>
  <c r="G280" i="20"/>
  <c r="G282" i="20" s="1"/>
  <c r="F16" i="20" s="1"/>
  <c r="J271" i="20"/>
  <c r="G16" i="20" s="1"/>
  <c r="C216" i="20"/>
  <c r="C218" i="20" s="1"/>
  <c r="C175" i="20"/>
  <c r="C177" i="20" s="1"/>
  <c r="C279" i="20"/>
  <c r="C281" i="20" s="1"/>
  <c r="C68" i="20"/>
  <c r="C70" i="20" s="1"/>
  <c r="J208" i="20"/>
  <c r="G13" i="20" s="1"/>
  <c r="G217" i="20"/>
  <c r="G219" i="20" s="1"/>
  <c r="F13" i="20" s="1"/>
  <c r="C196" i="20"/>
  <c r="C198" i="20" s="1"/>
  <c r="G197" i="20"/>
  <c r="G199" i="20" s="1"/>
  <c r="F12" i="20" s="1"/>
  <c r="G176" i="20"/>
  <c r="G178" i="20" s="1"/>
  <c r="F11" i="20" s="1"/>
  <c r="J167" i="20"/>
  <c r="G11" i="20" s="1"/>
  <c r="C154" i="20"/>
  <c r="C156" i="20" s="1"/>
  <c r="J146" i="20"/>
  <c r="G10" i="20" s="1"/>
  <c r="G155" i="20"/>
  <c r="G157" i="20" s="1"/>
  <c r="F10" i="20" s="1"/>
  <c r="D25" i="34" l="1"/>
  <c r="F25" i="34"/>
  <c r="N24" i="34"/>
  <c r="E147" i="17"/>
  <c r="D37" i="32" s="1"/>
  <c r="D69" i="38" s="1"/>
  <c r="H15" i="20"/>
  <c r="I15" i="20" s="1"/>
  <c r="K68" i="26"/>
  <c r="I49" i="30"/>
  <c r="I55" i="30" s="1"/>
  <c r="G9" i="23" s="1"/>
  <c r="J10" i="34" s="1"/>
  <c r="I6" i="30"/>
  <c r="I18" i="30" s="1"/>
  <c r="G23" i="23" s="1"/>
  <c r="J68" i="26"/>
  <c r="H6" i="30"/>
  <c r="H18" i="30" s="1"/>
  <c r="F23" i="23" s="1"/>
  <c r="H49" i="30"/>
  <c r="H55" i="30" s="1"/>
  <c r="F9" i="23" s="1"/>
  <c r="H10" i="34" s="1"/>
  <c r="H14" i="27"/>
  <c r="H6" i="20"/>
  <c r="I6" i="20" s="1"/>
  <c r="H18" i="20"/>
  <c r="I18" i="20" s="1"/>
  <c r="J97" i="26"/>
  <c r="H12" i="20"/>
  <c r="I12" i="20" s="1"/>
  <c r="H11" i="20"/>
  <c r="I11" i="20" s="1"/>
  <c r="H10" i="20"/>
  <c r="I10" i="20" s="1"/>
  <c r="H16" i="20"/>
  <c r="I16" i="20" s="1"/>
  <c r="H13" i="20"/>
  <c r="I13" i="20" s="1"/>
  <c r="O10" i="34" l="1"/>
  <c r="N25" i="34"/>
  <c r="G13" i="39"/>
  <c r="H26" i="38"/>
  <c r="I142" i="17"/>
  <c r="J24" i="34"/>
  <c r="H30" i="32"/>
  <c r="F13" i="39"/>
  <c r="G26" i="38"/>
  <c r="H142" i="17"/>
  <c r="H24" i="34"/>
  <c r="G30" i="32"/>
  <c r="P10" i="34"/>
  <c r="F15" i="27"/>
  <c r="G15" i="27" s="1"/>
  <c r="E74" i="17"/>
  <c r="C58" i="39" s="1"/>
  <c r="G34" i="20"/>
  <c r="G38" i="20" s="1"/>
  <c r="C35" i="20" s="1"/>
  <c r="O24" i="34" l="1"/>
  <c r="H25" i="34"/>
  <c r="P24" i="34"/>
  <c r="J25" i="34"/>
  <c r="C60" i="39"/>
  <c r="B127" i="39"/>
  <c r="H15" i="27"/>
  <c r="F16" i="27" s="1"/>
  <c r="G16" i="27" s="1"/>
  <c r="H16" i="27" s="1"/>
  <c r="F17" i="27" s="1"/>
  <c r="G17" i="27" s="1"/>
  <c r="H17" i="27" s="1"/>
  <c r="F18" i="27" s="1"/>
  <c r="G18" i="27" s="1"/>
  <c r="E75" i="17"/>
  <c r="B41" i="33"/>
  <c r="C28" i="23"/>
  <c r="G35" i="20"/>
  <c r="C36" i="20"/>
  <c r="G36" i="20" s="1"/>
  <c r="P25" i="34" l="1"/>
  <c r="O25" i="34"/>
  <c r="H18" i="27"/>
  <c r="F19" i="27" s="1"/>
  <c r="G19" i="27" s="1"/>
  <c r="H19" i="27" s="1"/>
  <c r="B27" i="34"/>
  <c r="B49" i="33"/>
  <c r="F26" i="14"/>
  <c r="F37" i="14" s="1"/>
  <c r="E37" i="14"/>
  <c r="C37" i="20"/>
  <c r="F15" i="14" l="1"/>
  <c r="F20" i="27"/>
  <c r="G20" i="27" s="1"/>
  <c r="H20" i="27" s="1"/>
  <c r="C42" i="20"/>
  <c r="C44" i="20"/>
  <c r="C43" i="20"/>
  <c r="F21" i="27" l="1"/>
  <c r="G21" i="27" s="1"/>
  <c r="H21" i="27" s="1"/>
  <c r="C47" i="20"/>
  <c r="C49" i="20" s="1"/>
  <c r="F22" i="27" l="1"/>
  <c r="G22" i="27" s="1"/>
  <c r="C74" i="11"/>
  <c r="F289" i="13"/>
  <c r="D208" i="13"/>
  <c r="D207" i="13"/>
  <c r="D115" i="13"/>
  <c r="D103" i="13"/>
  <c r="F17" i="13"/>
  <c r="F15" i="13"/>
  <c r="F14" i="13"/>
  <c r="F13" i="13"/>
  <c r="H22" i="27" l="1"/>
  <c r="F23" i="27" s="1"/>
  <c r="G23" i="27" s="1"/>
  <c r="H23" i="27" s="1"/>
  <c r="G26" i="17"/>
  <c r="F26" i="17"/>
  <c r="F31" i="17" s="1"/>
  <c r="F39" i="17" s="1"/>
  <c r="E26" i="17"/>
  <c r="G14" i="17"/>
  <c r="F14" i="17"/>
  <c r="F24" i="17" s="1"/>
  <c r="D26" i="17"/>
  <c r="D31" i="17" s="1"/>
  <c r="D14" i="17"/>
  <c r="F130" i="13"/>
  <c r="F10" i="10"/>
  <c r="F32" i="10" s="1"/>
  <c r="F149" i="13"/>
  <c r="F223" i="11"/>
  <c r="F207" i="11"/>
  <c r="D208" i="11"/>
  <c r="F214" i="11"/>
  <c r="E214" i="11" s="1"/>
  <c r="E215" i="11"/>
  <c r="E213" i="11"/>
  <c r="F212" i="11"/>
  <c r="F208" i="11"/>
  <c r="F178" i="11"/>
  <c r="F283" i="13"/>
  <c r="F282" i="13"/>
  <c r="F232" i="13"/>
  <c r="F199" i="13"/>
  <c r="F195" i="13"/>
  <c r="F186" i="13"/>
  <c r="F187" i="13"/>
  <c r="F182" i="13"/>
  <c r="F181" i="13"/>
  <c r="F180" i="13"/>
  <c r="F179" i="13"/>
  <c r="F178" i="13"/>
  <c r="F177" i="13"/>
  <c r="F198" i="13"/>
  <c r="F55" i="13"/>
  <c r="F173" i="13"/>
  <c r="F170" i="13"/>
  <c r="F167" i="13"/>
  <c r="F150" i="13"/>
  <c r="F148" i="13"/>
  <c r="D16" i="17" l="1"/>
  <c r="D60" i="17" s="1"/>
  <c r="H225" i="11"/>
  <c r="D23" i="17"/>
  <c r="E23" i="17" s="1"/>
  <c r="D67" i="17"/>
  <c r="F24" i="27"/>
  <c r="G24" i="27" s="1"/>
  <c r="H24" i="27" s="1"/>
  <c r="F221" i="11"/>
  <c r="F274" i="13"/>
  <c r="E208" i="11"/>
  <c r="E194" i="11"/>
  <c r="E174" i="11"/>
  <c r="D204" i="11"/>
  <c r="D196" i="11"/>
  <c r="F171" i="11"/>
  <c r="F165" i="11"/>
  <c r="F158" i="11"/>
  <c r="E192" i="11"/>
  <c r="F191" i="11"/>
  <c r="E190" i="11"/>
  <c r="F183" i="11"/>
  <c r="F182" i="11"/>
  <c r="F181" i="11"/>
  <c r="F180" i="11"/>
  <c r="F164" i="11"/>
  <c r="F163" i="11"/>
  <c r="F161" i="11"/>
  <c r="F206" i="11"/>
  <c r="D114" i="13"/>
  <c r="F12" i="13"/>
  <c r="D92" i="13"/>
  <c r="D91" i="13"/>
  <c r="F86" i="13"/>
  <c r="F65" i="13"/>
  <c r="D60" i="13"/>
  <c r="F60" i="13" s="1"/>
  <c r="F52" i="13"/>
  <c r="F51" i="13"/>
  <c r="F49" i="13"/>
  <c r="F50" i="13"/>
  <c r="F32" i="13"/>
  <c r="C27" i="32" l="1"/>
  <c r="C32" i="32" s="1"/>
  <c r="B45" i="39"/>
  <c r="B46" i="39" s="1"/>
  <c r="B91" i="39" s="1"/>
  <c r="D135" i="17"/>
  <c r="D136" i="17"/>
  <c r="G60" i="17"/>
  <c r="F60" i="17"/>
  <c r="H60" i="17"/>
  <c r="I60" i="17"/>
  <c r="E60" i="17"/>
  <c r="F25" i="27"/>
  <c r="G25" i="27" s="1"/>
  <c r="H25" i="27" s="1"/>
  <c r="F209" i="11"/>
  <c r="D209" i="11"/>
  <c r="D224" i="11" s="1"/>
  <c r="C75" i="11" s="1"/>
  <c r="F147" i="13"/>
  <c r="F145" i="13"/>
  <c r="F146" i="13"/>
  <c r="F144" i="13"/>
  <c r="F143" i="13"/>
  <c r="F141" i="13"/>
  <c r="F140" i="13"/>
  <c r="F233" i="13"/>
  <c r="F133" i="13"/>
  <c r="F134" i="13"/>
  <c r="F135" i="13"/>
  <c r="F136" i="13"/>
  <c r="F137" i="13"/>
  <c r="F138" i="13"/>
  <c r="F139" i="13"/>
  <c r="F142" i="13"/>
  <c r="F227" i="13"/>
  <c r="F271" i="13"/>
  <c r="F270" i="13"/>
  <c r="F269" i="13"/>
  <c r="F268" i="13"/>
  <c r="F264" i="13"/>
  <c r="F256" i="13"/>
  <c r="F251" i="13"/>
  <c r="F249" i="13"/>
  <c r="F244" i="13"/>
  <c r="F206" i="13"/>
  <c r="F222" i="13"/>
  <c r="F221" i="13"/>
  <c r="F216" i="13"/>
  <c r="F196" i="13"/>
  <c r="F171" i="13"/>
  <c r="F165" i="13"/>
  <c r="F169" i="13"/>
  <c r="F115" i="13"/>
  <c r="D112" i="13"/>
  <c r="D113" i="13" s="1"/>
  <c r="F113" i="13" s="1"/>
  <c r="F111" i="13"/>
  <c r="F106" i="13"/>
  <c r="F83" i="13"/>
  <c r="F85" i="13"/>
  <c r="F75" i="13"/>
  <c r="D71" i="13"/>
  <c r="D66" i="13"/>
  <c r="D68" i="13" s="1"/>
  <c r="F64" i="13"/>
  <c r="D34" i="13"/>
  <c r="F34" i="13" s="1"/>
  <c r="F63" i="13"/>
  <c r="F61" i="13"/>
  <c r="F62" i="13"/>
  <c r="F21" i="13"/>
  <c r="F22" i="13"/>
  <c r="F23" i="13"/>
  <c r="F24" i="13"/>
  <c r="F25" i="13"/>
  <c r="F26" i="13"/>
  <c r="F27" i="13"/>
  <c r="F28" i="13"/>
  <c r="F29" i="13"/>
  <c r="F30" i="13"/>
  <c r="F31" i="13"/>
  <c r="F33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53" i="13"/>
  <c r="F54" i="13"/>
  <c r="F56" i="13"/>
  <c r="F57" i="13"/>
  <c r="F58" i="13"/>
  <c r="F59" i="13"/>
  <c r="F67" i="13"/>
  <c r="F76" i="13"/>
  <c r="F77" i="13"/>
  <c r="F78" i="13"/>
  <c r="F79" i="13"/>
  <c r="F80" i="13"/>
  <c r="F81" i="13"/>
  <c r="F82" i="13"/>
  <c r="F84" i="13"/>
  <c r="F87" i="13"/>
  <c r="F88" i="13"/>
  <c r="F89" i="13"/>
  <c r="F90" i="13"/>
  <c r="F91" i="13"/>
  <c r="F92" i="13"/>
  <c r="F105" i="13"/>
  <c r="F107" i="13"/>
  <c r="F108" i="13"/>
  <c r="F109" i="13"/>
  <c r="F110" i="13"/>
  <c r="F114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1" i="13"/>
  <c r="F132" i="13"/>
  <c r="F151" i="13"/>
  <c r="F152" i="13"/>
  <c r="F153" i="13"/>
  <c r="F154" i="13"/>
  <c r="F155" i="13"/>
  <c r="F156" i="13"/>
  <c r="F157" i="13"/>
  <c r="F158" i="13"/>
  <c r="F159" i="13"/>
  <c r="F160" i="13"/>
  <c r="F161" i="13"/>
  <c r="F163" i="13"/>
  <c r="F164" i="13"/>
  <c r="F162" i="13"/>
  <c r="F166" i="13"/>
  <c r="F168" i="13"/>
  <c r="F175" i="13"/>
  <c r="F184" i="13"/>
  <c r="F189" i="13"/>
  <c r="F190" i="13"/>
  <c r="F191" i="13"/>
  <c r="F192" i="13"/>
  <c r="F193" i="13"/>
  <c r="F194" i="13"/>
  <c r="F197" i="13"/>
  <c r="F202" i="13"/>
  <c r="F203" i="13"/>
  <c r="F204" i="13"/>
  <c r="F205" i="13"/>
  <c r="F207" i="13"/>
  <c r="F208" i="13"/>
  <c r="F209" i="13"/>
  <c r="F234" i="13"/>
  <c r="F210" i="13"/>
  <c r="F211" i="13"/>
  <c r="F212" i="13"/>
  <c r="F213" i="13"/>
  <c r="F214" i="13"/>
  <c r="F215" i="13"/>
  <c r="F217" i="13"/>
  <c r="F218" i="13"/>
  <c r="F219" i="13"/>
  <c r="F220" i="13"/>
  <c r="F224" i="13"/>
  <c r="F225" i="13"/>
  <c r="F226" i="13"/>
  <c r="F228" i="13"/>
  <c r="F229" i="13"/>
  <c r="F230" i="13"/>
  <c r="F235" i="13"/>
  <c r="F236" i="13"/>
  <c r="F237" i="13"/>
  <c r="F238" i="13"/>
  <c r="F239" i="13"/>
  <c r="F240" i="13"/>
  <c r="F241" i="13"/>
  <c r="F242" i="13"/>
  <c r="F243" i="13"/>
  <c r="F245" i="13"/>
  <c r="F246" i="13"/>
  <c r="F247" i="13"/>
  <c r="F248" i="13"/>
  <c r="F250" i="13"/>
  <c r="F252" i="13"/>
  <c r="F253" i="13"/>
  <c r="F254" i="13"/>
  <c r="F255" i="13"/>
  <c r="F257" i="13"/>
  <c r="F258" i="13"/>
  <c r="F259" i="13"/>
  <c r="F260" i="13"/>
  <c r="F261" i="13"/>
  <c r="F262" i="13"/>
  <c r="F263" i="13"/>
  <c r="F265" i="13"/>
  <c r="F276" i="13"/>
  <c r="F277" i="13"/>
  <c r="F278" i="13"/>
  <c r="F279" i="13"/>
  <c r="F280" i="13"/>
  <c r="F281" i="13"/>
  <c r="F285" i="13"/>
  <c r="F286" i="13"/>
  <c r="F287" i="13"/>
  <c r="F11" i="13"/>
  <c r="F9" i="13"/>
  <c r="F10" i="13"/>
  <c r="H62" i="16"/>
  <c r="D62" i="16"/>
  <c r="I60" i="16"/>
  <c r="F60" i="16"/>
  <c r="I59" i="16"/>
  <c r="F59" i="16"/>
  <c r="I58" i="16"/>
  <c r="F58" i="16"/>
  <c r="I57" i="16"/>
  <c r="F57" i="16"/>
  <c r="H50" i="16"/>
  <c r="D50" i="16"/>
  <c r="I48" i="16"/>
  <c r="F48" i="16"/>
  <c r="I47" i="16"/>
  <c r="F47" i="16"/>
  <c r="I46" i="16"/>
  <c r="F46" i="16"/>
  <c r="I45" i="16"/>
  <c r="F45" i="16"/>
  <c r="I44" i="16"/>
  <c r="F44" i="16"/>
  <c r="I43" i="16"/>
  <c r="F43" i="16"/>
  <c r="I42" i="16"/>
  <c r="F42" i="16"/>
  <c r="I41" i="16"/>
  <c r="F41" i="16"/>
  <c r="I40" i="16"/>
  <c r="F40" i="16"/>
  <c r="H33" i="16"/>
  <c r="D33" i="16"/>
  <c r="I31" i="16"/>
  <c r="F31" i="16"/>
  <c r="I30" i="16"/>
  <c r="F30" i="16"/>
  <c r="I29" i="16"/>
  <c r="F29" i="16"/>
  <c r="I28" i="16"/>
  <c r="F28" i="16"/>
  <c r="I27" i="16"/>
  <c r="F27" i="16"/>
  <c r="I26" i="16"/>
  <c r="F26" i="16"/>
  <c r="I25" i="16"/>
  <c r="F25" i="16"/>
  <c r="I24" i="16"/>
  <c r="F24" i="16"/>
  <c r="I23" i="16"/>
  <c r="F23" i="16"/>
  <c r="I22" i="16"/>
  <c r="F22" i="16"/>
  <c r="H17" i="16"/>
  <c r="D17" i="16"/>
  <c r="I15" i="16"/>
  <c r="F15" i="16"/>
  <c r="I14" i="16"/>
  <c r="F14" i="16"/>
  <c r="I13" i="16"/>
  <c r="F13" i="16"/>
  <c r="I12" i="16"/>
  <c r="F12" i="16"/>
  <c r="I11" i="16"/>
  <c r="F11" i="16"/>
  <c r="I10" i="16"/>
  <c r="F10" i="16"/>
  <c r="I9" i="16"/>
  <c r="F9" i="16"/>
  <c r="I8" i="16"/>
  <c r="F8" i="16"/>
  <c r="I7" i="16"/>
  <c r="F7" i="16"/>
  <c r="F33" i="16" l="1"/>
  <c r="F224" i="11"/>
  <c r="H224" i="11"/>
  <c r="H227" i="11" s="1"/>
  <c r="F26" i="27"/>
  <c r="G26" i="27" s="1"/>
  <c r="F147" i="17" s="1"/>
  <c r="E37" i="32" s="1"/>
  <c r="E69" i="38" s="1"/>
  <c r="E209" i="11"/>
  <c r="D95" i="13"/>
  <c r="F95" i="13" s="1"/>
  <c r="D101" i="13"/>
  <c r="F101" i="13" s="1"/>
  <c r="F71" i="13"/>
  <c r="D74" i="13"/>
  <c r="F112" i="13"/>
  <c r="F272" i="13"/>
  <c r="F273" i="13"/>
  <c r="F223" i="13"/>
  <c r="D69" i="13"/>
  <c r="F68" i="13"/>
  <c r="D70" i="13"/>
  <c r="D73" i="13" s="1"/>
  <c r="F66" i="13"/>
  <c r="F17" i="16"/>
  <c r="I64" i="16"/>
  <c r="I66" i="16" s="1"/>
  <c r="D64" i="16"/>
  <c r="F31" i="26" s="1"/>
  <c r="G77" i="26" s="1"/>
  <c r="F50" i="16"/>
  <c r="F62" i="16"/>
  <c r="H64" i="16"/>
  <c r="G79" i="26" l="1"/>
  <c r="F32" i="26"/>
  <c r="F226" i="11"/>
  <c r="D17" i="17"/>
  <c r="E224" i="11"/>
  <c r="F64" i="16"/>
  <c r="G81" i="26"/>
  <c r="D267" i="13"/>
  <c r="F267" i="13" s="1"/>
  <c r="H26" i="27"/>
  <c r="D28" i="23"/>
  <c r="D72" i="13"/>
  <c r="D93" i="13"/>
  <c r="F93" i="13" s="1"/>
  <c r="D99" i="13"/>
  <c r="F99" i="13" s="1"/>
  <c r="D96" i="13"/>
  <c r="F96" i="13" s="1"/>
  <c r="F74" i="13"/>
  <c r="D98" i="13"/>
  <c r="F98" i="13" s="1"/>
  <c r="D100" i="13"/>
  <c r="F100" i="13" s="1"/>
  <c r="D97" i="13"/>
  <c r="F97" i="13" s="1"/>
  <c r="D94" i="13"/>
  <c r="F94" i="13" s="1"/>
  <c r="F70" i="13"/>
  <c r="F73" i="13"/>
  <c r="F69" i="13"/>
  <c r="F8" i="10"/>
  <c r="F7" i="10"/>
  <c r="F93" i="26" l="1"/>
  <c r="G93" i="26"/>
  <c r="H93" i="26"/>
  <c r="D61" i="17"/>
  <c r="G17" i="17"/>
  <c r="D27" i="34"/>
  <c r="F27" i="27"/>
  <c r="G27" i="27" s="1"/>
  <c r="F74" i="17"/>
  <c r="D58" i="39" s="1"/>
  <c r="F72" i="13"/>
  <c r="D104" i="17" l="1"/>
  <c r="E104" i="17" s="1"/>
  <c r="G104" i="17" s="1"/>
  <c r="G61" i="17"/>
  <c r="E61" i="17"/>
  <c r="H61" i="17"/>
  <c r="I61" i="17"/>
  <c r="F61" i="17"/>
  <c r="D60" i="39"/>
  <c r="C127" i="39"/>
  <c r="D127" i="39"/>
  <c r="I93" i="26"/>
  <c r="M27" i="34"/>
  <c r="H27" i="27"/>
  <c r="F28" i="27" s="1"/>
  <c r="G28" i="27" s="1"/>
  <c r="H28" i="27" s="1"/>
  <c r="F29" i="27" s="1"/>
  <c r="G29" i="27" s="1"/>
  <c r="F75" i="17"/>
  <c r="D41" i="33"/>
  <c r="D104" i="13"/>
  <c r="F104" i="13" s="1"/>
  <c r="D102" i="13"/>
  <c r="F102" i="13" s="1"/>
  <c r="F103" i="13"/>
  <c r="J93" i="26" l="1"/>
  <c r="G59" i="26"/>
  <c r="D49" i="33"/>
  <c r="N41" i="33"/>
  <c r="M41" i="33"/>
  <c r="H29" i="27"/>
  <c r="F30" i="27" s="1"/>
  <c r="G30" i="27" s="1"/>
  <c r="H30" i="27" s="1"/>
  <c r="F291" i="13"/>
  <c r="E18" i="30" l="1"/>
  <c r="C23" i="23" s="1"/>
  <c r="E49" i="30"/>
  <c r="G68" i="26"/>
  <c r="D18" i="17"/>
  <c r="G18" i="17" s="1"/>
  <c r="G21" i="17" s="1"/>
  <c r="G24" i="17" s="1"/>
  <c r="G28" i="17"/>
  <c r="N49" i="33"/>
  <c r="M49" i="33"/>
  <c r="F31" i="27"/>
  <c r="G31" i="27" s="1"/>
  <c r="H31" i="27" s="1"/>
  <c r="D21" i="17"/>
  <c r="F40" i="17"/>
  <c r="D62" i="17" l="1"/>
  <c r="B38" i="39" s="1"/>
  <c r="I56" i="30"/>
  <c r="G13" i="23" s="1"/>
  <c r="G56" i="30"/>
  <c r="E13" i="23" s="1"/>
  <c r="E56" i="30"/>
  <c r="E55" i="30"/>
  <c r="C9" i="23" s="1"/>
  <c r="B10" i="34" s="1"/>
  <c r="M10" i="34" s="1"/>
  <c r="F56" i="30"/>
  <c r="D13" i="23" s="1"/>
  <c r="H56" i="30"/>
  <c r="F13" i="23" s="1"/>
  <c r="C13" i="39"/>
  <c r="D26" i="38"/>
  <c r="E142" i="17"/>
  <c r="B24" i="34"/>
  <c r="D30" i="32"/>
  <c r="D131" i="17"/>
  <c r="C31" i="32" s="1"/>
  <c r="D24" i="17"/>
  <c r="D33" i="17" s="1"/>
  <c r="D38" i="17" s="1"/>
  <c r="D39" i="17" s="1"/>
  <c r="G62" i="17"/>
  <c r="E38" i="39" s="1"/>
  <c r="I62" i="17"/>
  <c r="G38" i="39" s="1"/>
  <c r="F62" i="17"/>
  <c r="D38" i="39" s="1"/>
  <c r="H62" i="17"/>
  <c r="F38" i="39" s="1"/>
  <c r="E62" i="17"/>
  <c r="C38" i="39" s="1"/>
  <c r="D105" i="17"/>
  <c r="D65" i="17"/>
  <c r="F32" i="27"/>
  <c r="G32" i="27" s="1"/>
  <c r="F48" i="14" l="1"/>
  <c r="G48" i="14" s="1"/>
  <c r="H48" i="14" s="1"/>
  <c r="F49" i="14"/>
  <c r="G49" i="14" s="1"/>
  <c r="H49" i="14" s="1"/>
  <c r="F51" i="14"/>
  <c r="G51" i="14" s="1"/>
  <c r="H51" i="14" s="1"/>
  <c r="J11" i="14"/>
  <c r="K11" i="14" s="1"/>
  <c r="L11" i="14" s="1"/>
  <c r="F50" i="14"/>
  <c r="G50" i="14" s="1"/>
  <c r="H50" i="14" s="1"/>
  <c r="J10" i="14"/>
  <c r="K10" i="14" s="1"/>
  <c r="L10" i="14" s="1"/>
  <c r="J9" i="14"/>
  <c r="K9" i="14" s="1"/>
  <c r="F46" i="14"/>
  <c r="G46" i="14" s="1"/>
  <c r="H46" i="14" s="1"/>
  <c r="F47" i="14"/>
  <c r="G47" i="14" s="1"/>
  <c r="H47" i="14" s="1"/>
  <c r="F45" i="14"/>
  <c r="G45" i="14" s="1"/>
  <c r="F7" i="39"/>
  <c r="G20" i="38"/>
  <c r="H131" i="17"/>
  <c r="H12" i="34"/>
  <c r="G23" i="32"/>
  <c r="D7" i="39"/>
  <c r="E20" i="38"/>
  <c r="F131" i="17"/>
  <c r="D12" i="34"/>
  <c r="E23" i="32"/>
  <c r="C7" i="39"/>
  <c r="D20" i="38"/>
  <c r="E131" i="17"/>
  <c r="B12" i="34"/>
  <c r="D23" i="32"/>
  <c r="C90" i="39"/>
  <c r="C93" i="39" s="1"/>
  <c r="E115" i="39"/>
  <c r="F90" i="39"/>
  <c r="F93" i="39" s="1"/>
  <c r="E7" i="39"/>
  <c r="F20" i="38"/>
  <c r="G131" i="17"/>
  <c r="F12" i="34"/>
  <c r="F23" i="32"/>
  <c r="G7" i="39"/>
  <c r="H20" i="38"/>
  <c r="I131" i="17"/>
  <c r="J12" i="34"/>
  <c r="H23" i="32"/>
  <c r="E90" i="39"/>
  <c r="E93" i="39" s="1"/>
  <c r="D115" i="39"/>
  <c r="B25" i="34"/>
  <c r="M24" i="34"/>
  <c r="D90" i="39"/>
  <c r="D93" i="39" s="1"/>
  <c r="C115" i="39"/>
  <c r="G90" i="39"/>
  <c r="G93" i="39" s="1"/>
  <c r="F115" i="39"/>
  <c r="B90" i="39"/>
  <c r="B93" i="39" s="1"/>
  <c r="B41" i="39"/>
  <c r="B48" i="39" s="1"/>
  <c r="D137" i="17"/>
  <c r="C34" i="32"/>
  <c r="C31" i="38" s="1"/>
  <c r="H16" i="33"/>
  <c r="D16" i="33"/>
  <c r="J16" i="33"/>
  <c r="P16" i="33" s="1"/>
  <c r="F16" i="33"/>
  <c r="H32" i="27"/>
  <c r="F33" i="27" s="1"/>
  <c r="G33" i="27" s="1"/>
  <c r="H33" i="27" s="1"/>
  <c r="B16" i="33"/>
  <c r="M16" i="33" s="1"/>
  <c r="D68" i="17"/>
  <c r="E105" i="17"/>
  <c r="G105" i="17" s="1"/>
  <c r="D40" i="17"/>
  <c r="F42" i="17"/>
  <c r="D94" i="39" l="1"/>
  <c r="P12" i="34"/>
  <c r="L9" i="14"/>
  <c r="L12" i="14" s="1"/>
  <c r="K12" i="14"/>
  <c r="F94" i="39"/>
  <c r="O12" i="34"/>
  <c r="B97" i="39"/>
  <c r="B101" i="39" s="1"/>
  <c r="B99" i="39"/>
  <c r="M25" i="34"/>
  <c r="M12" i="34"/>
  <c r="H93" i="39"/>
  <c r="G115" i="39" s="1"/>
  <c r="G94" i="39"/>
  <c r="N12" i="34"/>
  <c r="H45" i="14"/>
  <c r="H53" i="14" s="1"/>
  <c r="G53" i="14"/>
  <c r="E94" i="39"/>
  <c r="O16" i="33"/>
  <c r="D233" i="17"/>
  <c r="D236" i="17" s="1"/>
  <c r="C12" i="38"/>
  <c r="C39" i="32"/>
  <c r="C65" i="32" s="1"/>
  <c r="C34" i="38"/>
  <c r="C14" i="32"/>
  <c r="D79" i="17"/>
  <c r="B64" i="39" s="1"/>
  <c r="B68" i="39" s="1"/>
  <c r="B69" i="39" s="1"/>
  <c r="B117" i="39" s="1"/>
  <c r="B136" i="39" s="1"/>
  <c r="B158" i="39" s="1"/>
  <c r="D90" i="17"/>
  <c r="D92" i="17" s="1"/>
  <c r="D112" i="17"/>
  <c r="D114" i="17"/>
  <c r="D111" i="17"/>
  <c r="C22" i="23" s="1"/>
  <c r="D113" i="17"/>
  <c r="D115" i="17"/>
  <c r="F34" i="27"/>
  <c r="G34" i="27" s="1"/>
  <c r="G37" i="20"/>
  <c r="B71" i="39" l="1"/>
  <c r="D25" i="38"/>
  <c r="D30" i="38" s="1"/>
  <c r="C11" i="39"/>
  <c r="C98" i="38"/>
  <c r="C80" i="38"/>
  <c r="C82" i="38" s="1"/>
  <c r="C37" i="38"/>
  <c r="C74" i="32"/>
  <c r="C75" i="32" s="1"/>
  <c r="C46" i="32"/>
  <c r="C53" i="32" s="1"/>
  <c r="E157" i="17"/>
  <c r="F157" i="17" s="1"/>
  <c r="C50" i="38"/>
  <c r="D127" i="17"/>
  <c r="D129" i="17" s="1"/>
  <c r="D139" i="17" s="1"/>
  <c r="D143" i="17" s="1"/>
  <c r="D145" i="17" s="1"/>
  <c r="D149" i="17" s="1"/>
  <c r="E123" i="17" s="1"/>
  <c r="H34" i="27"/>
  <c r="F35" i="27" s="1"/>
  <c r="G35" i="27" s="1"/>
  <c r="H35" i="27" s="1"/>
  <c r="F79" i="17"/>
  <c r="D204" i="17"/>
  <c r="D206" i="17" s="1"/>
  <c r="I79" i="17"/>
  <c r="D84" i="17"/>
  <c r="D85" i="17" s="1"/>
  <c r="D86" i="17" s="1"/>
  <c r="G79" i="17"/>
  <c r="H79" i="17"/>
  <c r="E79" i="17"/>
  <c r="C64" i="39" s="1"/>
  <c r="G22" i="23"/>
  <c r="D22" i="23"/>
  <c r="E22" i="23"/>
  <c r="E111" i="17"/>
  <c r="F22" i="23"/>
  <c r="G43" i="20"/>
  <c r="J34" i="20"/>
  <c r="G44" i="20"/>
  <c r="J38" i="20"/>
  <c r="J36" i="20"/>
  <c r="J37" i="20"/>
  <c r="G45" i="20"/>
  <c r="J35" i="20"/>
  <c r="F25" i="38" l="1"/>
  <c r="F30" i="38" s="1"/>
  <c r="E11" i="39"/>
  <c r="G64" i="39"/>
  <c r="F64" i="39"/>
  <c r="E25" i="38"/>
  <c r="E30" i="38" s="1"/>
  <c r="D11" i="39"/>
  <c r="D64" i="39"/>
  <c r="H25" i="38"/>
  <c r="H30" i="38" s="1"/>
  <c r="G11" i="39"/>
  <c r="E64" i="39"/>
  <c r="G25" i="38"/>
  <c r="G30" i="38" s="1"/>
  <c r="F11" i="39"/>
  <c r="I146" i="17"/>
  <c r="E146" i="17"/>
  <c r="G146" i="17"/>
  <c r="H146" i="17"/>
  <c r="F146" i="17"/>
  <c r="H53" i="33"/>
  <c r="F53" i="33"/>
  <c r="D53" i="33"/>
  <c r="B53" i="33"/>
  <c r="J53" i="33"/>
  <c r="E112" i="17"/>
  <c r="E63" i="17"/>
  <c r="C39" i="39" s="1"/>
  <c r="F140" i="17"/>
  <c r="G140" i="17"/>
  <c r="I140" i="17"/>
  <c r="H140" i="17"/>
  <c r="E140" i="17"/>
  <c r="D10" i="31"/>
  <c r="C31" i="31" s="1"/>
  <c r="D28" i="32"/>
  <c r="D35" i="32" s="1"/>
  <c r="B17" i="34"/>
  <c r="E28" i="32"/>
  <c r="D17" i="34"/>
  <c r="F28" i="32"/>
  <c r="F35" i="32" s="1"/>
  <c r="F17" i="34"/>
  <c r="H28" i="32"/>
  <c r="J17" i="34"/>
  <c r="G28" i="32"/>
  <c r="G35" i="32" s="1"/>
  <c r="H17" i="34"/>
  <c r="E203" i="17"/>
  <c r="E204" i="17"/>
  <c r="F36" i="27"/>
  <c r="G36" i="27" s="1"/>
  <c r="H36" i="27" s="1"/>
  <c r="G48" i="20"/>
  <c r="G50" i="20" s="1"/>
  <c r="J39" i="20"/>
  <c r="C329" i="20" s="1"/>
  <c r="C95" i="39" l="1"/>
  <c r="C97" i="39" s="1"/>
  <c r="C41" i="39"/>
  <c r="J11" i="39"/>
  <c r="M53" i="33"/>
  <c r="P53" i="33"/>
  <c r="N53" i="33"/>
  <c r="O53" i="33"/>
  <c r="E35" i="32"/>
  <c r="E65" i="17"/>
  <c r="B20" i="33"/>
  <c r="E113" i="17"/>
  <c r="F63" i="17"/>
  <c r="D39" i="39" s="1"/>
  <c r="D11" i="31"/>
  <c r="C36" i="31" s="1"/>
  <c r="H35" i="32"/>
  <c r="N17" i="34"/>
  <c r="M17" i="34"/>
  <c r="O17" i="34"/>
  <c r="P17" i="34"/>
  <c r="C40" i="31"/>
  <c r="C41" i="31" s="1"/>
  <c r="C33" i="31"/>
  <c r="D205" i="17"/>
  <c r="E206" i="17"/>
  <c r="H157" i="17"/>
  <c r="F5" i="20"/>
  <c r="F20" i="20" s="1"/>
  <c r="F29" i="20" s="1"/>
  <c r="C328" i="20"/>
  <c r="F37" i="27"/>
  <c r="G37" i="27" s="1"/>
  <c r="H37" i="27" s="1"/>
  <c r="G5" i="20"/>
  <c r="G20" i="20" s="1"/>
  <c r="G29" i="20" s="1"/>
  <c r="D95" i="39" l="1"/>
  <c r="D97" i="39" s="1"/>
  <c r="D41" i="39"/>
  <c r="C37" i="31"/>
  <c r="C38" i="31" s="1"/>
  <c r="E114" i="17"/>
  <c r="G63" i="17"/>
  <c r="E39" i="39" s="1"/>
  <c r="B21" i="33"/>
  <c r="F65" i="17"/>
  <c r="D20" i="33"/>
  <c r="D21" i="33" s="1"/>
  <c r="I157" i="17"/>
  <c r="F38" i="27"/>
  <c r="G38" i="27" s="1"/>
  <c r="G147" i="17" s="1"/>
  <c r="F37" i="32" s="1"/>
  <c r="F69" i="38" s="1"/>
  <c r="C330" i="20"/>
  <c r="H5" i="20"/>
  <c r="E95" i="39" l="1"/>
  <c r="E97" i="39" s="1"/>
  <c r="E41" i="39"/>
  <c r="M21" i="33"/>
  <c r="M20" i="33"/>
  <c r="E115" i="17"/>
  <c r="I63" i="17" s="1"/>
  <c r="G39" i="39" s="1"/>
  <c r="H63" i="17"/>
  <c r="F39" i="39" s="1"/>
  <c r="F20" i="33"/>
  <c r="G65" i="17"/>
  <c r="H20" i="20"/>
  <c r="H29" i="20" s="1"/>
  <c r="H38" i="27"/>
  <c r="I5" i="20"/>
  <c r="I20" i="20" s="1"/>
  <c r="I29" i="20" s="1"/>
  <c r="G57" i="32" l="1"/>
  <c r="D153" i="39"/>
  <c r="D156" i="39" s="1"/>
  <c r="C153" i="39"/>
  <c r="C156" i="39" s="1"/>
  <c r="G132" i="39"/>
  <c r="F132" i="39"/>
  <c r="F134" i="39" s="1"/>
  <c r="G153" i="39"/>
  <c r="E132" i="39"/>
  <c r="E134" i="39" s="1"/>
  <c r="F153" i="39"/>
  <c r="F156" i="39" s="1"/>
  <c r="D132" i="39"/>
  <c r="D134" i="39" s="1"/>
  <c r="E153" i="39"/>
  <c r="E156" i="39" s="1"/>
  <c r="C132" i="39"/>
  <c r="C134" i="39" s="1"/>
  <c r="F95" i="39"/>
  <c r="F97" i="39" s="1"/>
  <c r="F41" i="39"/>
  <c r="G95" i="39"/>
  <c r="G97" i="39" s="1"/>
  <c r="G41" i="39"/>
  <c r="G91" i="38"/>
  <c r="G43" i="38"/>
  <c r="C11" i="38" s="1"/>
  <c r="G206" i="17"/>
  <c r="F219" i="17" s="1"/>
  <c r="J20" i="33"/>
  <c r="I65" i="17"/>
  <c r="H20" i="33"/>
  <c r="H65" i="17"/>
  <c r="N20" i="33"/>
  <c r="F21" i="33"/>
  <c r="N21" i="33" s="1"/>
  <c r="E14" i="17"/>
  <c r="E24" i="17" s="1"/>
  <c r="E29" i="17"/>
  <c r="G156" i="39" l="1"/>
  <c r="G134" i="39"/>
  <c r="O20" i="33"/>
  <c r="H21" i="33"/>
  <c r="O21" i="33" s="1"/>
  <c r="J21" i="33"/>
  <c r="P20" i="33"/>
  <c r="E31" i="17"/>
  <c r="E28" i="23"/>
  <c r="G29" i="17"/>
  <c r="P21" i="33" l="1"/>
  <c r="F27" i="34"/>
  <c r="G31" i="17"/>
  <c r="G39" i="17" s="1"/>
  <c r="G42" i="17" s="1"/>
  <c r="O27" i="34" l="1"/>
  <c r="N27" i="34"/>
  <c r="G40" i="17"/>
  <c r="H46" i="26"/>
  <c r="I46" i="26" s="1"/>
  <c r="J46" i="26" s="1"/>
  <c r="K46" i="26" s="1"/>
  <c r="J177" i="26" l="1"/>
  <c r="J185" i="26" l="1"/>
  <c r="P185" i="26" s="1"/>
  <c r="R185" i="26" s="1"/>
  <c r="J188" i="26"/>
  <c r="P188" i="26" s="1"/>
  <c r="R188" i="26" s="1"/>
  <c r="J182" i="26"/>
  <c r="P182" i="26" s="1"/>
  <c r="R182" i="26" s="1"/>
  <c r="J179" i="26"/>
  <c r="P179" i="26" s="1"/>
  <c r="R179" i="26" s="1"/>
  <c r="J180" i="26"/>
  <c r="P180" i="26" s="1"/>
  <c r="R180" i="26" s="1"/>
  <c r="J181" i="26"/>
  <c r="P181" i="26" s="1"/>
  <c r="R181" i="26" s="1"/>
  <c r="J184" i="26"/>
  <c r="P184" i="26" s="1"/>
  <c r="R184" i="26" s="1"/>
  <c r="J187" i="26"/>
  <c r="P187" i="26" s="1"/>
  <c r="R187" i="26" s="1"/>
  <c r="J189" i="26"/>
  <c r="P189" i="26" s="1"/>
  <c r="R189" i="26" s="1"/>
  <c r="J222" i="26"/>
  <c r="J186" i="26"/>
  <c r="P186" i="26" s="1"/>
  <c r="R186" i="26" s="1"/>
  <c r="J183" i="26"/>
  <c r="P183" i="26" s="1"/>
  <c r="R183" i="26" s="1"/>
  <c r="J233" i="26" l="1"/>
  <c r="P233" i="26" s="1"/>
  <c r="R233" i="26" s="1"/>
  <c r="J232" i="26"/>
  <c r="P232" i="26" s="1"/>
  <c r="R232" i="26" s="1"/>
  <c r="J229" i="26"/>
  <c r="P229" i="26" s="1"/>
  <c r="R229" i="26" s="1"/>
  <c r="J234" i="26"/>
  <c r="P234" i="26" s="1"/>
  <c r="R234" i="26" s="1"/>
  <c r="J225" i="26"/>
  <c r="P225" i="26" s="1"/>
  <c r="R225" i="26" s="1"/>
  <c r="J228" i="26"/>
  <c r="P228" i="26" s="1"/>
  <c r="R228" i="26" s="1"/>
  <c r="J226" i="26"/>
  <c r="P226" i="26" s="1"/>
  <c r="R226" i="26" s="1"/>
  <c r="J268" i="26"/>
  <c r="J223" i="26"/>
  <c r="J224" i="26"/>
  <c r="P224" i="26" s="1"/>
  <c r="R224" i="26" s="1"/>
  <c r="J231" i="26"/>
  <c r="P231" i="26" s="1"/>
  <c r="R231" i="26" s="1"/>
  <c r="J230" i="26"/>
  <c r="P230" i="26" s="1"/>
  <c r="R230" i="26" s="1"/>
  <c r="J227" i="26"/>
  <c r="P227" i="26" s="1"/>
  <c r="R227" i="26" s="1"/>
  <c r="J191" i="26"/>
  <c r="J192" i="26" s="1"/>
  <c r="P178" i="26"/>
  <c r="J270" i="26" l="1"/>
  <c r="P270" i="26" s="1"/>
  <c r="R270" i="26" s="1"/>
  <c r="J278" i="26"/>
  <c r="P278" i="26" s="1"/>
  <c r="R278" i="26" s="1"/>
  <c r="J274" i="26"/>
  <c r="P274" i="26" s="1"/>
  <c r="R274" i="26" s="1"/>
  <c r="J279" i="26"/>
  <c r="P279" i="26" s="1"/>
  <c r="R279" i="26" s="1"/>
  <c r="J272" i="26"/>
  <c r="P272" i="26" s="1"/>
  <c r="R272" i="26" s="1"/>
  <c r="J271" i="26"/>
  <c r="P271" i="26" s="1"/>
  <c r="R271" i="26" s="1"/>
  <c r="J280" i="26"/>
  <c r="P280" i="26" s="1"/>
  <c r="R280" i="26" s="1"/>
  <c r="J269" i="26"/>
  <c r="J276" i="26"/>
  <c r="P276" i="26" s="1"/>
  <c r="R276" i="26" s="1"/>
  <c r="J313" i="26"/>
  <c r="J277" i="26"/>
  <c r="P277" i="26" s="1"/>
  <c r="R277" i="26" s="1"/>
  <c r="J273" i="26"/>
  <c r="P273" i="26" s="1"/>
  <c r="R273" i="26" s="1"/>
  <c r="J275" i="26"/>
  <c r="P275" i="26" s="1"/>
  <c r="R275" i="26" s="1"/>
  <c r="P192" i="26"/>
  <c r="J236" i="26"/>
  <c r="J237" i="26" s="1"/>
  <c r="P223" i="26"/>
  <c r="G70" i="26" l="1"/>
  <c r="C8" i="23"/>
  <c r="P269" i="26"/>
  <c r="J282" i="26"/>
  <c r="J283" i="26" s="1"/>
  <c r="J315" i="26"/>
  <c r="P315" i="26" s="1"/>
  <c r="R315" i="26" s="1"/>
  <c r="J323" i="26"/>
  <c r="P323" i="26" s="1"/>
  <c r="R323" i="26" s="1"/>
  <c r="J317" i="26"/>
  <c r="P317" i="26" s="1"/>
  <c r="R317" i="26" s="1"/>
  <c r="J325" i="26"/>
  <c r="P325" i="26" s="1"/>
  <c r="R325" i="26" s="1"/>
  <c r="J322" i="26"/>
  <c r="P322" i="26" s="1"/>
  <c r="R322" i="26" s="1"/>
  <c r="J319" i="26"/>
  <c r="P319" i="26" s="1"/>
  <c r="R319" i="26" s="1"/>
  <c r="J324" i="26"/>
  <c r="P324" i="26" s="1"/>
  <c r="R324" i="26" s="1"/>
  <c r="J318" i="26"/>
  <c r="P318" i="26" s="1"/>
  <c r="R318" i="26" s="1"/>
  <c r="J321" i="26"/>
  <c r="P321" i="26" s="1"/>
  <c r="R321" i="26" s="1"/>
  <c r="J316" i="26"/>
  <c r="P316" i="26" s="1"/>
  <c r="R316" i="26" s="1"/>
  <c r="J314" i="26"/>
  <c r="J357" i="26"/>
  <c r="J320" i="26"/>
  <c r="P320" i="26" s="1"/>
  <c r="R320" i="26" s="1"/>
  <c r="R223" i="26"/>
  <c r="S223" i="26" s="1"/>
  <c r="P237" i="26"/>
  <c r="H70" i="26" s="1"/>
  <c r="D8" i="23" s="1"/>
  <c r="C12" i="23" l="1"/>
  <c r="B9" i="34"/>
  <c r="D12" i="23"/>
  <c r="D9" i="34"/>
  <c r="D29" i="23"/>
  <c r="D30" i="23"/>
  <c r="D15" i="23"/>
  <c r="R269" i="26"/>
  <c r="S269" i="26" s="1"/>
  <c r="P283" i="26"/>
  <c r="I70" i="26" s="1"/>
  <c r="E8" i="23" s="1"/>
  <c r="C29" i="23"/>
  <c r="C30" i="23"/>
  <c r="C15" i="23"/>
  <c r="E16" i="14"/>
  <c r="E39" i="14" s="1"/>
  <c r="F8" i="14"/>
  <c r="F16" i="14" s="1"/>
  <c r="F39" i="14" s="1"/>
  <c r="P314" i="26"/>
  <c r="J327" i="26"/>
  <c r="J328" i="26" s="1"/>
  <c r="J366" i="26"/>
  <c r="P366" i="26" s="1"/>
  <c r="R366" i="26" s="1"/>
  <c r="J369" i="26"/>
  <c r="P369" i="26" s="1"/>
  <c r="R369" i="26" s="1"/>
  <c r="J365" i="26"/>
  <c r="P365" i="26" s="1"/>
  <c r="R365" i="26" s="1"/>
  <c r="J360" i="26"/>
  <c r="P360" i="26" s="1"/>
  <c r="R360" i="26" s="1"/>
  <c r="J362" i="26"/>
  <c r="P362" i="26" s="1"/>
  <c r="R362" i="26" s="1"/>
  <c r="J361" i="26"/>
  <c r="P361" i="26" s="1"/>
  <c r="R361" i="26" s="1"/>
  <c r="J367" i="26"/>
  <c r="P367" i="26" s="1"/>
  <c r="R367" i="26" s="1"/>
  <c r="J364" i="26"/>
  <c r="P364" i="26" s="1"/>
  <c r="R364" i="26" s="1"/>
  <c r="J368" i="26"/>
  <c r="P368" i="26" s="1"/>
  <c r="R368" i="26" s="1"/>
  <c r="J359" i="26"/>
  <c r="P359" i="26" s="1"/>
  <c r="R359" i="26" s="1"/>
  <c r="J363" i="26"/>
  <c r="P363" i="26" s="1"/>
  <c r="R363" i="26" s="1"/>
  <c r="J358" i="26"/>
  <c r="D29" i="34" l="1"/>
  <c r="E29" i="32"/>
  <c r="E65" i="38" s="1"/>
  <c r="E66" i="38" s="1"/>
  <c r="E67" i="38" s="1"/>
  <c r="E68" i="38" s="1"/>
  <c r="E71" i="38" s="1"/>
  <c r="E81" i="38" s="1"/>
  <c r="D16" i="39"/>
  <c r="D126" i="39" s="1"/>
  <c r="F141" i="17"/>
  <c r="D11" i="34"/>
  <c r="M9" i="34"/>
  <c r="E9" i="34"/>
  <c r="D6" i="39"/>
  <c r="D8" i="39" s="1"/>
  <c r="E19" i="38"/>
  <c r="E21" i="38" s="1"/>
  <c r="F125" i="17"/>
  <c r="E22" i="32"/>
  <c r="E24" i="32" s="1"/>
  <c r="B29" i="34"/>
  <c r="C16" i="39"/>
  <c r="C126" i="39" s="1"/>
  <c r="D29" i="32"/>
  <c r="D65" i="38" s="1"/>
  <c r="D66" i="38" s="1"/>
  <c r="D67" i="38" s="1"/>
  <c r="D68" i="38" s="1"/>
  <c r="D71" i="38" s="1"/>
  <c r="E141" i="17"/>
  <c r="B11" i="34"/>
  <c r="E12" i="23"/>
  <c r="F9" i="34"/>
  <c r="C6" i="39"/>
  <c r="C8" i="39" s="1"/>
  <c r="D19" i="38"/>
  <c r="D21" i="38" s="1"/>
  <c r="E125" i="17"/>
  <c r="E129" i="17" s="1"/>
  <c r="D22" i="32"/>
  <c r="D24" i="32" s="1"/>
  <c r="C17" i="23"/>
  <c r="H67" i="14"/>
  <c r="H68" i="14" s="1"/>
  <c r="E29" i="23"/>
  <c r="E30" i="23"/>
  <c r="E15" i="23"/>
  <c r="J371" i="26"/>
  <c r="J372" i="26" s="1"/>
  <c r="P358" i="26"/>
  <c r="P328" i="26"/>
  <c r="J70" i="26" s="1"/>
  <c r="F8" i="23" s="1"/>
  <c r="R314" i="26"/>
  <c r="S314" i="26" s="1"/>
  <c r="C20" i="23" l="1"/>
  <c r="C9" i="39"/>
  <c r="C14" i="39" s="1"/>
  <c r="D22" i="38"/>
  <c r="D23" i="38" s="1"/>
  <c r="D27" i="38" s="1"/>
  <c r="D28" i="38" s="1"/>
  <c r="D29" i="38" s="1"/>
  <c r="D34" i="38" s="1"/>
  <c r="D81" i="38"/>
  <c r="E10" i="34"/>
  <c r="E22" i="34"/>
  <c r="D13" i="34"/>
  <c r="E21" i="34"/>
  <c r="E15" i="34"/>
  <c r="E11" i="34"/>
  <c r="E28" i="34"/>
  <c r="E23" i="34"/>
  <c r="E36" i="34"/>
  <c r="M11" i="34"/>
  <c r="E24" i="34"/>
  <c r="E25" i="34"/>
  <c r="E27" i="34"/>
  <c r="E12" i="34"/>
  <c r="E17" i="34"/>
  <c r="C10" i="34"/>
  <c r="C21" i="34"/>
  <c r="C36" i="34"/>
  <c r="C22" i="34"/>
  <c r="B13" i="34"/>
  <c r="C13" i="34" s="1"/>
  <c r="C23" i="34"/>
  <c r="C11" i="34"/>
  <c r="C15" i="34"/>
  <c r="C27" i="34"/>
  <c r="C24" i="34"/>
  <c r="C12" i="34"/>
  <c r="C25" i="34"/>
  <c r="C17" i="34"/>
  <c r="C28" i="34"/>
  <c r="B30" i="34"/>
  <c r="F11" i="34"/>
  <c r="N9" i="34"/>
  <c r="F12" i="23"/>
  <c r="F30" i="23" s="1"/>
  <c r="H9" i="34"/>
  <c r="D17" i="23"/>
  <c r="D20" i="23" s="1"/>
  <c r="D25" i="23" s="1"/>
  <c r="F29" i="34"/>
  <c r="E16" i="39"/>
  <c r="E126" i="39" s="1"/>
  <c r="G141" i="17"/>
  <c r="F29" i="32"/>
  <c r="F65" i="38" s="1"/>
  <c r="F66" i="38" s="1"/>
  <c r="F67" i="38" s="1"/>
  <c r="F68" i="38" s="1"/>
  <c r="F71" i="38" s="1"/>
  <c r="F81" i="38" s="1"/>
  <c r="E6" i="39"/>
  <c r="E8" i="39" s="1"/>
  <c r="F19" i="38"/>
  <c r="F21" i="38" s="1"/>
  <c r="G125" i="17"/>
  <c r="F22" i="32"/>
  <c r="F24" i="32" s="1"/>
  <c r="C9" i="34"/>
  <c r="M29" i="34"/>
  <c r="E29" i="34"/>
  <c r="D30" i="34"/>
  <c r="C25" i="23"/>
  <c r="C32" i="23" s="1"/>
  <c r="C34" i="23" s="1"/>
  <c r="C18" i="39" s="1"/>
  <c r="E25" i="32"/>
  <c r="E26" i="32" s="1"/>
  <c r="E32" i="32" s="1"/>
  <c r="E33" i="32" s="1"/>
  <c r="E34" i="32" s="1"/>
  <c r="E39" i="32" s="1"/>
  <c r="E133" i="17"/>
  <c r="E137" i="17" s="1"/>
  <c r="E139" i="17" s="1"/>
  <c r="E143" i="17" s="1"/>
  <c r="B16" i="34"/>
  <c r="D25" i="32"/>
  <c r="D26" i="32" s="1"/>
  <c r="D32" i="32" s="1"/>
  <c r="R358" i="26"/>
  <c r="S358" i="26" s="1"/>
  <c r="P372" i="26"/>
  <c r="K70" i="26" s="1"/>
  <c r="G8" i="23" s="1"/>
  <c r="E17" i="23" l="1"/>
  <c r="D16" i="34"/>
  <c r="F133" i="17"/>
  <c r="F137" i="17" s="1"/>
  <c r="F29" i="23"/>
  <c r="F15" i="23"/>
  <c r="E9" i="39"/>
  <c r="F22" i="38"/>
  <c r="D80" i="38"/>
  <c r="D82" i="38" s="1"/>
  <c r="D98" i="38"/>
  <c r="D100" i="38" s="1"/>
  <c r="N29" i="34"/>
  <c r="G29" i="34"/>
  <c r="F30" i="34"/>
  <c r="C30" i="34"/>
  <c r="C29" i="34"/>
  <c r="B31" i="34"/>
  <c r="C31" i="34" s="1"/>
  <c r="G15" i="34"/>
  <c r="F13" i="34"/>
  <c r="G22" i="34"/>
  <c r="N11" i="34"/>
  <c r="G11" i="34"/>
  <c r="G36" i="34"/>
  <c r="G23" i="34"/>
  <c r="G21" i="34"/>
  <c r="G28" i="34"/>
  <c r="G10" i="34"/>
  <c r="G24" i="34"/>
  <c r="G25" i="34"/>
  <c r="G12" i="34"/>
  <c r="G17" i="34"/>
  <c r="G27" i="34"/>
  <c r="F16" i="39"/>
  <c r="F126" i="39" s="1"/>
  <c r="H141" i="17"/>
  <c r="H29" i="34"/>
  <c r="G29" i="32"/>
  <c r="G65" i="38" s="1"/>
  <c r="G66" i="38" s="1"/>
  <c r="G67" i="38" s="1"/>
  <c r="G68" i="38" s="1"/>
  <c r="G71" i="38" s="1"/>
  <c r="G81" i="38" s="1"/>
  <c r="D9" i="39"/>
  <c r="D14" i="39" s="1"/>
  <c r="E22" i="38"/>
  <c r="E23" i="38" s="1"/>
  <c r="E27" i="38" s="1"/>
  <c r="E28" i="38" s="1"/>
  <c r="E29" i="38" s="1"/>
  <c r="E34" i="38" s="1"/>
  <c r="G12" i="23"/>
  <c r="G30" i="23" s="1"/>
  <c r="J9" i="34"/>
  <c r="O9" i="34"/>
  <c r="H11" i="34"/>
  <c r="I9" i="34"/>
  <c r="C110" i="39"/>
  <c r="C112" i="39" s="1"/>
  <c r="C17" i="39"/>
  <c r="C19" i="39" s="1"/>
  <c r="F23" i="38"/>
  <c r="F27" i="38" s="1"/>
  <c r="F28" i="38" s="1"/>
  <c r="F29" i="38" s="1"/>
  <c r="F34" i="38" s="1"/>
  <c r="F6" i="39"/>
  <c r="F8" i="39" s="1"/>
  <c r="G19" i="38"/>
  <c r="G21" i="38" s="1"/>
  <c r="H125" i="17"/>
  <c r="G22" i="32"/>
  <c r="G24" i="32" s="1"/>
  <c r="D31" i="34"/>
  <c r="M30" i="34"/>
  <c r="E30" i="34"/>
  <c r="E14" i="39"/>
  <c r="G9" i="34"/>
  <c r="M13" i="34"/>
  <c r="E13" i="34"/>
  <c r="D33" i="32"/>
  <c r="D34" i="32" s="1"/>
  <c r="E70" i="17"/>
  <c r="C54" i="39" s="1"/>
  <c r="E144" i="17"/>
  <c r="E145" i="17" s="1"/>
  <c r="E149" i="17" s="1"/>
  <c r="E54" i="17" s="1"/>
  <c r="C30" i="39" s="1"/>
  <c r="G133" i="17"/>
  <c r="G137" i="17" s="1"/>
  <c r="F16" i="34"/>
  <c r="F25" i="32"/>
  <c r="F26" i="32" s="1"/>
  <c r="F32" i="32" s="1"/>
  <c r="F33" i="32" s="1"/>
  <c r="F34" i="32" s="1"/>
  <c r="E20" i="23"/>
  <c r="E25" i="23" s="1"/>
  <c r="E159" i="17"/>
  <c r="F159" i="17" s="1"/>
  <c r="E74" i="32"/>
  <c r="C16" i="34"/>
  <c r="B18" i="34"/>
  <c r="M16" i="34"/>
  <c r="E16" i="34"/>
  <c r="D18" i="34"/>
  <c r="D32" i="23"/>
  <c r="D34" i="23" s="1"/>
  <c r="D18" i="39" s="1"/>
  <c r="C36" i="23"/>
  <c r="E82" i="17" s="1"/>
  <c r="C66" i="39" s="1"/>
  <c r="F17" i="23"/>
  <c r="E72" i="17" l="1"/>
  <c r="E77" i="17" s="1"/>
  <c r="E234" i="17" s="1"/>
  <c r="F9" i="39"/>
  <c r="F14" i="39" s="1"/>
  <c r="G22" i="38"/>
  <c r="E110" i="39"/>
  <c r="E112" i="39" s="1"/>
  <c r="E17" i="39"/>
  <c r="E98" i="38"/>
  <c r="E100" i="38" s="1"/>
  <c r="E80" i="38"/>
  <c r="E82" i="38" s="1"/>
  <c r="F98" i="38"/>
  <c r="F100" i="38" s="1"/>
  <c r="F80" i="38"/>
  <c r="F82" i="38" s="1"/>
  <c r="C123" i="39"/>
  <c r="C148" i="39"/>
  <c r="F31" i="34"/>
  <c r="N30" i="34"/>
  <c r="G30" i="34"/>
  <c r="G15" i="23"/>
  <c r="G29" i="23"/>
  <c r="D17" i="39"/>
  <c r="D19" i="39" s="1"/>
  <c r="D110" i="39"/>
  <c r="D112" i="39" s="1"/>
  <c r="C85" i="39"/>
  <c r="C86" i="39" s="1"/>
  <c r="C55" i="39"/>
  <c r="C61" i="39" s="1"/>
  <c r="E31" i="34"/>
  <c r="M31" i="34"/>
  <c r="C77" i="39"/>
  <c r="C81" i="39" s="1"/>
  <c r="C35" i="39"/>
  <c r="C48" i="39" s="1"/>
  <c r="I23" i="34"/>
  <c r="O23" i="34" s="1"/>
  <c r="I11" i="34"/>
  <c r="I27" i="34"/>
  <c r="H13" i="34"/>
  <c r="O11" i="34"/>
  <c r="I36" i="34"/>
  <c r="I28" i="34"/>
  <c r="O28" i="34" s="1"/>
  <c r="I22" i="34"/>
  <c r="O22" i="34" s="1"/>
  <c r="I21" i="34"/>
  <c r="I15" i="34"/>
  <c r="I10" i="34"/>
  <c r="I24" i="34"/>
  <c r="I25" i="34"/>
  <c r="I12" i="34"/>
  <c r="I17" i="34"/>
  <c r="H30" i="34"/>
  <c r="O29" i="34"/>
  <c r="I29" i="34"/>
  <c r="G13" i="34"/>
  <c r="N13" i="34"/>
  <c r="M28" i="34"/>
  <c r="G6" i="39"/>
  <c r="G8" i="39" s="1"/>
  <c r="H19" i="38"/>
  <c r="H21" i="38" s="1"/>
  <c r="I125" i="17"/>
  <c r="H22" i="32"/>
  <c r="H24" i="32" s="1"/>
  <c r="B33" i="33"/>
  <c r="B38" i="33" s="1"/>
  <c r="B50" i="33" s="1"/>
  <c r="G23" i="38"/>
  <c r="G27" i="38" s="1"/>
  <c r="G28" i="38" s="1"/>
  <c r="G29" i="38" s="1"/>
  <c r="G34" i="38" s="1"/>
  <c r="P9" i="34"/>
  <c r="J11" i="34"/>
  <c r="K9" i="34" s="1"/>
  <c r="O21" i="34"/>
  <c r="D39" i="32"/>
  <c r="B19" i="34"/>
  <c r="C18" i="34"/>
  <c r="F39" i="32"/>
  <c r="D19" i="34"/>
  <c r="M18" i="34"/>
  <c r="E18" i="34"/>
  <c r="N16" i="34"/>
  <c r="G16" i="34"/>
  <c r="F18" i="34"/>
  <c r="H133" i="17"/>
  <c r="H137" i="17" s="1"/>
  <c r="H16" i="34"/>
  <c r="G25" i="32"/>
  <c r="G26" i="32" s="1"/>
  <c r="G32" i="32" s="1"/>
  <c r="G33" i="32" s="1"/>
  <c r="G34" i="32" s="1"/>
  <c r="F20" i="23"/>
  <c r="F25" i="23" s="1"/>
  <c r="F123" i="17"/>
  <c r="F129" i="17" s="1"/>
  <c r="F144" i="17"/>
  <c r="D35" i="34"/>
  <c r="E35" i="34" s="1"/>
  <c r="F70" i="17"/>
  <c r="D54" i="39" s="1"/>
  <c r="E32" i="23"/>
  <c r="E34" i="23" s="1"/>
  <c r="E18" i="39" s="1"/>
  <c r="B35" i="34"/>
  <c r="B56" i="33"/>
  <c r="E81" i="17"/>
  <c r="C65" i="39" s="1"/>
  <c r="C68" i="39" s="1"/>
  <c r="G17" i="23"/>
  <c r="F83" i="17"/>
  <c r="D67" i="39" s="1"/>
  <c r="D36" i="23"/>
  <c r="F82" i="17" s="1"/>
  <c r="D66" i="39" s="1"/>
  <c r="F41" i="32" l="1"/>
  <c r="C69" i="39"/>
  <c r="D148" i="39"/>
  <c r="D123" i="39"/>
  <c r="K36" i="34"/>
  <c r="K22" i="34"/>
  <c r="K28" i="34"/>
  <c r="K15" i="34"/>
  <c r="J13" i="34"/>
  <c r="K21" i="34"/>
  <c r="K23" i="34"/>
  <c r="K27" i="34"/>
  <c r="P11" i="34"/>
  <c r="K11" i="34"/>
  <c r="K10" i="34"/>
  <c r="K24" i="34"/>
  <c r="K25" i="34"/>
  <c r="K12" i="34"/>
  <c r="K17" i="34"/>
  <c r="I30" i="34"/>
  <c r="H31" i="34"/>
  <c r="O30" i="34"/>
  <c r="C71" i="39"/>
  <c r="E19" i="39"/>
  <c r="C87" i="39"/>
  <c r="J29" i="34"/>
  <c r="G16" i="39"/>
  <c r="G126" i="39" s="1"/>
  <c r="I141" i="17"/>
  <c r="H29" i="32"/>
  <c r="H65" i="38" s="1"/>
  <c r="H66" i="38" s="1"/>
  <c r="H67" i="38" s="1"/>
  <c r="H68" i="38" s="1"/>
  <c r="H71" i="38" s="1"/>
  <c r="E123" i="39"/>
  <c r="E148" i="39"/>
  <c r="G31" i="34"/>
  <c r="N31" i="34"/>
  <c r="D85" i="39"/>
  <c r="D86" i="39" s="1"/>
  <c r="D55" i="39"/>
  <c r="D61" i="39" s="1"/>
  <c r="G98" i="38"/>
  <c r="G100" i="38" s="1"/>
  <c r="G80" i="38"/>
  <c r="G82" i="38" s="1"/>
  <c r="F110" i="39"/>
  <c r="F112" i="39" s="1"/>
  <c r="F17" i="39"/>
  <c r="G9" i="39"/>
  <c r="G14" i="39" s="1"/>
  <c r="H22" i="38"/>
  <c r="H23" i="38" s="1"/>
  <c r="H27" i="38" s="1"/>
  <c r="H28" i="38" s="1"/>
  <c r="H29" i="38" s="1"/>
  <c r="H34" i="38" s="1"/>
  <c r="C48" i="38" s="1"/>
  <c r="I13" i="34"/>
  <c r="O13" i="34"/>
  <c r="D74" i="32"/>
  <c r="D75" i="32" s="1"/>
  <c r="E75" i="32" s="1"/>
  <c r="D41" i="32"/>
  <c r="E158" i="17"/>
  <c r="F158" i="17" s="1"/>
  <c r="I158" i="17" s="1"/>
  <c r="E41" i="32"/>
  <c r="G39" i="32"/>
  <c r="G41" i="32" s="1"/>
  <c r="M19" i="34"/>
  <c r="E19" i="34"/>
  <c r="D33" i="34"/>
  <c r="I133" i="17"/>
  <c r="I137" i="17" s="1"/>
  <c r="J16" i="34"/>
  <c r="H25" i="32"/>
  <c r="H26" i="32" s="1"/>
  <c r="G20" i="23"/>
  <c r="G25" i="23" s="1"/>
  <c r="I16" i="34"/>
  <c r="O16" i="34"/>
  <c r="H18" i="34"/>
  <c r="G18" i="34"/>
  <c r="F19" i="34"/>
  <c r="N18" i="34"/>
  <c r="E160" i="17"/>
  <c r="F160" i="17" s="1"/>
  <c r="F74" i="32"/>
  <c r="C19" i="34"/>
  <c r="B33" i="34"/>
  <c r="C33" i="34" s="1"/>
  <c r="E36" i="23"/>
  <c r="G82" i="17" s="1"/>
  <c r="E66" i="39" s="1"/>
  <c r="D37" i="34"/>
  <c r="E37" i="34" s="1"/>
  <c r="D57" i="33"/>
  <c r="D33" i="33"/>
  <c r="F72" i="17"/>
  <c r="F77" i="17" s="1"/>
  <c r="F234" i="17" s="1"/>
  <c r="D56" i="33"/>
  <c r="M56" i="33" s="1"/>
  <c r="G144" i="17"/>
  <c r="M35" i="34"/>
  <c r="G70" i="17"/>
  <c r="E54" i="39" s="1"/>
  <c r="F32" i="23"/>
  <c r="F34" i="23" s="1"/>
  <c r="F35" i="34"/>
  <c r="G35" i="34" s="1"/>
  <c r="F139" i="17"/>
  <c r="B37" i="34"/>
  <c r="C35" i="34"/>
  <c r="B55" i="33"/>
  <c r="E84" i="17"/>
  <c r="E85" i="17" s="1"/>
  <c r="B6" i="33"/>
  <c r="G83" i="17"/>
  <c r="E67" i="39" s="1"/>
  <c r="F81" i="17"/>
  <c r="H32" i="32" l="1"/>
  <c r="H33" i="32" s="1"/>
  <c r="H34" i="32" s="1"/>
  <c r="C48" i="32" s="1"/>
  <c r="H80" i="38"/>
  <c r="H98" i="38"/>
  <c r="H100" i="38" s="1"/>
  <c r="C53" i="38"/>
  <c r="F43" i="38"/>
  <c r="C36" i="38"/>
  <c r="C38" i="38"/>
  <c r="C49" i="38"/>
  <c r="C39" i="38"/>
  <c r="G110" i="39"/>
  <c r="G112" i="39" s="1"/>
  <c r="G17" i="39"/>
  <c r="I31" i="34"/>
  <c r="O31" i="34"/>
  <c r="D65" i="39"/>
  <c r="D68" i="39" s="1"/>
  <c r="D69" i="39" s="1"/>
  <c r="F84" i="17"/>
  <c r="H70" i="17"/>
  <c r="F54" i="39" s="1"/>
  <c r="F18" i="39"/>
  <c r="F19" i="39" s="1"/>
  <c r="J30" i="34"/>
  <c r="P29" i="34"/>
  <c r="K29" i="34"/>
  <c r="E85" i="39"/>
  <c r="E86" i="39" s="1"/>
  <c r="E55" i="39"/>
  <c r="E61" i="39" s="1"/>
  <c r="F123" i="39"/>
  <c r="F148" i="39"/>
  <c r="C101" i="39"/>
  <c r="C99" i="39"/>
  <c r="P13" i="34"/>
  <c r="K13" i="34"/>
  <c r="H81" i="38"/>
  <c r="C73" i="38"/>
  <c r="C99" i="38" s="1"/>
  <c r="C100" i="38" s="1"/>
  <c r="F75" i="32"/>
  <c r="H158" i="17"/>
  <c r="G19" i="34"/>
  <c r="N19" i="34"/>
  <c r="F33" i="34"/>
  <c r="P16" i="34"/>
  <c r="K16" i="34"/>
  <c r="J18" i="34"/>
  <c r="O18" i="34"/>
  <c r="I18" i="34"/>
  <c r="H19" i="34"/>
  <c r="M33" i="34"/>
  <c r="E33" i="34"/>
  <c r="E161" i="17"/>
  <c r="F161" i="17" s="1"/>
  <c r="G74" i="32"/>
  <c r="F56" i="33"/>
  <c r="N56" i="33" s="1"/>
  <c r="M37" i="34"/>
  <c r="D38" i="34"/>
  <c r="E38" i="34" s="1"/>
  <c r="H144" i="17"/>
  <c r="M33" i="33"/>
  <c r="D38" i="33"/>
  <c r="H83" i="17"/>
  <c r="F67" i="39" s="1"/>
  <c r="F33" i="33"/>
  <c r="G72" i="17"/>
  <c r="G77" i="17" s="1"/>
  <c r="G234" i="17" s="1"/>
  <c r="N35" i="34"/>
  <c r="F143" i="17"/>
  <c r="F145" i="17" s="1"/>
  <c r="F149" i="17" s="1"/>
  <c r="H35" i="34"/>
  <c r="O35" i="34" s="1"/>
  <c r="F37" i="34"/>
  <c r="N37" i="34" s="1"/>
  <c r="G32" i="23"/>
  <c r="G34" i="23" s="1"/>
  <c r="G18" i="39" s="1"/>
  <c r="F57" i="33"/>
  <c r="N57" i="33" s="1"/>
  <c r="B60" i="33"/>
  <c r="G81" i="17"/>
  <c r="D55" i="33"/>
  <c r="C37" i="34"/>
  <c r="B38" i="34"/>
  <c r="C38" i="34" s="1"/>
  <c r="B11" i="33"/>
  <c r="F85" i="17"/>
  <c r="F36" i="23"/>
  <c r="H82" i="17" s="1"/>
  <c r="F66" i="39" s="1"/>
  <c r="C47" i="32" l="1"/>
  <c r="H39" i="32"/>
  <c r="C52" i="32" s="1"/>
  <c r="C45" i="32"/>
  <c r="C101" i="38"/>
  <c r="C84" i="38"/>
  <c r="E65" i="39"/>
  <c r="E68" i="39" s="1"/>
  <c r="E69" i="39" s="1"/>
  <c r="G84" i="17"/>
  <c r="C51" i="38"/>
  <c r="C52" i="38"/>
  <c r="F85" i="39"/>
  <c r="F86" i="39" s="1"/>
  <c r="F55" i="39"/>
  <c r="F61" i="39" s="1"/>
  <c r="H72" i="17"/>
  <c r="H77" i="17" s="1"/>
  <c r="H234" i="17" s="1"/>
  <c r="C102" i="39"/>
  <c r="C149" i="39"/>
  <c r="C113" i="39"/>
  <c r="P30" i="34"/>
  <c r="K30" i="34"/>
  <c r="J31" i="34"/>
  <c r="G19" i="39"/>
  <c r="C151" i="39"/>
  <c r="C100" i="39"/>
  <c r="H33" i="33"/>
  <c r="H38" i="33" s="1"/>
  <c r="H50" i="33" s="1"/>
  <c r="G123" i="39"/>
  <c r="G148" i="39"/>
  <c r="H82" i="38"/>
  <c r="C85" i="38" s="1"/>
  <c r="F91" i="38" s="1"/>
  <c r="G75" i="32"/>
  <c r="C55" i="32"/>
  <c r="C54" i="32"/>
  <c r="H41" i="32"/>
  <c r="C68" i="32"/>
  <c r="E162" i="17"/>
  <c r="H74" i="32"/>
  <c r="C64" i="32"/>
  <c r="G33" i="34"/>
  <c r="N33" i="34"/>
  <c r="I19" i="34"/>
  <c r="O19" i="34"/>
  <c r="H33" i="34"/>
  <c r="J19" i="34"/>
  <c r="P18" i="34"/>
  <c r="K18" i="34"/>
  <c r="I35" i="34"/>
  <c r="C63" i="32"/>
  <c r="F57" i="32" s="1"/>
  <c r="G123" i="17"/>
  <c r="G129" i="17" s="1"/>
  <c r="G139" i="17" s="1"/>
  <c r="G143" i="17" s="1"/>
  <c r="G145" i="17" s="1"/>
  <c r="G149" i="17" s="1"/>
  <c r="F54" i="17"/>
  <c r="D30" i="39" s="1"/>
  <c r="H37" i="34"/>
  <c r="I144" i="17"/>
  <c r="F55" i="33"/>
  <c r="N55" i="33" s="1"/>
  <c r="D50" i="33"/>
  <c r="M50" i="33" s="1"/>
  <c r="M38" i="33"/>
  <c r="H57" i="33"/>
  <c r="O57" i="33" s="1"/>
  <c r="N33" i="33"/>
  <c r="F38" i="33"/>
  <c r="I70" i="17"/>
  <c r="G36" i="23"/>
  <c r="I82" i="17" s="1"/>
  <c r="G66" i="39" s="1"/>
  <c r="J35" i="34"/>
  <c r="P35" i="34" s="1"/>
  <c r="F38" i="34"/>
  <c r="G38" i="34" s="1"/>
  <c r="G37" i="34"/>
  <c r="M38" i="34"/>
  <c r="H81" i="17"/>
  <c r="H56" i="33"/>
  <c r="B22" i="33"/>
  <c r="C11" i="33" s="1"/>
  <c r="B61" i="33"/>
  <c r="C60" i="33" s="1"/>
  <c r="G85" i="17"/>
  <c r="M55" i="33"/>
  <c r="D60" i="33"/>
  <c r="H159" i="17"/>
  <c r="I83" i="17"/>
  <c r="G67" i="39" s="1"/>
  <c r="C77" i="32" l="1"/>
  <c r="O38" i="33"/>
  <c r="O33" i="33"/>
  <c r="K31" i="34"/>
  <c r="P31" i="34"/>
  <c r="I72" i="17"/>
  <c r="I77" i="17" s="1"/>
  <c r="I234" i="17" s="1"/>
  <c r="G54" i="39"/>
  <c r="D35" i="39"/>
  <c r="D48" i="39" s="1"/>
  <c r="D71" i="39" s="1"/>
  <c r="D77" i="39"/>
  <c r="D81" i="39" s="1"/>
  <c r="D87" i="39" s="1"/>
  <c r="F65" i="39"/>
  <c r="F68" i="39" s="1"/>
  <c r="F69" i="39" s="1"/>
  <c r="H84" i="17"/>
  <c r="H85" i="17" s="1"/>
  <c r="C161" i="39"/>
  <c r="E178" i="39"/>
  <c r="C150" i="39"/>
  <c r="C152" i="39" s="1"/>
  <c r="I33" i="34"/>
  <c r="O33" i="34"/>
  <c r="F162" i="17"/>
  <c r="F168" i="17"/>
  <c r="H38" i="34"/>
  <c r="I38" i="34" s="1"/>
  <c r="C67" i="32"/>
  <c r="C76" i="32"/>
  <c r="C66" i="32"/>
  <c r="H75" i="32"/>
  <c r="J33" i="34"/>
  <c r="P19" i="34"/>
  <c r="K19" i="34"/>
  <c r="K35" i="34"/>
  <c r="I37" i="34"/>
  <c r="F60" i="33"/>
  <c r="N60" i="33" s="1"/>
  <c r="H123" i="17"/>
  <c r="H129" i="17" s="1"/>
  <c r="G54" i="17"/>
  <c r="E30" i="39" s="1"/>
  <c r="J37" i="34"/>
  <c r="K37" i="34" s="1"/>
  <c r="J56" i="33"/>
  <c r="P56" i="33" s="1"/>
  <c r="O37" i="34"/>
  <c r="J33" i="33"/>
  <c r="J57" i="33"/>
  <c r="P57" i="33" s="1"/>
  <c r="H55" i="33"/>
  <c r="O55" i="33" s="1"/>
  <c r="N38" i="33"/>
  <c r="F50" i="33"/>
  <c r="N50" i="33" s="1"/>
  <c r="N38" i="34"/>
  <c r="O56" i="33"/>
  <c r="I81" i="17"/>
  <c r="C50" i="33"/>
  <c r="C48" i="33"/>
  <c r="C47" i="33"/>
  <c r="C30" i="33"/>
  <c r="C57" i="33"/>
  <c r="C59" i="33"/>
  <c r="C34" i="33"/>
  <c r="C58" i="33"/>
  <c r="C37" i="33"/>
  <c r="C42" i="33"/>
  <c r="C61" i="33"/>
  <c r="C36" i="33"/>
  <c r="C45" i="33"/>
  <c r="C44" i="33"/>
  <c r="C32" i="33"/>
  <c r="C31" i="33"/>
  <c r="C43" i="33"/>
  <c r="C46" i="33"/>
  <c r="C54" i="33"/>
  <c r="C35" i="33"/>
  <c r="C41" i="33"/>
  <c r="C49" i="33"/>
  <c r="C53" i="33"/>
  <c r="C33" i="33"/>
  <c r="C38" i="33"/>
  <c r="C56" i="33"/>
  <c r="C55" i="33"/>
  <c r="M60" i="33"/>
  <c r="D61" i="33"/>
  <c r="E60" i="33" s="1"/>
  <c r="C18" i="33"/>
  <c r="C19" i="33"/>
  <c r="C7" i="33"/>
  <c r="C10" i="33"/>
  <c r="C8" i="33"/>
  <c r="C22" i="33"/>
  <c r="C9" i="33"/>
  <c r="C15" i="33"/>
  <c r="C14" i="33"/>
  <c r="C17" i="33"/>
  <c r="C16" i="33"/>
  <c r="C20" i="33"/>
  <c r="C21" i="33"/>
  <c r="C6" i="33"/>
  <c r="D6" i="33"/>
  <c r="I159" i="17"/>
  <c r="O38" i="34" l="1"/>
  <c r="E77" i="39"/>
  <c r="E81" i="39" s="1"/>
  <c r="E87" i="39" s="1"/>
  <c r="E35" i="39"/>
  <c r="E48" i="39" s="1"/>
  <c r="E71" i="39" s="1"/>
  <c r="G85" i="39"/>
  <c r="G86" i="39" s="1"/>
  <c r="G55" i="39"/>
  <c r="G61" i="39" s="1"/>
  <c r="G65" i="39"/>
  <c r="G68" i="39" s="1"/>
  <c r="I84" i="17"/>
  <c r="C155" i="39"/>
  <c r="C158" i="39" s="1"/>
  <c r="D99" i="39"/>
  <c r="C88" i="39"/>
  <c r="D101" i="39"/>
  <c r="H60" i="33"/>
  <c r="H61" i="33" s="1"/>
  <c r="I60" i="33" s="1"/>
  <c r="P33" i="34"/>
  <c r="K33" i="34"/>
  <c r="F61" i="33"/>
  <c r="G60" i="33" s="1"/>
  <c r="J38" i="34"/>
  <c r="P38" i="34" s="1"/>
  <c r="P37" i="34"/>
  <c r="P33" i="33"/>
  <c r="J38" i="33"/>
  <c r="J55" i="33"/>
  <c r="J60" i="33" s="1"/>
  <c r="O50" i="33"/>
  <c r="H139" i="17"/>
  <c r="H143" i="17" s="1"/>
  <c r="H145" i="17" s="1"/>
  <c r="H149" i="17" s="1"/>
  <c r="H54" i="17" s="1"/>
  <c r="F30" i="39" s="1"/>
  <c r="F6" i="33"/>
  <c r="I85" i="17"/>
  <c r="D11" i="33"/>
  <c r="M6" i="33"/>
  <c r="E50" i="33"/>
  <c r="E58" i="33"/>
  <c r="E47" i="33"/>
  <c r="E35" i="33"/>
  <c r="E34" i="33"/>
  <c r="E30" i="33"/>
  <c r="E54" i="33"/>
  <c r="E36" i="33"/>
  <c r="E61" i="33"/>
  <c r="E46" i="33"/>
  <c r="E37" i="33"/>
  <c r="E59" i="33"/>
  <c r="E48" i="33"/>
  <c r="E45" i="33"/>
  <c r="E32" i="33"/>
  <c r="E43" i="33"/>
  <c r="E44" i="33"/>
  <c r="E31" i="33"/>
  <c r="M61" i="33"/>
  <c r="E42" i="33"/>
  <c r="E41" i="33"/>
  <c r="E49" i="33"/>
  <c r="E53" i="33"/>
  <c r="E33" i="33"/>
  <c r="E56" i="33"/>
  <c r="E38" i="33"/>
  <c r="E57" i="33"/>
  <c r="E55" i="33"/>
  <c r="O60" i="33" l="1"/>
  <c r="F77" i="39"/>
  <c r="F81" i="39" s="1"/>
  <c r="F87" i="39" s="1"/>
  <c r="F35" i="39"/>
  <c r="F48" i="39" s="1"/>
  <c r="F71" i="39" s="1"/>
  <c r="G69" i="39"/>
  <c r="D113" i="39"/>
  <c r="C114" i="39" s="1"/>
  <c r="D149" i="39"/>
  <c r="D102" i="39"/>
  <c r="G48" i="33"/>
  <c r="D151" i="39"/>
  <c r="D100" i="39"/>
  <c r="E99" i="39"/>
  <c r="D88" i="39"/>
  <c r="E101" i="39"/>
  <c r="N61" i="33"/>
  <c r="G55" i="33"/>
  <c r="G38" i="33"/>
  <c r="G47" i="33"/>
  <c r="G36" i="33"/>
  <c r="G56" i="33"/>
  <c r="G32" i="33"/>
  <c r="G31" i="33"/>
  <c r="G61" i="33"/>
  <c r="G57" i="33"/>
  <c r="G53" i="33"/>
  <c r="G44" i="33"/>
  <c r="G46" i="33"/>
  <c r="G59" i="33"/>
  <c r="G50" i="33"/>
  <c r="G33" i="33"/>
  <c r="G42" i="33"/>
  <c r="G58" i="33"/>
  <c r="G30" i="33"/>
  <c r="G54" i="33"/>
  <c r="G49" i="33"/>
  <c r="G43" i="33"/>
  <c r="K38" i="34"/>
  <c r="G45" i="33"/>
  <c r="G41" i="33"/>
  <c r="G37" i="33"/>
  <c r="G35" i="33"/>
  <c r="G34" i="33"/>
  <c r="P55" i="33"/>
  <c r="J50" i="33"/>
  <c r="P50" i="33" s="1"/>
  <c r="P38" i="33"/>
  <c r="I123" i="17"/>
  <c r="I129" i="17" s="1"/>
  <c r="I160" i="17"/>
  <c r="M11" i="33"/>
  <c r="D22" i="33"/>
  <c r="N6" i="33"/>
  <c r="F11" i="33"/>
  <c r="P60" i="33"/>
  <c r="I50" i="33"/>
  <c r="I42" i="33"/>
  <c r="I59" i="33"/>
  <c r="I48" i="33"/>
  <c r="I43" i="33"/>
  <c r="I35" i="33"/>
  <c r="I32" i="33"/>
  <c r="I61" i="33"/>
  <c r="I30" i="33"/>
  <c r="I44" i="33"/>
  <c r="I37" i="33"/>
  <c r="I54" i="33"/>
  <c r="I34" i="33"/>
  <c r="I41" i="33"/>
  <c r="I31" i="33"/>
  <c r="I45" i="33"/>
  <c r="I46" i="33"/>
  <c r="I58" i="33"/>
  <c r="I36" i="33"/>
  <c r="O61" i="33"/>
  <c r="I47" i="33"/>
  <c r="I49" i="33"/>
  <c r="I53" i="33"/>
  <c r="I33" i="33"/>
  <c r="I57" i="33"/>
  <c r="I38" i="33"/>
  <c r="I56" i="33"/>
  <c r="I55" i="33"/>
  <c r="E149" i="39" l="1"/>
  <c r="E150" i="39" s="1"/>
  <c r="E102" i="39"/>
  <c r="E113" i="39"/>
  <c r="D114" i="39" s="1"/>
  <c r="C124" i="39"/>
  <c r="C129" i="39" s="1"/>
  <c r="C128" i="39" s="1"/>
  <c r="C117" i="39"/>
  <c r="C136" i="39" s="1"/>
  <c r="D150" i="39"/>
  <c r="D152" i="39" s="1"/>
  <c r="D155" i="39"/>
  <c r="D158" i="39" s="1"/>
  <c r="E100" i="39"/>
  <c r="E151" i="39"/>
  <c r="F101" i="39"/>
  <c r="E88" i="39"/>
  <c r="F99" i="39"/>
  <c r="J61" i="33"/>
  <c r="K60" i="33" s="1"/>
  <c r="I139" i="17"/>
  <c r="I143" i="17" s="1"/>
  <c r="I145" i="17" s="1"/>
  <c r="I149" i="17" s="1"/>
  <c r="I54" i="17" s="1"/>
  <c r="G30" i="39" s="1"/>
  <c r="H160" i="17"/>
  <c r="H6" i="33"/>
  <c r="N11" i="33"/>
  <c r="F22" i="33"/>
  <c r="G11" i="33" s="1"/>
  <c r="E11" i="33"/>
  <c r="M22" i="33"/>
  <c r="E17" i="33"/>
  <c r="E7" i="33"/>
  <c r="E18" i="33"/>
  <c r="E14" i="33"/>
  <c r="E19" i="33"/>
  <c r="E9" i="33"/>
  <c r="E8" i="33"/>
  <c r="E22" i="33"/>
  <c r="E15" i="33"/>
  <c r="E10" i="33"/>
  <c r="E16" i="33"/>
  <c r="E20" i="33"/>
  <c r="E21" i="33"/>
  <c r="E6" i="33"/>
  <c r="K56" i="33" l="1"/>
  <c r="K53" i="33"/>
  <c r="K48" i="33"/>
  <c r="K55" i="33"/>
  <c r="K43" i="33"/>
  <c r="K57" i="33"/>
  <c r="K58" i="33"/>
  <c r="K30" i="33"/>
  <c r="K34" i="33"/>
  <c r="K33" i="33"/>
  <c r="K44" i="33"/>
  <c r="G77" i="39"/>
  <c r="G81" i="39" s="1"/>
  <c r="G87" i="39" s="1"/>
  <c r="G35" i="39"/>
  <c r="G48" i="39" s="1"/>
  <c r="G71" i="39" s="1"/>
  <c r="K46" i="33"/>
  <c r="P61" i="33"/>
  <c r="K36" i="33"/>
  <c r="K61" i="33"/>
  <c r="D124" i="39"/>
  <c r="D129" i="39" s="1"/>
  <c r="D128" i="39" s="1"/>
  <c r="D117" i="39"/>
  <c r="D136" i="39" s="1"/>
  <c r="F100" i="39"/>
  <c r="F151" i="39"/>
  <c r="K50" i="33"/>
  <c r="K59" i="33"/>
  <c r="K54" i="33"/>
  <c r="F102" i="39"/>
  <c r="F113" i="39"/>
  <c r="E114" i="39" s="1"/>
  <c r="F149" i="39"/>
  <c r="E155" i="39"/>
  <c r="E158" i="39" s="1"/>
  <c r="E152" i="39"/>
  <c r="K47" i="33"/>
  <c r="K31" i="33"/>
  <c r="K49" i="33"/>
  <c r="K38" i="33"/>
  <c r="K45" i="33"/>
  <c r="K35" i="33"/>
  <c r="K42" i="33"/>
  <c r="K32" i="33"/>
  <c r="K37" i="33"/>
  <c r="K41" i="33"/>
  <c r="H11" i="33"/>
  <c r="O6" i="33"/>
  <c r="G9" i="33"/>
  <c r="G7" i="33"/>
  <c r="N22" i="33"/>
  <c r="G17" i="33"/>
  <c r="G19" i="33"/>
  <c r="G18" i="33"/>
  <c r="G22" i="33"/>
  <c r="G15" i="33"/>
  <c r="N15" i="33" s="1"/>
  <c r="G8" i="33"/>
  <c r="G14" i="33"/>
  <c r="G10" i="33"/>
  <c r="G16" i="33"/>
  <c r="G20" i="33"/>
  <c r="G21" i="33"/>
  <c r="G6" i="33"/>
  <c r="F150" i="39" l="1"/>
  <c r="F152" i="39" s="1"/>
  <c r="E124" i="39"/>
  <c r="E129" i="39" s="1"/>
  <c r="E128" i="39" s="1"/>
  <c r="E117" i="39"/>
  <c r="E136" i="39" s="1"/>
  <c r="G99" i="39"/>
  <c r="H87" i="39"/>
  <c r="G88" i="39" s="1"/>
  <c r="F88" i="39"/>
  <c r="G101" i="39"/>
  <c r="I161" i="17"/>
  <c r="H161" i="17"/>
  <c r="O11" i="33"/>
  <c r="H22" i="33"/>
  <c r="I11" i="33" s="1"/>
  <c r="G151" i="39" l="1"/>
  <c r="G100" i="39"/>
  <c r="F155" i="39"/>
  <c r="G113" i="39"/>
  <c r="G149" i="39"/>
  <c r="G102" i="39"/>
  <c r="J6" i="33"/>
  <c r="P6" i="33" s="1"/>
  <c r="I21" i="33"/>
  <c r="I8" i="33"/>
  <c r="I18" i="33"/>
  <c r="I15" i="33"/>
  <c r="I14" i="33"/>
  <c r="I23" i="33"/>
  <c r="O22" i="33"/>
  <c r="I22" i="33"/>
  <c r="I17" i="33"/>
  <c r="I19" i="33"/>
  <c r="I9" i="33"/>
  <c r="I10" i="33"/>
  <c r="I7" i="33"/>
  <c r="I16" i="33"/>
  <c r="I20" i="33"/>
  <c r="I6" i="33"/>
  <c r="E58" i="17"/>
  <c r="G58" i="17"/>
  <c r="G68" i="17" s="1"/>
  <c r="H58" i="17"/>
  <c r="H68" i="17" s="1"/>
  <c r="I58" i="17"/>
  <c r="I68" i="17" s="1"/>
  <c r="F58" i="17"/>
  <c r="F68" i="17" s="1"/>
  <c r="H113" i="39" l="1"/>
  <c r="G114" i="39" s="1"/>
  <c r="F114" i="39"/>
  <c r="F158" i="39"/>
  <c r="E179" i="39" s="1"/>
  <c r="G150" i="39"/>
  <c r="G155" i="39" s="1"/>
  <c r="G158" i="39" s="1"/>
  <c r="E180" i="39" s="1"/>
  <c r="J11" i="33"/>
  <c r="P11" i="33" s="1"/>
  <c r="E219" i="17"/>
  <c r="E176" i="17"/>
  <c r="E187" i="17"/>
  <c r="E184" i="17"/>
  <c r="F166" i="17"/>
  <c r="E178" i="17"/>
  <c r="H162" i="17"/>
  <c r="E182" i="17"/>
  <c r="E179" i="17"/>
  <c r="E186" i="17"/>
  <c r="E177" i="17"/>
  <c r="E180" i="17"/>
  <c r="E183" i="17"/>
  <c r="E188" i="17"/>
  <c r="E185" i="17"/>
  <c r="F170" i="17"/>
  <c r="E181" i="17"/>
  <c r="G233" i="17"/>
  <c r="G236" i="17" s="1"/>
  <c r="F233" i="17"/>
  <c r="F236" i="17" s="1"/>
  <c r="I233" i="17"/>
  <c r="I236" i="17" s="1"/>
  <c r="H233" i="17"/>
  <c r="H236" i="17" s="1"/>
  <c r="E68" i="17"/>
  <c r="I86" i="17"/>
  <c r="F86" i="17"/>
  <c r="G86" i="17"/>
  <c r="H86" i="17"/>
  <c r="G152" i="39" l="1"/>
  <c r="E182" i="39"/>
  <c r="F178" i="39" s="1"/>
  <c r="F180" i="39"/>
  <c r="F179" i="39"/>
  <c r="C160" i="39"/>
  <c r="C163" i="39" s="1"/>
  <c r="F124" i="39"/>
  <c r="F129" i="39" s="1"/>
  <c r="F128" i="39" s="1"/>
  <c r="F117" i="39"/>
  <c r="F136" i="39" s="1"/>
  <c r="G124" i="39"/>
  <c r="G129" i="39" s="1"/>
  <c r="G128" i="39" s="1"/>
  <c r="G117" i="39"/>
  <c r="G136" i="39" s="1"/>
  <c r="J22" i="33"/>
  <c r="K18" i="33" s="1"/>
  <c r="F165" i="17"/>
  <c r="I162" i="17"/>
  <c r="E233" i="17"/>
  <c r="E236" i="17" s="1"/>
  <c r="E86" i="17"/>
  <c r="C138" i="39" l="1"/>
  <c r="B174" i="39"/>
  <c r="E170" i="39"/>
  <c r="F173" i="39" s="1"/>
  <c r="F182" i="39"/>
  <c r="K6" i="33"/>
  <c r="K17" i="33"/>
  <c r="K20" i="33"/>
  <c r="K9" i="33"/>
  <c r="K14" i="33"/>
  <c r="K16" i="33"/>
  <c r="K7" i="33"/>
  <c r="K8" i="33"/>
  <c r="K15" i="33"/>
  <c r="K11" i="33"/>
  <c r="K22" i="33"/>
  <c r="P22" i="33"/>
  <c r="K21" i="33"/>
  <c r="K19" i="33"/>
  <c r="K10" i="33"/>
  <c r="E38" i="17" l="1"/>
  <c r="E39" i="17" s="1"/>
  <c r="E40" i="17" l="1"/>
  <c r="E42" i="17"/>
</calcChain>
</file>

<file path=xl/comments1.xml><?xml version="1.0" encoding="utf-8"?>
<comments xmlns="http://schemas.openxmlformats.org/spreadsheetml/2006/main">
  <authors>
    <author>DAVID</author>
  </authors>
  <commentList>
    <comment ref="E80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Se entiende por pernoctación cada noche que un viajero se aloja en el establecimiento</t>
        </r>
      </text>
    </comment>
    <comment ref="G80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indicador COTELCO- para Antioquia </t>
        </r>
      </text>
    </comment>
    <comment ref="R176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es la apropiación de la venta día de habitaciones por habitación disponible.</t>
        </r>
      </text>
    </comment>
    <comment ref="R178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Esto quiere decir que se está teniendo un ingreso de $240,244  pesos por cada habitación disponible en un periodo de un mes.</t>
        </r>
      </text>
    </comment>
  </commentList>
</comments>
</file>

<file path=xl/comments2.xml><?xml version="1.0" encoding="utf-8"?>
<comments xmlns="http://schemas.openxmlformats.org/spreadsheetml/2006/main">
  <authors>
    <author>DAVID</author>
  </authors>
  <commentList>
    <comment ref="B289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A modo de ejemplo, si recibe 5 horas de luz solar directa por día en un estado soleado como California, puede calcular la salida del panel solar de esta manera: 5 horas x 290 vatios (un ejemplo del vatiaje de un panel solar superior) = 1,450 vatios, o aproximadamente 1,5 kilovatios-hora (kwh). Por lo tanto, cada panel solar en su sistema produciría alrededor de 500-550 kWh de energía por año.</t>
        </r>
      </text>
    </comment>
  </commentList>
</comments>
</file>

<file path=xl/comments3.xml><?xml version="1.0" encoding="utf-8"?>
<comments xmlns="http://schemas.openxmlformats.org/spreadsheetml/2006/main">
  <authors>
    <author>DAVID</author>
  </authors>
  <commentList>
    <comment ref="D90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representa el beneficio neto de la empresa desde una perspectiva de contabilidad 
</t>
        </r>
      </text>
    </comment>
    <comment ref="C157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INVERSIÓN INICIAL 
</t>
        </r>
      </text>
    </comment>
    <comment ref="F165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VPN POSITIVO INDICA QUE EL NEGOCIO CREA VALOR PUESTO QUE ADEMÁS DE  REPRESENTAR UN RENDIMIENTO MÍNIMO EXIGIDO POR LOS STAKEHOLDERS, TAMBIÉN GENEREA UN REMANENTE O RIQUEZA PARA ELLOS. </t>
        </r>
      </text>
    </comment>
    <comment ref="C169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tasas de oportunidad </t>
        </r>
      </text>
    </comment>
    <comment ref="C170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TASAS INTERNA RETORNO MODIFICADA ..Cuánto más elevada es la TIRM respecto al coste de capital más viable es el proyecto
</t>
        </r>
      </text>
    </comment>
    <comment ref="D205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Cada peso de equity hay 1,87 de dueda  </t>
        </r>
      </text>
    </comment>
    <comment ref="H206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Determina el costo de financiamiento de una empresa, promediando lo que cuesta financiarse con deuda y con patrimonio, o sea calcular que porcentaje le cuesta para financiarse conbinando financiamiento con terceros y con su patrimonio.</t>
        </r>
      </text>
    </comment>
    <comment ref="C208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Tasa  interna de oportunidad
Es aquella tasa mínima que se está dispuesto a aceptar, es decir aquella rentabilidad mínima    que se espera ganar al llevar a cabo dicha inversión. Esta tasa se define de acuerdo al conocimiento que se tenga del proyecto y demás análisis que se hagan al respecto.</t>
        </r>
      </text>
    </comment>
  </commentList>
</comments>
</file>

<file path=xl/comments4.xml><?xml version="1.0" encoding="utf-8"?>
<comments xmlns="http://schemas.openxmlformats.org/spreadsheetml/2006/main">
  <authors>
    <author>DAVID</author>
  </authors>
  <commentList>
    <comment ref="B20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indicador para determinar la capacidad de pago para pagar deuda. Mide el rendimiento operacional puro de una compañía.</t>
        </r>
      </text>
    </comment>
  </commentList>
</comments>
</file>

<file path=xl/comments5.xml><?xml version="1.0" encoding="utf-8"?>
<comments xmlns="http://schemas.openxmlformats.org/spreadsheetml/2006/main">
  <authors>
    <author>DAVID</author>
  </authors>
  <commentList>
    <comment ref="B38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valor actual neto, por flujos de caja descontados</t>
        </r>
      </text>
    </comment>
    <comment ref="B73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flujo de la deuda descuenta la tasa de la deuda, no la del proyecto.</t>
        </r>
      </text>
    </comment>
    <comment ref="B84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se denomina de esta manera porque el VAN de los activos se ajusta por el efecto económico de la deuda correspondiente al valor presente del ahorro tributario</t>
        </r>
      </text>
    </comment>
    <comment ref="C99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representa el efecto economico derivado de la estructura de financiamiento</t>
        </r>
      </text>
    </comment>
  </commentList>
</comments>
</file>

<file path=xl/comments6.xml><?xml version="1.0" encoding="utf-8"?>
<comments xmlns="http://schemas.openxmlformats.org/spreadsheetml/2006/main">
  <authors>
    <author>DAVID</author>
  </authors>
  <commentList>
    <comment ref="B34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flujo de la rentabilidad de los activos</t>
        </r>
      </text>
    </comment>
    <comment ref="B39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flujo de caja del inversionista</t>
        </r>
      </text>
    </comment>
    <comment ref="B54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representa una medida de valor o riqueza, me indica cuanto valor o desvalor generaría un proyecto para una compañía o inversionista en el caso de ser aceptado</t>
        </r>
      </text>
    </comment>
  </commentList>
</comments>
</file>

<file path=xl/comments7.xml><?xml version="1.0" encoding="utf-8"?>
<comments xmlns="http://schemas.openxmlformats.org/spreadsheetml/2006/main">
  <authors>
    <author>DAVID</author>
  </authors>
  <commentList>
    <comment ref="G107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PERPETUIDAD</t>
        </r>
      </text>
    </comment>
    <comment ref="G134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PERPETUIDAD
</t>
        </r>
      </text>
    </comment>
    <comment ref="G136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REPRESENTA MUCHOS AÑOS SUMADOS </t>
        </r>
      </text>
    </comment>
    <comment ref="A156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PERDIDA DE VALOR QUE TENDRAN LOS FLUJOS CUANDO PASAN LOS AÑOS, YA QUE ESTAN SUJETOS A COSTO QUE ES EL WACC</t>
        </r>
      </text>
    </comment>
    <comment ref="G156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PERPETUIDAD
</t>
        </r>
      </text>
    </comment>
    <comment ref="C160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ESTA EMPRESA GENERA VALOR </t>
        </r>
      </text>
    </comment>
    <comment ref="D180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valor en el tiempo, manteniendo crecimiento, en este caso para un hotel</t>
        </r>
      </text>
    </comment>
    <comment ref="E182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esta empresa genera valor</t>
        </r>
      </text>
    </comment>
  </commentList>
</comments>
</file>

<file path=xl/comments8.xml><?xml version="1.0" encoding="utf-8"?>
<comments xmlns="http://schemas.openxmlformats.org/spreadsheetml/2006/main">
  <authors>
    <author>usuario</author>
  </authors>
  <commentList>
    <comment ref="M6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utilizamos formula de rendimiento
</t>
        </r>
      </text>
    </comment>
  </commentList>
</comments>
</file>

<file path=xl/sharedStrings.xml><?xml version="1.0" encoding="utf-8"?>
<sst xmlns="http://schemas.openxmlformats.org/spreadsheetml/2006/main" count="3237" uniqueCount="1835">
  <si>
    <t>Año 1</t>
  </si>
  <si>
    <t>Año 2</t>
  </si>
  <si>
    <t>Año 3</t>
  </si>
  <si>
    <t xml:space="preserve">ZONA DE ATENCIÓN AL PUBLICO </t>
  </si>
  <si>
    <t xml:space="preserve">Lobby-sala de Espera </t>
  </si>
  <si>
    <t>Recepción -WC</t>
  </si>
  <si>
    <t xml:space="preserve">ZONA ADMINISTRATIVA </t>
  </si>
  <si>
    <t>Administración-WC</t>
  </si>
  <si>
    <t>Gerencia -WC</t>
  </si>
  <si>
    <t xml:space="preserve">numero de habitacions casa colonial </t>
  </si>
  <si>
    <t xml:space="preserve">3 bohios tailandeses </t>
  </si>
  <si>
    <t xml:space="preserve">casas en los arboles en bambù </t>
  </si>
  <si>
    <t xml:space="preserve">ZONA SOCIAL </t>
  </si>
  <si>
    <t xml:space="preserve">Fonda tipica </t>
  </si>
  <si>
    <t xml:space="preserve">Deck- turco/jacuzzi para 8 perosnas </t>
  </si>
  <si>
    <t>Piscina / tobogan</t>
  </si>
  <si>
    <t>Restaurante -WC</t>
  </si>
  <si>
    <t>Bar</t>
  </si>
  <si>
    <t>Gimnasio -WC</t>
  </si>
  <si>
    <t xml:space="preserve">Sauna </t>
  </si>
  <si>
    <t>SPA</t>
  </si>
  <si>
    <t xml:space="preserve">Salón de belleza </t>
  </si>
  <si>
    <t>Salon de recepciones y eventos -WC</t>
  </si>
  <si>
    <t xml:space="preserve">ZONA DE SERVICIOS COMPLEMENTARIOS </t>
  </si>
  <si>
    <t xml:space="preserve">Lavanderia </t>
  </si>
  <si>
    <t xml:space="preserve">Cocina principal </t>
  </si>
  <si>
    <t xml:space="preserve">Duchas-Piscina </t>
  </si>
  <si>
    <t>Vestier de empleados-WC</t>
  </si>
  <si>
    <t>Vestier huespedes -WC</t>
  </si>
  <si>
    <t xml:space="preserve">comedor de empleados </t>
  </si>
  <si>
    <t xml:space="preserve">Basuras </t>
  </si>
  <si>
    <t xml:space="preserve">Almacenamiento de comidas y bebidas </t>
  </si>
  <si>
    <t>Despensa -Fonda tipica-Bar</t>
  </si>
  <si>
    <t xml:space="preserve">Parquedaros </t>
  </si>
  <si>
    <t xml:space="preserve">ZONA DE MAQUINAS </t>
  </si>
  <si>
    <t xml:space="preserve">Cuarto de motobombas </t>
  </si>
  <si>
    <t xml:space="preserve">Cuarto electrico </t>
  </si>
  <si>
    <t xml:space="preserve">cuarto de seguridad </t>
  </si>
  <si>
    <t xml:space="preserve">ZONAS COMUNES </t>
  </si>
  <si>
    <t xml:space="preserve">Jardines </t>
  </si>
  <si>
    <t xml:space="preserve">zonas verdes </t>
  </si>
  <si>
    <t xml:space="preserve">parque infantial </t>
  </si>
  <si>
    <t xml:space="preserve">senderos </t>
  </si>
  <si>
    <t>Lago</t>
  </si>
  <si>
    <t>Rio</t>
  </si>
  <si>
    <t xml:space="preserve">Caballerizas </t>
  </si>
  <si>
    <t xml:space="preserve">senderismo </t>
  </si>
  <si>
    <t xml:space="preserve">ciclomontañismo </t>
  </si>
  <si>
    <t xml:space="preserve">Mascotas </t>
  </si>
  <si>
    <t xml:space="preserve">ZONAS DE RECREACION Y DEPORTE </t>
  </si>
  <si>
    <t xml:space="preserve">Cannoping </t>
  </si>
  <si>
    <t xml:space="preserve">ZONA DE ACOMODACIÓN </t>
  </si>
  <si>
    <t xml:space="preserve">Temporada alta </t>
  </si>
  <si>
    <t>Temporada Alta</t>
  </si>
  <si>
    <t xml:space="preserve">Valor </t>
  </si>
  <si>
    <t xml:space="preserve">variable </t>
  </si>
  <si>
    <t xml:space="preserve">Total número de días temporada alta </t>
  </si>
  <si>
    <t xml:space="preserve">Temporada baja </t>
  </si>
  <si>
    <t xml:space="preserve">Temporada media </t>
  </si>
  <si>
    <t xml:space="preserve">Cantidad de dias temporada media </t>
  </si>
  <si>
    <t xml:space="preserve">Cantidad de días temporada baja </t>
  </si>
  <si>
    <t xml:space="preserve">Reservas por año temporada alta </t>
  </si>
  <si>
    <t xml:space="preserve">Reservas por año temporada media </t>
  </si>
  <si>
    <t xml:space="preserve">Reservas por año temporada baja </t>
  </si>
  <si>
    <t xml:space="preserve">Total de unidades vendidas proyecto </t>
  </si>
  <si>
    <t>Q1</t>
  </si>
  <si>
    <t>Q2</t>
  </si>
  <si>
    <t>Q3</t>
  </si>
  <si>
    <t>PRIMERA TEMPORADA (DICIEMBRE-ENERO)</t>
  </si>
  <si>
    <t>SEGUNDA TEMPORADA (SEMANA SANTA)</t>
  </si>
  <si>
    <t>TERCERA TEMPORADA (JUNIO-JULIO)-- 57,78%</t>
  </si>
  <si>
    <t xml:space="preserve">ETAPAS DE CONSTRUCCIÓN DEL PROYECTO HOTEL CAMPESTRE BALCONES VILLA DEL RIO </t>
  </si>
  <si>
    <t xml:space="preserve">PRIMERA ETAPA </t>
  </si>
  <si>
    <t>SEGUNDA ETAPA</t>
  </si>
  <si>
    <t xml:space="preserve">TERCERA ETAPA </t>
  </si>
  <si>
    <t xml:space="preserve">casa colonial, habitaciones y baños </t>
  </si>
  <si>
    <t xml:space="preserve">Piso de habitaciones musicos </t>
  </si>
  <si>
    <t xml:space="preserve">Canoping </t>
  </si>
  <si>
    <t xml:space="preserve">Deck jacuzzi y turco </t>
  </si>
  <si>
    <t>Fonda tipica / Bar</t>
  </si>
  <si>
    <t xml:space="preserve">Senderos </t>
  </si>
  <si>
    <t xml:space="preserve">Zona del rio /Asados </t>
  </si>
  <si>
    <t xml:space="preserve">Restaurante/Cocina </t>
  </si>
  <si>
    <t xml:space="preserve">Gimnasio/spa/ salon de belleza </t>
  </si>
  <si>
    <t xml:space="preserve">Salon social </t>
  </si>
  <si>
    <t xml:space="preserve">Piscina </t>
  </si>
  <si>
    <t>Pool Bar</t>
  </si>
  <si>
    <t>Bambu tree houses- lujo frente al rio -DELUXE</t>
  </si>
  <si>
    <t xml:space="preserve">Bambu tree houses- lujo frente al rio -SUPERIOR </t>
  </si>
  <si>
    <t xml:space="preserve">Bohios pool houses -parejas/familias </t>
  </si>
  <si>
    <t xml:space="preserve">Recepciòn </t>
  </si>
  <si>
    <t xml:space="preserve">Zona administrativa </t>
  </si>
  <si>
    <t xml:space="preserve">Parque infantil </t>
  </si>
  <si>
    <t xml:space="preserve">Zonas verdes- paisajimso </t>
  </si>
  <si>
    <t xml:space="preserve">Zona de mascotas </t>
  </si>
  <si>
    <t xml:space="preserve">helipuerto </t>
  </si>
  <si>
    <t xml:space="preserve">Tobogan </t>
  </si>
  <si>
    <t xml:space="preserve">Lago </t>
  </si>
  <si>
    <t xml:space="preserve">Casa privada </t>
  </si>
  <si>
    <t xml:space="preserve">Fonda privada </t>
  </si>
  <si>
    <t xml:space="preserve">Deck jacuzzi/ turco privado </t>
  </si>
  <si>
    <t xml:space="preserve">DE LOS ACCIONISTAS </t>
  </si>
  <si>
    <t xml:space="preserve">Iluminaciòn de emergencia en todas las areas publicas y/o circulación </t>
  </si>
  <si>
    <t xml:space="preserve">señalización arquitectonica </t>
  </si>
  <si>
    <t xml:space="preserve">serñalización de seguiridad(preventiva, informativa y de emergencia) conforme al plan de emergencia </t>
  </si>
  <si>
    <t xml:space="preserve">tomas electricos en todas las areas </t>
  </si>
  <si>
    <t xml:space="preserve">Zona de parqueo , señalización de identificación, delimitación, iluminación. </t>
  </si>
  <si>
    <t xml:space="preserve">entrada de clientes </t>
  </si>
  <si>
    <t xml:space="preserve">entrada del servicio </t>
  </si>
  <si>
    <t xml:space="preserve">areas verdes </t>
  </si>
  <si>
    <t xml:space="preserve">espacios publicos </t>
  </si>
  <si>
    <t xml:space="preserve">detectores de humo o de calor, según concepto tecncio de la autoridad competente </t>
  </si>
  <si>
    <t>mecanismos de extinción contra incendios</t>
  </si>
  <si>
    <t>alarma general de incendio</t>
  </si>
  <si>
    <t>salida de escapes o emergencia</t>
  </si>
  <si>
    <t xml:space="preserve">plan de emergencia que incluya, similacros para incendios, desastres naturales, actos criminales, accidentes de empleados, huespedes y visitantes, al igual tener personal capacitado para poner practica el plan de emergencia </t>
  </si>
  <si>
    <t xml:space="preserve">un sistema efectivo de comunicación con cubrimiento en corredeores, pasillos, y areas publicas </t>
  </si>
  <si>
    <t xml:space="preserve">Recepción </t>
  </si>
  <si>
    <t>tener area habilitada con mostrador para el resgistro de huesped</t>
  </si>
  <si>
    <t>sala de recibo para huespedes</t>
  </si>
  <si>
    <t xml:space="preserve">convertidores de voltaje y adaptadores de corriente a solicitud del huesped </t>
  </si>
  <si>
    <t xml:space="preserve">tener caja o cajilla de seguiridad </t>
  </si>
  <si>
    <t xml:space="preserve">disponer de un lugar cerrado  y amplio que garantice la seguiridad de los articulos de los clientes </t>
  </si>
  <si>
    <t xml:space="preserve">Baños publicos </t>
  </si>
  <si>
    <t>baños independientes para cada genero</t>
  </si>
  <si>
    <t xml:space="preserve">en los baños, un mecanismo de ventilación o extracción de olores </t>
  </si>
  <si>
    <t xml:space="preserve">cesto para paples con tapa, secado de manos, dispensador de toallas, dispensador de jabon, pora rollos de papel, sanitario aro y tapa, orinal lavamanos, espejo, gancho fijo para colgar bolsos y prendas, cambiador de pañales y piso antideslizante </t>
  </si>
  <si>
    <t xml:space="preserve">Climatización </t>
  </si>
  <si>
    <t>el hotel debe como minimo garantizar en sus areas cerradas una temperatura entre 16 C Y 24C</t>
  </si>
  <si>
    <t xml:space="preserve">Habitaciones </t>
  </si>
  <si>
    <t>tener habitaciones junior suite de 42m2 (inluido baño y closet)</t>
  </si>
  <si>
    <t>tener habitacines suite de 60 m2(incluido baño y closet)</t>
  </si>
  <si>
    <t>puertas de entrada de 2 m de alto x 0,8m de ancho</t>
  </si>
  <si>
    <t>cama doble 1,40 m x1,90 m</t>
  </si>
  <si>
    <t>cama queen de 1,60 m x1,90 m</t>
  </si>
  <si>
    <t xml:space="preserve">colchon en cada una de las camas con fehca de rotación vigente </t>
  </si>
  <si>
    <t>superficie para escribir (mesa o escritorio) y silla</t>
  </si>
  <si>
    <t xml:space="preserve">una mesa de noche en habitaciones con dos camas </t>
  </si>
  <si>
    <t xml:space="preserve">dos mesas de noche en habitacions con cama doble </t>
  </si>
  <si>
    <t xml:space="preserve">una silla o puesto de sofá por cada cama </t>
  </si>
  <si>
    <t xml:space="preserve">gavetero o closet con entrepaños o gavetas </t>
  </si>
  <si>
    <t xml:space="preserve">un elemento decorativo </t>
  </si>
  <si>
    <t xml:space="preserve">una toma electrica libre disponible para uso </t>
  </si>
  <si>
    <t xml:space="preserve">servicio de internte inalámbrico o acceso de internet sin obstruir el servicio telefonico </t>
  </si>
  <si>
    <t xml:space="preserve">iluminación general </t>
  </si>
  <si>
    <t xml:space="preserve">dos lámparas </t>
  </si>
  <si>
    <t xml:space="preserve">el encedido y apagado conmutable en la entrada y cerca de las camas </t>
  </si>
  <si>
    <t xml:space="preserve">intrucciones de emergecia y evacuación en un lugar visible a la entrada de la habitación </t>
  </si>
  <si>
    <t xml:space="preserve">señal de televisión con canales nacionales e internacionales </t>
  </si>
  <si>
    <t xml:space="preserve">televisor de 25 o 40 pulgadas </t>
  </si>
  <si>
    <t xml:space="preserve">control remoto para el televisor </t>
  </si>
  <si>
    <t xml:space="preserve">un portamaletas </t>
  </si>
  <si>
    <t xml:space="preserve">papeles y sobres </t>
  </si>
  <si>
    <t xml:space="preserve">las tarifas en un ligar visible </t>
  </si>
  <si>
    <t xml:space="preserve">cajilla de seguirdad </t>
  </si>
  <si>
    <t xml:space="preserve">espejo de cuerpo entero </t>
  </si>
  <si>
    <t xml:space="preserve">servicio mini bar con nevera </t>
  </si>
  <si>
    <t xml:space="preserve">dos almohadas para cada huesped y una adicional dispobibke en la habitación </t>
  </si>
  <si>
    <t xml:space="preserve">un juego de toallas de cuerpo, de manos y facil po cada huesped, y salida de baño </t>
  </si>
  <si>
    <t xml:space="preserve">en cuanto al baño de la habitación debe como minimo </t>
  </si>
  <si>
    <t>agua caliente las 24 (h) horas- temperatura minima 37 C</t>
  </si>
  <si>
    <t xml:space="preserve">contar con llaves mezcladoras </t>
  </si>
  <si>
    <t xml:space="preserve">ventilación natural o extracción mecanica de olores </t>
  </si>
  <si>
    <t>un caudal de agua de 7,5 L/min a 9,4L/min</t>
  </si>
  <si>
    <t xml:space="preserve">piso antideslizante </t>
  </si>
  <si>
    <t xml:space="preserve">ilimunación para el tocador </t>
  </si>
  <si>
    <t>conexión para aparatos eléctricos cerca del lavamanos con indicación del voltaje</t>
  </si>
  <si>
    <t xml:space="preserve">secador de cabello </t>
  </si>
  <si>
    <t xml:space="preserve">espejo esqualizable </t>
  </si>
  <si>
    <t>telefono</t>
  </si>
  <si>
    <t xml:space="preserve">papel higienico </t>
  </si>
  <si>
    <t>amenites(champú,acondicionador, jabón, gorro de abño, crema de manos, pañuelos faciales, espuma de baño, lima, pantunflas desechables)</t>
  </si>
  <si>
    <t>misceláneos (cepillo de dientes, pasta de dientes, maquina de afeitar, crema de afeitar)</t>
  </si>
  <si>
    <t xml:space="preserve">cesto para papeles con tapa, toallero o dispensador de toallas, jabonera o dispensador de jabón, porta rollos de papel, sanitario con aro y tapa, lavamanos, ducha, pasamanos de seguridad y espejo. </t>
  </si>
  <si>
    <t>Puerta de entrada (júnior suite y suite )</t>
  </si>
  <si>
    <t xml:space="preserve">puertas de 2 m  de alto por 0,8 m ancho </t>
  </si>
  <si>
    <t>cama queen de 1,6 m x 1,90 m para habitaciones con una cama en habitación junior suite</t>
  </si>
  <si>
    <t xml:space="preserve">cama king de 1,8 m x 2,00 m para habitaciones suite </t>
  </si>
  <si>
    <t xml:space="preserve">colchon en cada una de las camas con su fecha de rotación vigente </t>
  </si>
  <si>
    <t xml:space="preserve">comedor auxiliar en habitaciones suite y junior suite </t>
  </si>
  <si>
    <t xml:space="preserve">superficie para escribir (mesa o escritorio) y silla </t>
  </si>
  <si>
    <t xml:space="preserve">gavetero o closet con entrepaños y/o gavetas o ambos </t>
  </si>
  <si>
    <t>conexiones para aparatos electricos (habitación júnior suite y suite)</t>
  </si>
  <si>
    <t xml:space="preserve">tener un toma eléctrica libre disponible </t>
  </si>
  <si>
    <t xml:space="preserve">garantizar servicio de internet inalámbrico </t>
  </si>
  <si>
    <t xml:space="preserve">iluminación general en la habitación </t>
  </si>
  <si>
    <t xml:space="preserve">encendido y apagado conmutable en la entreda y cerca de las camas </t>
  </si>
  <si>
    <t xml:space="preserve">Áreas recreativas </t>
  </si>
  <si>
    <t xml:space="preserve">una sala de ejercicios (gimnasio) propia que incluya minimo tipos de máquinas diferentes cardiovasculares y de fuerza. </t>
  </si>
  <si>
    <t xml:space="preserve">servicio propio de piscina climatizada </t>
  </si>
  <si>
    <t xml:space="preserve">un área propia habiltada para  ofrecer servicio de spa, relajación y belleza, baños turcos o sauna, masajes entre otros. </t>
  </si>
  <si>
    <t xml:space="preserve">salón social para eventos </t>
  </si>
  <si>
    <t>Alimentos y bebidas</t>
  </si>
  <si>
    <t xml:space="preserve">garantizar el espacio dentro de sus instalaciones para el servicio de alimentos y bebidas </t>
  </si>
  <si>
    <t xml:space="preserve">en cuanto al bar,el hotel debe como minimo tener un area de bar independiente del area del comedor. </t>
  </si>
  <si>
    <t xml:space="preserve">Reserva de agua para todo el establecimiento </t>
  </si>
  <si>
    <t>El hotel debe como minimo tener tanques de alamcenamiento para dos dias de consumo, con una ocupación del 100%</t>
  </si>
  <si>
    <t xml:space="preserve">Zonas generales </t>
  </si>
  <si>
    <t xml:space="preserve">deposito para herramientas </t>
  </si>
  <si>
    <t xml:space="preserve">cuarto de basuras </t>
  </si>
  <si>
    <t xml:space="preserve">un manual de manejo para residuos </t>
  </si>
  <si>
    <t xml:space="preserve">una subestación electrica </t>
  </si>
  <si>
    <t xml:space="preserve">identificada las areas donde se encuntren ubicados los controles eléctricos </t>
  </si>
  <si>
    <t xml:space="preserve">identificada las areas de controles telefonicos </t>
  </si>
  <si>
    <t xml:space="preserve">las redes electricas protegidas y que no estén a la vista </t>
  </si>
  <si>
    <t xml:space="preserve">zona de cargue y descargue que no obstaculice el ingreso de los huespedes </t>
  </si>
  <si>
    <t xml:space="preserve">area de mantemiento </t>
  </si>
  <si>
    <t xml:space="preserve">salón de reuniones </t>
  </si>
  <si>
    <t xml:space="preserve">Zonas de personal </t>
  </si>
  <si>
    <t xml:space="preserve">un comedor dotado para el personal de servicio fuera del area de cocina con sus respectivos registros de aseo, limpieza y desinfección </t>
  </si>
  <si>
    <t>servicio de baños para el personal que labora en el hotel</t>
  </si>
  <si>
    <t xml:space="preserve">cesto  para papeles con tapa, dispensador de toallas, dispensador de jabón, porta rollos de papel, sanitatio con aro y tapa, lavamanios, espejo, gancho fijo para colgar bolsos y prendas </t>
  </si>
  <si>
    <t xml:space="preserve">vestieres y duchas separados por genero </t>
  </si>
  <si>
    <t xml:space="preserve">areas de oficina para el personal administrativo </t>
  </si>
  <si>
    <t xml:space="preserve">Mantenimiento del establecimiento </t>
  </si>
  <si>
    <t xml:space="preserve">Un programa de mantenimiento preventivo y resgistros de manteniminto correctivo que garantice el buen estado de la edificación en las areas internas y externas </t>
  </si>
  <si>
    <t>un programa de periodicidad respectiva y registros que evidencien el cumplimineto del control de plagas</t>
  </si>
  <si>
    <t xml:space="preserve">el hotel debe tener como minimo los piso en perfecto estado, sin manchas ni roturas, </t>
  </si>
  <si>
    <t xml:space="preserve">en cuanto a la recepción debe de tener los registros de mantenimineto correctivo y preventivo para el mobiliario de recepción </t>
  </si>
  <si>
    <t>en cuanto  a las habitaciones, baños de las habitaciones, baños publicos minimo tener registros de limpieza y desinfección diario.</t>
  </si>
  <si>
    <t xml:space="preserve">en cuanto a los alimentos y bebidas, el hotel debe como minimo, tener registros de limpieza diaria de los espacios donde ofrecen servicios de alimentos y bebidas </t>
  </si>
  <si>
    <t xml:space="preserve">en cuanto a reserva de agua para todo el establecimiento, el hotel debe como minimo, realizar por personal competente el mantenimineto semestral a los tanques de reserva con sus respectivos registros </t>
  </si>
  <si>
    <t xml:space="preserve">Requisitos de accesibilidad </t>
  </si>
  <si>
    <t xml:space="preserve">planta del edificio </t>
  </si>
  <si>
    <t xml:space="preserve">el hotel minimo debe garantizar  que el ingreso a todas las áreas del hotel sean accesibles para personas con discapacidad. </t>
  </si>
  <si>
    <t xml:space="preserve">en cuanto al estacionamiento el hotel debe como minimo tener el 2% del estacionamiento privado accesible para personas con discapacidad </t>
  </si>
  <si>
    <t xml:space="preserve">en cuanto a espacios públicos del hotel debe como minimo disponer de baños accesibles en las áreas publicas para personas con discapacidad </t>
  </si>
  <si>
    <t xml:space="preserve">en cuento a las habitaciones </t>
  </si>
  <si>
    <t xml:space="preserve">garantizar que el ingreso desde el exterior y hasta las habitaciones es accesible </t>
  </si>
  <si>
    <t xml:space="preserve">tener el 2% de las habitaciones accesibles para personas con discapacidad </t>
  </si>
  <si>
    <t xml:space="preserve">Requisitos de servicio </t>
  </si>
  <si>
    <t xml:space="preserve">el aislamineto del ruido que afecte al huesped, conforme a la reglamentación vigente </t>
  </si>
  <si>
    <t xml:space="preserve">el hotel deben como minimo prestar el serivicio de valet parking </t>
  </si>
  <si>
    <t xml:space="preserve">tener las instalaciones de servicio al cliente al público limpias, higienicas y ventiladas con sus respectivos registros </t>
  </si>
  <si>
    <t xml:space="preserve">tener las cortinas, persinas o similares, sin manchas, ni roturas </t>
  </si>
  <si>
    <t xml:space="preserve">garantizar que el mecanismo de funcionamiento de las cortinas, persianas o similares este en perfecto estado, es decir, que su apertura o cierre se desarrolle normalmente </t>
  </si>
  <si>
    <t xml:space="preserve">garantizar la ausencia de olores y ruidos por causa de aseo, maquinaria, traslado de mercancia o similares. </t>
  </si>
  <si>
    <t xml:space="preserve">tener exposicón de objetos de arte regional </t>
  </si>
  <si>
    <t xml:space="preserve">tener objetos de arte original </t>
  </si>
  <si>
    <t xml:space="preserve">tener papel higienico </t>
  </si>
  <si>
    <t xml:space="preserve">jabon liquido </t>
  </si>
  <si>
    <t>toalles de papel</t>
  </si>
  <si>
    <t xml:space="preserve">servicio de porteria </t>
  </si>
  <si>
    <t xml:space="preserve">prestar el servicio de portero con vigilancia durante las 24 horas </t>
  </si>
  <si>
    <t xml:space="preserve">garantizar que se presta el servicio de porteria según el protocolo </t>
  </si>
  <si>
    <t xml:space="preserve">servicio de conserjeria </t>
  </si>
  <si>
    <t>garantizas que el área de conserjería mantenga el archivo de informaciòn y asiat a los huespedes en las recomendaciones o reservaciones en los siguientes temas: servicios y facilidades del hotel, atracciones locales, restaurantes, eventos culturales, deportivos y de espectaculos, recorridos turisticos, medios de trasnporte disponibles, lugares de compras</t>
  </si>
  <si>
    <t xml:space="preserve">manejar el correo entrante y saliente de los huéspedes durante su estadia </t>
  </si>
  <si>
    <t>Servicio de botones</t>
  </si>
  <si>
    <t xml:space="preserve">el hotel debe como minimo prestar el servicio de botones 24 horas </t>
  </si>
  <si>
    <t xml:space="preserve">garantizar el servicio de recogida de maletas desde todas las habitaciones mediante una llamada telefonica </t>
  </si>
  <si>
    <t xml:space="preserve">disponer de implementos para el transporte de maletas o paquetes </t>
  </si>
  <si>
    <t>dispones, en caso de grupos, de un mecanismo para diferenciar de los clientes de otros grupos todas las maletas, paquetes y demás equipaje.</t>
  </si>
  <si>
    <t>dispones de un medio para resgistar la entrada y salida de equipajes, con observaciones, numero de piezas y propietario de los mismos</t>
  </si>
  <si>
    <t xml:space="preserve">informar al cliente de los servicios que el establecimineto tiene a su disposición  y dar las instrucciones de uso precisas cuando haga la entrega </t>
  </si>
  <si>
    <t xml:space="preserve">servicio de recepción </t>
  </si>
  <si>
    <t xml:space="preserve">el hotel debe como minimo </t>
  </si>
  <si>
    <t xml:space="preserve">prestar atención continua las 24 h, en caso de no estar la persona encargada, será atendido por otro persona con las mismas caracteristicas </t>
  </si>
  <si>
    <t xml:space="preserve">evaluar el numero de entradas y salidas previstas diariamente, con la suficiente antelación para asegurar la atención a cliente </t>
  </si>
  <si>
    <t xml:space="preserve">dar el trato al client, de acuerdo con el protocolo de servicio del hotel </t>
  </si>
  <si>
    <t xml:space="preserve">disponer de un listado actulizado de huespedes </t>
  </si>
  <si>
    <t xml:space="preserve">disponer de un listado actualizado de las actividades que se realicen en el establecimiento </t>
  </si>
  <si>
    <t xml:space="preserve">dispones de información turistica actualizada del entorno y la region donde se encuentra el hotel </t>
  </si>
  <si>
    <t xml:space="preserve">informar de todas las actividades de interes: sociales, culturales, de entretenimiento, transporte publico, horas de apertura y cierre de los puntos de atracción mas comunes, </t>
  </si>
  <si>
    <t xml:space="preserve">disponer de un mapa local y regional, para entregar al cliente o visitante la localización del establecimiento </t>
  </si>
  <si>
    <t xml:space="preserve">dispones del servicio en recepcion o botones para la recolección de mensajes o paquetes dirigidos a los huespedes del establecimiento y asegurar que estos llegan a su destinatario bajo las condiciones de seguridad </t>
  </si>
  <si>
    <t xml:space="preserve">conservar los datos historicos personales del huesped, de acuerdo con la reglamentación vigente </t>
  </si>
  <si>
    <t xml:space="preserve">tener un ligar de trabajo los  medios que permitan comunicarsen con el maletero, botones, taxi o similares. </t>
  </si>
  <si>
    <t xml:space="preserve">prestar el servicio de llamada a despertar </t>
  </si>
  <si>
    <t xml:space="preserve">Servicio al cliente </t>
  </si>
  <si>
    <t xml:space="preserve">disponer un sistema interno de atención de quejas y reclamos documentado </t>
  </si>
  <si>
    <t>atender quejas durante la estadia del cliente o huesped</t>
  </si>
  <si>
    <t xml:space="preserve">tener los medios para el registro de quejas </t>
  </si>
  <si>
    <t xml:space="preserve">dar al cliente una respuesta y ofrecerle una solución </t>
  </si>
  <si>
    <t xml:space="preserve">evidenciar las acciones tomadas cuando se trnsmiten verbalmente la solución a una queja </t>
  </si>
  <si>
    <t xml:space="preserve">dejar constancia, desde la recepción, tanto a los turnos siguientes como a otros departamnetos, de las caracteristicas especiales de un cliente (edad avanzada, discapacidades, entre otros) o requisitos presentados pro el mismo, para evitar cualquier reclamo al respecto </t>
  </si>
  <si>
    <t xml:space="preserve">tener indicador para el analisis de quejas </t>
  </si>
  <si>
    <t xml:space="preserve">contar con programas de mejoramiento como resultado de analisis de quejas </t>
  </si>
  <si>
    <t xml:space="preserve">Registro y acomodación </t>
  </si>
  <si>
    <t xml:space="preserve">El hotel debe como minimo </t>
  </si>
  <si>
    <t xml:space="preserve">informar sobre hota de registro y acomodación </t>
  </si>
  <si>
    <t xml:space="preserve">realizar el registro de acuerdo con la politica del hotel y con los procedimientos establecidos </t>
  </si>
  <si>
    <t xml:space="preserve">dar las indicaciones precisas para que el cliente localice su alojamiento con facilidad </t>
  </si>
  <si>
    <t>acompañar al huesped a su  habitación siempre que él lo desee; cuando se trate de grupos, crear mecanismo de orientación y acompañamiento a los piso según acomodación</t>
  </si>
  <si>
    <t xml:space="preserve">elaborrar el prerregistro correspondiente a cada cliente, con anterioridad a su llegada, si existe una reserva </t>
  </si>
  <si>
    <t xml:space="preserve">realizar los cambios de habitación, de acuerdo con el protocolo de servicio </t>
  </si>
  <si>
    <t xml:space="preserve">tener dispuestas las habitaciones para entregar a los clientes 15h, o según lo estabalecido por las politicas del hotel </t>
  </si>
  <si>
    <t xml:space="preserve">ofercer servicio de custodia de maletas hasta que el cliente queda alojado </t>
  </si>
  <si>
    <t xml:space="preserve">ofrecer el servicio de custodia de maletas hasta el cliente quede alojado </t>
  </si>
  <si>
    <t xml:space="preserve">disponer de los medios técnicos sistematizados, que  le permita comprobar la reserva, asi como la habitación asignada </t>
  </si>
  <si>
    <t>Cancelación de cuenta y salida (check out)</t>
  </si>
  <si>
    <t xml:space="preserve">Informar hora de salida </t>
  </si>
  <si>
    <t xml:space="preserve">prestar atención al público las 24 h </t>
  </si>
  <si>
    <t xml:space="preserve">para la pre-cuenta del cliente, com antelación a su salida </t>
  </si>
  <si>
    <t xml:space="preserve">presentar al clientela cuenta detallada y clara </t>
  </si>
  <si>
    <t xml:space="preserve">dispones de facilidades para el cobro, mediante diferentes medios de pago, los cuales serán expuestos al cliente en un lugar visible </t>
  </si>
  <si>
    <t xml:space="preserve">realizar la comprobación de tarjtas de crédito de acuerdo con los protocoloes de servicio y seguridad </t>
  </si>
  <si>
    <t xml:space="preserve">disponer de los medios tecnicos sistematizados que le permitan realiazar la facturacion con prontitud, así de un mecanismo alternativo que pueda utilizar, en el caso de averías </t>
  </si>
  <si>
    <t xml:space="preserve">tener disponible la información sobre las salidas previstas del dia para las áreas involucradas </t>
  </si>
  <si>
    <t xml:space="preserve">garantizar que el personal de servicio está atebto a la salida del cliente y emplea normas de cortesia para su despedida, de acuedo con el protocolo de servicio </t>
  </si>
  <si>
    <t xml:space="preserve">prestar servico de custodia de maletas </t>
  </si>
  <si>
    <t xml:space="preserve">Servicio de reservas </t>
  </si>
  <si>
    <t xml:space="preserve">Garantizar que la solicitud de reservas y la confimación de las mismas son atendidas, según el protocolo del hotel </t>
  </si>
  <si>
    <t xml:space="preserve">resgistrar y atender las especificaciones de reserva solicitadas por el cliente, de acuerdo con los servicios ofrecicos por el hotel </t>
  </si>
  <si>
    <t xml:space="preserve">disponer de los medios técnicos sistematizados, que le permitan realizar reservas con prontitud, fiabilidad y eficacia. </t>
  </si>
  <si>
    <t xml:space="preserve">registrar las reservas en el mismo momento en que se recibe la demanda y confirmar, de acuerdo con lo dispuesto por el hotel </t>
  </si>
  <si>
    <t>asegurar al cliente que su reserva confirmada es respetada simepre que esté garantizada, o según las condiciones pactadas</t>
  </si>
  <si>
    <t xml:space="preserve">documentar y justificar culquier cambio realizado en una reserva </t>
  </si>
  <si>
    <t xml:space="preserve">resgistrarun numero telefonico u otro medio de comunicaci´on del cliente para informarle culquier imoprevisto o cambio en su reserva </t>
  </si>
  <si>
    <t xml:space="preserve">realizar un control continuado del nivel de reservas admitido y previsible, y tomar las medidas oportunas para evitar situaciones de llegada de clientes con reserva y sin posobilidad de alojarlo. </t>
  </si>
  <si>
    <t>facilitar la coordinacióm entre departamentos, para esto el responsable del servicio debe tener disponible diariamente una previsión de ocupaciónm com especificación de numero de entradas y salidas previstas para los siguientes tres dias, y otro nivel de ocupación previsto para las dos semanas siguientes</t>
  </si>
  <si>
    <t xml:space="preserve">tener archivo sistematizadfo historico de clientes </t>
  </si>
  <si>
    <t xml:space="preserve">dispones de un sistema de información sobre gustos y preferencias de los huespedes frecuentes </t>
  </si>
  <si>
    <t xml:space="preserve">tener un programa de fidelización de clientes </t>
  </si>
  <si>
    <t xml:space="preserve">gararntizar que el material publicitario promueva el destino turistico en que està ubicado. </t>
  </si>
  <si>
    <t xml:space="preserve">Servicio de teléfono </t>
  </si>
  <si>
    <t xml:space="preserve">Tener comunicación interna local, nacional e internacional durante 24 h </t>
  </si>
  <si>
    <t xml:space="preserve">disponer de un listado actualizado con las extenciones de los diferentes departamentos, teléfonos de emergencia, información de indicativos para llamadas nacionales e internacionales y el directorio telefónico de la zona </t>
  </si>
  <si>
    <t>seguridad (habitación júnior suite y suite )</t>
  </si>
  <si>
    <t xml:space="preserve">el hotel debe como mínimo tenr las instrucciones de emergencia y evacuación en un lugar visible, a la entrada de la habitación </t>
  </si>
  <si>
    <t>Enseres (habitación júnior suite y suite )</t>
  </si>
  <si>
    <t>una guía turística de la ciudad</t>
  </si>
  <si>
    <t xml:space="preserve">televisor de 25 pulgadas en habitación júnior suite </t>
  </si>
  <si>
    <t xml:space="preserve">televisor de 29 pulgadas en suites </t>
  </si>
  <si>
    <t xml:space="preserve">control remoto para cada televisor </t>
  </si>
  <si>
    <t>teléfono</t>
  </si>
  <si>
    <t xml:space="preserve">las tarifas en un lugar visible </t>
  </si>
  <si>
    <t xml:space="preserve">espejo de cuerpo </t>
  </si>
  <si>
    <t>papel y sobres</t>
  </si>
  <si>
    <t>revistas nacionales a solicitud del huesped</t>
  </si>
  <si>
    <t>periodico a solicitud del huesped</t>
  </si>
  <si>
    <t xml:space="preserve">servicio de mini bar con nevera </t>
  </si>
  <si>
    <t xml:space="preserve">aparato de reproducción de video a solicitud del huesped </t>
  </si>
  <si>
    <t>Ventanas (habitaciones estandár, junior y suite)</t>
  </si>
  <si>
    <t xml:space="preserve">tener las cortinas, persianas, Black out o similares, sin manchas, ni roturas </t>
  </si>
  <si>
    <t xml:space="preserve">garantizar que el mecanisms de funcionamiento de las cortinas, persianas, black out o similares estén en perfecto estado, que su apertura o cierre se desarrolle normalmente. </t>
  </si>
  <si>
    <t>Ropa de cama (habitación estándar, junior suite y suite)</t>
  </si>
  <si>
    <t xml:space="preserve">desponer de tendidos, sabanas, sobre sabanas, fundas, protectores de colchón, protectores de almohadas, sin manchas, descosidos, perforaciones o decoración de los tejidos </t>
  </si>
  <si>
    <t xml:space="preserve">garantizar que la ropa de cama es de 50% algodón </t>
  </si>
  <si>
    <t>teber inventario de 3 juegos por cada tipo de cama</t>
  </si>
  <si>
    <t xml:space="preserve">tener inventario de 1,5 protectores de colchón y almohadas por cama </t>
  </si>
  <si>
    <t xml:space="preserve">tener en las habitaciones dos almohadas por cada huesped y una adicional disponible </t>
  </si>
  <si>
    <t xml:space="preserve">tener almohadas y cobijas disponibles en ama de llaves a solicitud del huesped </t>
  </si>
  <si>
    <t>disponer de un menú de almohadas minimo con 4 tipos a solictud del huesped</t>
  </si>
  <si>
    <t xml:space="preserve">Baños habitaciones </t>
  </si>
  <si>
    <t>Toallas (habitación estándar, júnior suite y suite )</t>
  </si>
  <si>
    <t xml:space="preserve">juego de toallas de cuerpo, manos y facial por cad huesped </t>
  </si>
  <si>
    <t>toallas de cuerpo de 0,60 m x 1,20 m, de 550 gm/m2 , peso 376 gm</t>
  </si>
  <si>
    <t>toallas para manos de 0,40 m x 0,68 m</t>
  </si>
  <si>
    <t>toallas facilaes minimo de 0,30 x 0,30 m</t>
  </si>
  <si>
    <t>rodapié por cada baño 0,50 x0,76 m</t>
  </si>
  <si>
    <t xml:space="preserve">salida de baño </t>
  </si>
  <si>
    <t>un invebtario de 3,0 juegos por cama (cuerpo, manos y facial)</t>
  </si>
  <si>
    <t xml:space="preserve">un inventario de 1,5 rodapié por baño </t>
  </si>
  <si>
    <t>Articulos y enseres (habitación junior y suite)</t>
  </si>
  <si>
    <t xml:space="preserve">papel higiénico </t>
  </si>
  <si>
    <t>amenites (champú, acondicionador, jabón, gorro de año, crema de manos, pañuelos faciales, espuma de baño, lima, pantuflas desechables, costurero, lustra calzado )</t>
  </si>
  <si>
    <t>misceláneos (cepillo de dientes, pasta de dientes, enjuague bucal, máquina de afeitar desechable, crema de afeitar)</t>
  </si>
  <si>
    <t>secador de cabello</t>
  </si>
  <si>
    <t xml:space="preserve">telefono </t>
  </si>
  <si>
    <t xml:space="preserve">Alimentos y bebidas </t>
  </si>
  <si>
    <t xml:space="preserve">recetas estándar para todas las preparaciones de alimentos y bebidas </t>
  </si>
  <si>
    <t xml:space="preserve">carta de alimentos en español e ingles </t>
  </si>
  <si>
    <t xml:space="preserve">carta de licores y vinos en español e inglés </t>
  </si>
  <si>
    <t>suministro de hielo las 24 h</t>
  </si>
  <si>
    <t xml:space="preserve">un protocolo de servicios documentado </t>
  </si>
  <si>
    <t xml:space="preserve">Servicio de restaurante </t>
  </si>
  <si>
    <t xml:space="preserve">tener un restaurante </t>
  </si>
  <si>
    <t xml:space="preserve">garantizar que los manteles, cubre manteles (tapas), servilletas y muletones se escuentren en  perfecto estado </t>
  </si>
  <si>
    <t>garantizar que los cubre manteles  (tapas) y las servilletas de tela se cambian en cada rotaciòn de clientes</t>
  </si>
  <si>
    <t xml:space="preserve">se recomienda el uso de telas que tegan incorporados procesos especiales de lavado que minimicen el consumo de agua, energia y detergentes </t>
  </si>
  <si>
    <t xml:space="preserve">vajilla </t>
  </si>
  <si>
    <t xml:space="preserve">tener vajilla ceráminca o porcelana </t>
  </si>
  <si>
    <t>garantizar que la vajilla se ecnuntra en perfecto estado de conservación (sin ralladureas, roturas o manchas)</t>
  </si>
  <si>
    <t xml:space="preserve">garantizar que las piezas de la vajilla corresponden a los platos ofrecidos en la carta del establecimiento </t>
  </si>
  <si>
    <t xml:space="preserve">cristaleria </t>
  </si>
  <si>
    <t xml:space="preserve">tener cristaleria de vidrio con un diseo apropiado a las diferentes caracteristicas de cada bebida que ofrece el establecimiento y que corresponda con las bebidas ofrecidas en la carta de alimentos, licores y vinos </t>
  </si>
  <si>
    <t>garantizar que la cristaleria se encuetra en perfecto estado de conservación (sin torceduras, manchas)</t>
  </si>
  <si>
    <t xml:space="preserve">Cubertería </t>
  </si>
  <si>
    <t>tener cubiertos de acero calibre 18/10</t>
  </si>
  <si>
    <t>garantizar que las piezas de la cubertería corresponde a los platos ofrecidos en el establecimiento</t>
  </si>
  <si>
    <t>garantizar que la cubertería se encuentra en perfecto estado de conservación ( sin torceduras, manchas)</t>
  </si>
  <si>
    <t xml:space="preserve">Area de cocina </t>
  </si>
  <si>
    <t xml:space="preserve">el hotel debe como minimo prestar, propio o contratado, el servicio  de la panaderia y pasteleria </t>
  </si>
  <si>
    <t xml:space="preserve">Personal </t>
  </si>
  <si>
    <t xml:space="preserve">Hotel debe como minimo </t>
  </si>
  <si>
    <t xml:space="preserve">tener jefe de servicio conm conocimientos de somelier </t>
  </si>
  <si>
    <t xml:space="preserve">garantizar que se explica la preparación de los platos a solicitud del huesped </t>
  </si>
  <si>
    <t xml:space="preserve">garantizar que se planea y se controla la producción de los alimentos </t>
  </si>
  <si>
    <t xml:space="preserve">Servicios básicos </t>
  </si>
  <si>
    <t xml:space="preserve">tener servicio de teléfono disponible para los huespedes y clientes en las áreas públicas </t>
  </si>
  <si>
    <t xml:space="preserve">tener información sobre los servicios de restaurante, comedor y demás servicios complemetarios con que cuente el hotel </t>
  </si>
  <si>
    <t>reber un centro secretarial o de negocios independiente, que tenga como minimo dos equipos de cómputo con programas vigentes (fax, fotocopiadora, impresora)</t>
  </si>
  <si>
    <t xml:space="preserve">tener servicio de lavanderia </t>
  </si>
  <si>
    <t xml:space="preserve">tener propio o contratado salon de belleza dentro de las habitaciones </t>
  </si>
  <si>
    <t xml:space="preserve">prestar propio o contratado el servicio de asistencia medica las 24 h </t>
  </si>
  <si>
    <t xml:space="preserve">ofrecer para la venta productos artesanales nacionales en sus instalaciones o en sus entornos inmediatos </t>
  </si>
  <si>
    <t xml:space="preserve">tener correo de voz, servicio de mensajes automaticos </t>
  </si>
  <si>
    <t xml:space="preserve">Servicios extras </t>
  </si>
  <si>
    <t xml:space="preserve">facilitar el serviciode reservación de tours </t>
  </si>
  <si>
    <t xml:space="preserve">facilitar el servicio de reserbacion de esepectaculos locales </t>
  </si>
  <si>
    <t xml:space="preserve">facilitar el acceso a servicios medicos </t>
  </si>
  <si>
    <t>tener botiquin de primeros auxilios con los requerimientos de las administración de riesgos profesionales (ARP)</t>
  </si>
  <si>
    <t xml:space="preserve">ofrecer el servicio de seguro de huespedes </t>
  </si>
  <si>
    <t xml:space="preserve">tener periodico disponible en las areas publicas </t>
  </si>
  <si>
    <t xml:space="preserve">facilitar el servicio de alquiler de vehiculos </t>
  </si>
  <si>
    <t xml:space="preserve">facilitar el pago en mondeja extranjera </t>
  </si>
  <si>
    <t>Seguridad</t>
  </si>
  <si>
    <t>prestar el serivicio de seguiridad durante 24 h</t>
  </si>
  <si>
    <t>garantizar el control de acceso del hotel y las habitaciones</t>
  </si>
  <si>
    <t xml:space="preserve">garantizar el control de los visitantes al hotel no alojados en el mismo </t>
  </si>
  <si>
    <t xml:space="preserve">dispones de mecanismos que aseguren que el cliente recupera los objetos olvidados en el hotel con un tiempo de custodia minimo de un (1) mes, exeptuando los elementos perecederos y/o tóxicos </t>
  </si>
  <si>
    <t xml:space="preserve">garantizar que el personal cuenta con la formación o capacitacion para utilizar todos los mecanismos dispuestos para la seguridad del hotel </t>
  </si>
  <si>
    <t xml:space="preserve">entregar la llave unicamente a la persona registrada </t>
  </si>
  <si>
    <t xml:space="preserve">Transporte </t>
  </si>
  <si>
    <t xml:space="preserve">garantizar que el servicio se presta las 24 h </t>
  </si>
  <si>
    <t xml:space="preserve">garantizar que la solictud de transporte se realiza de acuerdo con los protocolos de servicio </t>
  </si>
  <si>
    <t xml:space="preserve">asegurar y registrar el control de mantenimiento y limpieza de los vehiculos que prestan este servicio </t>
  </si>
  <si>
    <t xml:space="preserve">disponer de un equipo de conunicación entre los conductores de los vehiculos y la recepción del hotel </t>
  </si>
  <si>
    <t xml:space="preserve">garantizar que el personal responsable para el recibo y tralado de los huespedes está presentado de acuerdo con las politicas del establecimiento </t>
  </si>
  <si>
    <t xml:space="preserve">facilitar al huesped la identificacion del servicio, utilizando algun medio de informacion o señalización que incluya el nombre del establecimiento </t>
  </si>
  <si>
    <t xml:space="preserve">informar a los clientes respecto del horario de prestación del servicio de transporte </t>
  </si>
  <si>
    <t xml:space="preserve">recibir la solicitud de transporte y elaborar un plan de llegada y salidas para asignar los recorridos </t>
  </si>
  <si>
    <t xml:space="preserve">garantizar que se comunica oportunamente a las areas involucradas cualquier cambio realizado en el intinerario del huesped </t>
  </si>
  <si>
    <t xml:space="preserve">garantizar que el personal recibe al huesped en la puerta de llegada y lo guia hasta el vehiculo, y de inmediato confirma con el hotel el numero y nombre de los pasajeros que viajan </t>
  </si>
  <si>
    <t xml:space="preserve">garantizar que el personal de transporte està en capacidad de informar todos los servicios del establecimiento y dar informacion necesarria sobre la ciudad o región </t>
  </si>
  <si>
    <t xml:space="preserve">Persona del establecimiento </t>
  </si>
  <si>
    <t xml:space="preserve">establecer y documentar los perfiles requeridos para el personal del hotel </t>
  </si>
  <si>
    <t xml:space="preserve">establecer programas de entrenamiento y capacitación de todo el personal </t>
  </si>
  <si>
    <t xml:space="preserve">garantizar la competencia de los empleados de todas las areas </t>
  </si>
  <si>
    <t xml:space="preserve">garantizar que todo el personal operativo se encuentra uniformado e identificado, de acuerdo con los estándares definidos por el hotel. Lo uniformes deben estar en perfecto estado, esto es sin manchas, decoloramientos, roturas o descosidos. </t>
  </si>
  <si>
    <t xml:space="preserve">garantizar que el personal de servicio tiene conocimiento de la zona, lugares de interes, y destinos mas solicitados </t>
  </si>
  <si>
    <t xml:space="preserve">tener personal premanente en las areas de telefono, reserva, recepción, alimentos y bebidas, que entregan a nivel que les permita comunicarse cocn un huesped en ingles u otro idioma, adicional al español. </t>
  </si>
  <si>
    <t xml:space="preserve">garantizar la capacitación a los empleados en ingles o en otro idioma. </t>
  </si>
  <si>
    <t xml:space="preserve">Politica de calidad </t>
  </si>
  <si>
    <t xml:space="preserve">el hotel debe tener como minimo, tener la politica y los onjeticos de calidad aplicados al hotel </t>
  </si>
  <si>
    <t xml:space="preserve">Evaluación del servicio y acciones correctivas </t>
  </si>
  <si>
    <t xml:space="preserve">evaluacion del servicio por parte del cliente </t>
  </si>
  <si>
    <t xml:space="preserve">disponer de un mecanimos para que el cliente exprese su evaluacion con relacion al servicio recibido </t>
  </si>
  <si>
    <t xml:space="preserve">estructurar la evaluacion conforme a sus politicas </t>
  </si>
  <si>
    <t xml:space="preserve">realizar medición, seguimiento y tmar acciones con base en los indicadores de satisfaccion del cliente </t>
  </si>
  <si>
    <t xml:space="preserve">Auditorias internas de servicio </t>
  </si>
  <si>
    <t xml:space="preserve">establecer procedimientos documentados para la planificaciòn e implementacion de auditorias internas para la evaluacion de la atención al cliente </t>
  </si>
  <si>
    <t>realizar auditorias internas periodicas con base en el procedimiento establecido</t>
  </si>
  <si>
    <t>definir acciones correctivas a partir de los resultados de las auditorias internas</t>
  </si>
  <si>
    <t xml:space="preserve">hamacas </t>
  </si>
  <si>
    <t xml:space="preserve">panles solares, letreros LED con energia solar </t>
  </si>
  <si>
    <t xml:space="preserve">todo el tema de ilumanción </t>
  </si>
  <si>
    <t xml:space="preserve">el tema de vajillas, almohadas, colchones </t>
  </si>
  <si>
    <t xml:space="preserve">televisores </t>
  </si>
  <si>
    <t xml:space="preserve">caja de seguridad </t>
  </si>
  <si>
    <t xml:space="preserve">todo el tema de camaras facilaes y de vigilancia </t>
  </si>
  <si>
    <t xml:space="preserve">ciircuito de seguridad </t>
  </si>
  <si>
    <t xml:space="preserve">protector de piscinas </t>
  </si>
  <si>
    <t xml:space="preserve">ESTIMACIÓN DE OCUPACIÓN PROMEDIO - HOTEL CAMPESTRE BALCONES VILLA DEL RÍO </t>
  </si>
  <si>
    <t xml:space="preserve">Temporada media  </t>
  </si>
  <si>
    <t xml:space="preserve">Cantidad de días sábado del año </t>
  </si>
  <si>
    <t xml:space="preserve">Cantidad de días festivos promedio 5 años </t>
  </si>
  <si>
    <t xml:space="preserve">Cantidad de días festivos extra semana santa </t>
  </si>
  <si>
    <t xml:space="preserve">Cantidad de días de temporada alta junio </t>
  </si>
  <si>
    <t xml:space="preserve">Cantidad de días de temporada alta fin de año </t>
  </si>
  <si>
    <t xml:space="preserve">Porcentaje(%) de ocupación temporada alta </t>
  </si>
  <si>
    <t>Porcentaje(%) de ocupación promedio temporada baja</t>
  </si>
  <si>
    <t xml:space="preserve">Tipos de alojamiento </t>
  </si>
  <si>
    <t>Habitación 1</t>
  </si>
  <si>
    <t>Habitación 2</t>
  </si>
  <si>
    <t>Habitación 3</t>
  </si>
  <si>
    <t>Habitación 4</t>
  </si>
  <si>
    <t>Habitación 5</t>
  </si>
  <si>
    <t>Habitación 6</t>
  </si>
  <si>
    <t>Habitación 7</t>
  </si>
  <si>
    <t>Habitación 8</t>
  </si>
  <si>
    <t>Habitación 9</t>
  </si>
  <si>
    <t xml:space="preserve">dimensión cama </t>
  </si>
  <si>
    <t xml:space="preserve">número de camas </t>
  </si>
  <si>
    <t xml:space="preserve">número de personas x habitacíon </t>
  </si>
  <si>
    <t xml:space="preserve">subtotal </t>
  </si>
  <si>
    <t xml:space="preserve">4 alcobas por familia </t>
  </si>
  <si>
    <t xml:space="preserve">5 alcobas por pareja </t>
  </si>
  <si>
    <t xml:space="preserve">Primer nivel </t>
  </si>
  <si>
    <t xml:space="preserve">segundo nivel </t>
  </si>
  <si>
    <t>Habitación 10</t>
  </si>
  <si>
    <t xml:space="preserve">Casa colonial -(buscar nombre logistico)- numeracíon habitaciones </t>
  </si>
  <si>
    <t xml:space="preserve">Bambú tree houses </t>
  </si>
  <si>
    <t xml:space="preserve">Casa en el árbol en bambú frente al río Superiores </t>
  </si>
  <si>
    <t xml:space="preserve">total camas </t>
  </si>
  <si>
    <t>Casa en el árbol en bambú frente al río</t>
  </si>
  <si>
    <t xml:space="preserve">Cabañas </t>
  </si>
  <si>
    <t xml:space="preserve">Bohios </t>
  </si>
  <si>
    <t xml:space="preserve">Bohios Pool houses </t>
  </si>
  <si>
    <t>Bohio 1</t>
  </si>
  <si>
    <t>Bohio 2</t>
  </si>
  <si>
    <t>Bohio 3</t>
  </si>
  <si>
    <t>Bohio 4</t>
  </si>
  <si>
    <t xml:space="preserve">Total proyecto </t>
  </si>
  <si>
    <t xml:space="preserve">Proyección de ventas a 5 años </t>
  </si>
  <si>
    <t>Año 4</t>
  </si>
  <si>
    <t>Año 5</t>
  </si>
  <si>
    <t>PRIMER AÑO 2022</t>
  </si>
  <si>
    <t xml:space="preserve">% Ocupación </t>
  </si>
  <si>
    <t xml:space="preserve">Bohios Pool houses x persona </t>
  </si>
  <si>
    <t xml:space="preserve">Total reservas por año por habitación </t>
  </si>
  <si>
    <t xml:space="preserve">Numero de  habitaciones </t>
  </si>
  <si>
    <t xml:space="preserve">Numero de personas por habitación </t>
  </si>
  <si>
    <t>Precio unitario x persona</t>
  </si>
  <si>
    <t xml:space="preserve">Servicios complementarios </t>
  </si>
  <si>
    <t xml:space="preserve">Salón de recepciones </t>
  </si>
  <si>
    <t xml:space="preserve">Spa </t>
  </si>
  <si>
    <t xml:space="preserve">Planes romanticos </t>
  </si>
  <si>
    <t xml:space="preserve">Día se sol </t>
  </si>
  <si>
    <t xml:space="preserve">Aventuras recreativas </t>
  </si>
  <si>
    <t xml:space="preserve">Helipuerto </t>
  </si>
  <si>
    <t xml:space="preserve">Tours </t>
  </si>
  <si>
    <t xml:space="preserve">Cabalgatas </t>
  </si>
  <si>
    <t xml:space="preserve">Ciclomontañismo </t>
  </si>
  <si>
    <t xml:space="preserve">Fogota </t>
  </si>
  <si>
    <t>Buggy</t>
  </si>
  <si>
    <t xml:space="preserve">Motocros </t>
  </si>
  <si>
    <t>Senderismo</t>
  </si>
  <si>
    <t xml:space="preserve">Pesca </t>
  </si>
  <si>
    <t>MODELO 1</t>
  </si>
  <si>
    <t>MODELO 2</t>
  </si>
  <si>
    <t xml:space="preserve">Total por año / habitación </t>
  </si>
  <si>
    <t>cantidad prevista (habitaciones vendidas al año)</t>
  </si>
  <si>
    <t xml:space="preserve">numero de habitaciones </t>
  </si>
  <si>
    <t>Dia de servicio</t>
  </si>
  <si>
    <t>número de habitaciones/capacidad instalada</t>
  </si>
  <si>
    <t xml:space="preserve">Total oferta </t>
  </si>
  <si>
    <t>Casa en el árbol en bambú de lujo frente al río Deluxe 1</t>
  </si>
  <si>
    <t>Casa en el árbol en bambú de lujo frente al río Deluxe 2</t>
  </si>
  <si>
    <t>Casa en el árbol en bambú frente al río Superiores 1</t>
  </si>
  <si>
    <t>Casa en el árbol en bambú frente al río Superiores 2</t>
  </si>
  <si>
    <t>Casa en el árbol en bambú frente al río suite o inferiores 1</t>
  </si>
  <si>
    <t>Casa en el árbol en bambú frente al río suite o inferiores 2</t>
  </si>
  <si>
    <t xml:space="preserve">indice de personas habitación </t>
  </si>
  <si>
    <t>indice de personas habitación</t>
  </si>
  <si>
    <t xml:space="preserve">indice de pernoctación </t>
  </si>
  <si>
    <t xml:space="preserve">el siguiente ejercicio se describe la proyección del crecimiento tomando como base tres escenarios: </t>
  </si>
  <si>
    <t xml:space="preserve">Año </t>
  </si>
  <si>
    <t>Hipotesis mas probable (0,04)</t>
  </si>
  <si>
    <t>Hipotesis optimista (0,06)</t>
  </si>
  <si>
    <t>Hipotesis Pesimista (0,01)</t>
  </si>
  <si>
    <t xml:space="preserve">Valor esperado - personas alojadas por año </t>
  </si>
  <si>
    <t xml:space="preserve">VENTAS TOTALES -personas alojadas por año </t>
  </si>
  <si>
    <t xml:space="preserve">Precio por habitación </t>
  </si>
  <si>
    <t xml:space="preserve">Casa en el árbol en bambú de lujo frente al río Deluxe  </t>
  </si>
  <si>
    <t>OFERTA FASE 1</t>
  </si>
  <si>
    <t xml:space="preserve">Valor esperado - personas alojadas por mes  </t>
  </si>
  <si>
    <t>escenario optimistas  6%</t>
  </si>
  <si>
    <t>escenario pesimista  1%</t>
  </si>
  <si>
    <t>escenario probable  4%</t>
  </si>
  <si>
    <t xml:space="preserve">Estudio de factibilidad </t>
  </si>
  <si>
    <t xml:space="preserve">Fase del diseño </t>
  </si>
  <si>
    <t xml:space="preserve">Fase de factibilidad </t>
  </si>
  <si>
    <t xml:space="preserve">Marco legal </t>
  </si>
  <si>
    <t xml:space="preserve">Disponibilidad de servicios públicos </t>
  </si>
  <si>
    <t xml:space="preserve">Estudio de mercado </t>
  </si>
  <si>
    <t xml:space="preserve">Análisis financiero </t>
  </si>
  <si>
    <t xml:space="preserve">Estudios de suelos </t>
  </si>
  <si>
    <t xml:space="preserve">Topografia </t>
  </si>
  <si>
    <t xml:space="preserve">Fase de diseño </t>
  </si>
  <si>
    <t xml:space="preserve">Diseño arquitectonico </t>
  </si>
  <si>
    <t>1,1,1</t>
  </si>
  <si>
    <t>1,1,2</t>
  </si>
  <si>
    <t>1,1,3</t>
  </si>
  <si>
    <t>1,4,1</t>
  </si>
  <si>
    <t>1,4,2</t>
  </si>
  <si>
    <t xml:space="preserve">Construcción del Hotel </t>
  </si>
  <si>
    <t>m2</t>
  </si>
  <si>
    <t xml:space="preserve">Total </t>
  </si>
  <si>
    <t xml:space="preserve">Recepcionista </t>
  </si>
  <si>
    <t xml:space="preserve">Gerente de administración y finanzas </t>
  </si>
  <si>
    <t xml:space="preserve">Contador </t>
  </si>
  <si>
    <t xml:space="preserve">TOTAL </t>
  </si>
  <si>
    <t>toalla de manos de 0,40 m x 0,68 m</t>
  </si>
  <si>
    <t xml:space="preserve">gancho fijo para colgar bolsos y prendas </t>
  </si>
  <si>
    <t xml:space="preserve">Recepción y oficinas </t>
  </si>
  <si>
    <t xml:space="preserve">Planta del establecimiento </t>
  </si>
  <si>
    <t xml:space="preserve">Estacionamiento </t>
  </si>
  <si>
    <t>Emergencias</t>
  </si>
  <si>
    <t xml:space="preserve">Zona de personal </t>
  </si>
  <si>
    <t xml:space="preserve">Baños públicos </t>
  </si>
  <si>
    <t xml:space="preserve">Restaurante y cocina </t>
  </si>
  <si>
    <t xml:space="preserve">Conexiones para aparatos electricos </t>
  </si>
  <si>
    <t xml:space="preserve">Jardinero </t>
  </si>
  <si>
    <t>Botones</t>
  </si>
  <si>
    <t xml:space="preserve">RECURSOS HUMANOS </t>
  </si>
  <si>
    <t xml:space="preserve">CARGOS, PERFILES Y RESPONSABILIDADES </t>
  </si>
  <si>
    <t xml:space="preserve">ZONA DE MASCOTAS </t>
  </si>
  <si>
    <t>Zona de mascotas</t>
  </si>
  <si>
    <t>Zona de caballerisas</t>
  </si>
  <si>
    <t xml:space="preserve">Camareras </t>
  </si>
  <si>
    <t xml:space="preserve">Bartender </t>
  </si>
  <si>
    <t>Chef</t>
  </si>
  <si>
    <t xml:space="preserve">Personal de aseo </t>
  </si>
  <si>
    <t>ICBF</t>
  </si>
  <si>
    <t xml:space="preserve">Servicios públicos </t>
  </si>
  <si>
    <t xml:space="preserve">Iluminación de emergencia </t>
  </si>
  <si>
    <t>Señalización arquitectónica</t>
  </si>
  <si>
    <t xml:space="preserve">Señalización de seguridad </t>
  </si>
  <si>
    <t xml:space="preserve">Detectores de humo o de calor </t>
  </si>
  <si>
    <t>Iluminación-lámparas solares</t>
  </si>
  <si>
    <t xml:space="preserve">Alarma general de incendio </t>
  </si>
  <si>
    <t xml:space="preserve">Extintores </t>
  </si>
  <si>
    <t xml:space="preserve">Equipos de computación </t>
  </si>
  <si>
    <t>Software de computación</t>
  </si>
  <si>
    <t xml:space="preserve">Televisor 4 K 65 pulgadas </t>
  </si>
  <si>
    <t xml:space="preserve">Aire acondicionados 18,000 BTU </t>
  </si>
  <si>
    <t xml:space="preserve">Aire acondicionado 18,000 BTU </t>
  </si>
  <si>
    <t xml:space="preserve">Portamaletas </t>
  </si>
  <si>
    <t xml:space="preserve">Silla de escritorio </t>
  </si>
  <si>
    <t xml:space="preserve">Sofá modular </t>
  </si>
  <si>
    <t xml:space="preserve">Mesa de centro sala </t>
  </si>
  <si>
    <t xml:space="preserve">Cojines sal </t>
  </si>
  <si>
    <t xml:space="preserve">Tapete para sala grande </t>
  </si>
  <si>
    <t xml:space="preserve">Decoración mesa de centro </t>
  </si>
  <si>
    <t xml:space="preserve">Lámparas </t>
  </si>
  <si>
    <t xml:space="preserve">Convertidores de voltajes </t>
  </si>
  <si>
    <t>Soporte de televisor</t>
  </si>
  <si>
    <t>Célular recepción</t>
  </si>
  <si>
    <t xml:space="preserve">Uniforme recepcionista y parte administrativa </t>
  </si>
  <si>
    <t xml:space="preserve">Soporte de televisores </t>
  </si>
  <si>
    <t>Cama 2x2 m</t>
  </si>
  <si>
    <t>Cama 2,5 m x 2, 5 m</t>
  </si>
  <si>
    <t>Cama 1,40 m x2 m</t>
  </si>
  <si>
    <t>Colchon 2x2 m</t>
  </si>
  <si>
    <t>Colchon 1,40 m x2 m</t>
  </si>
  <si>
    <t>Colchon  de 2,5 m x 2, 5 m</t>
  </si>
  <si>
    <t xml:space="preserve">Espejo de cuerpo entero </t>
  </si>
  <si>
    <t xml:space="preserve">Mini bar con nevera </t>
  </si>
  <si>
    <t>Superficie para escribir (mesa o escritorio)</t>
  </si>
  <si>
    <t xml:space="preserve">Sillas </t>
  </si>
  <si>
    <t xml:space="preserve">Iluminaciòn de las habitaciones </t>
  </si>
  <si>
    <t xml:space="preserve">Encendido y apagado conmutable en la entrada y cerca de las camas </t>
  </si>
  <si>
    <t xml:space="preserve">Cortinas </t>
  </si>
  <si>
    <t xml:space="preserve">Protector de almohadas </t>
  </si>
  <si>
    <t xml:space="preserve">Cobijas </t>
  </si>
  <si>
    <t xml:space="preserve">Juego de sala cabañas </t>
  </si>
  <si>
    <t xml:space="preserve">Comedor auxiliar en habitaciones suite y junior </t>
  </si>
  <si>
    <t xml:space="preserve">Mesa de noche en habitaciones con cama doble </t>
  </si>
  <si>
    <t>Silla o puesto de sofa por cada cama</t>
  </si>
  <si>
    <t xml:space="preserve">Mesas comedor cabañas </t>
  </si>
  <si>
    <t xml:space="preserve">Elemento decorativo </t>
  </si>
  <si>
    <t xml:space="preserve">Lámparas de noche </t>
  </si>
  <si>
    <t xml:space="preserve">Toalla de cuerpo de 0,60 m x 1,20 m, de 550 gm/m2, peso 376 gm </t>
  </si>
  <si>
    <t>Toallas faciales minimo de 0,30 x 0,30 m</t>
  </si>
  <si>
    <t xml:space="preserve">Secador de cabello </t>
  </si>
  <si>
    <t xml:space="preserve">Espejo esqualizable </t>
  </si>
  <si>
    <t xml:space="preserve">Vajilla de cerámica o porcelana </t>
  </si>
  <si>
    <t xml:space="preserve">Manteles </t>
  </si>
  <si>
    <t>Servilletas</t>
  </si>
  <si>
    <t xml:space="preserve">Cristaleria de vidrio </t>
  </si>
  <si>
    <t>Cuberteria - cubiertos de acero calibre 18/10</t>
  </si>
  <si>
    <t xml:space="preserve">Mesas restaurantes </t>
  </si>
  <si>
    <t xml:space="preserve">Sillas restaurantes </t>
  </si>
  <si>
    <t xml:space="preserve">Refrigerador restaurante </t>
  </si>
  <si>
    <t xml:space="preserve">Papeleras en espacios de espacimientos </t>
  </si>
  <si>
    <t xml:space="preserve">Lámparas restaurante </t>
  </si>
  <si>
    <t xml:space="preserve">Lámparas cocina </t>
  </si>
  <si>
    <t>Modem de internet</t>
  </si>
  <si>
    <t xml:space="preserve">Gimnasio </t>
  </si>
  <si>
    <t xml:space="preserve">Escaladora </t>
  </si>
  <si>
    <t xml:space="preserve">Eliptica </t>
  </si>
  <si>
    <t xml:space="preserve">Mancuernas </t>
  </si>
  <si>
    <t xml:space="preserve">Basureros pequeños </t>
  </si>
  <si>
    <t xml:space="preserve">Cesto para papeles con tapa </t>
  </si>
  <si>
    <t xml:space="preserve">Secador de manos </t>
  </si>
  <si>
    <t xml:space="preserve">Dispensador de toallas </t>
  </si>
  <si>
    <t xml:space="preserve">Dispensador de jabón </t>
  </si>
  <si>
    <t xml:space="preserve">Porta rollos de papel </t>
  </si>
  <si>
    <t xml:space="preserve">Cambiador de pañales </t>
  </si>
  <si>
    <t xml:space="preserve">Canecas de basuras </t>
  </si>
  <si>
    <t xml:space="preserve">Antorchas </t>
  </si>
  <si>
    <t xml:space="preserve">Caballos </t>
  </si>
  <si>
    <t xml:space="preserve">Salón social </t>
  </si>
  <si>
    <t xml:space="preserve">Mesas </t>
  </si>
  <si>
    <t xml:space="preserve">Asoliadoras </t>
  </si>
  <si>
    <t xml:space="preserve">Carpas </t>
  </si>
  <si>
    <t xml:space="preserve">Cojines </t>
  </si>
  <si>
    <t xml:space="preserve">Tobogán </t>
  </si>
  <si>
    <t xml:space="preserve">Billar </t>
  </si>
  <si>
    <t xml:space="preserve">Jacuzzi </t>
  </si>
  <si>
    <t>Asoliadoras</t>
  </si>
  <si>
    <t xml:space="preserve">Carpa </t>
  </si>
  <si>
    <t>Refrigerador</t>
  </si>
  <si>
    <t xml:space="preserve">Iuminación </t>
  </si>
  <si>
    <t>Herramientas</t>
  </si>
  <si>
    <t xml:space="preserve">Comedor dotado </t>
  </si>
  <si>
    <t xml:space="preserve">Uniformes para personal operativo </t>
  </si>
  <si>
    <t xml:space="preserve">Gancho fijo para colgar bolsos y prendas </t>
  </si>
  <si>
    <t xml:space="preserve">Televisore 4k de 42 pulgadas </t>
  </si>
  <si>
    <t xml:space="preserve">Zona privada Socios </t>
  </si>
  <si>
    <t xml:space="preserve">Televisor 4k de 65 pulgadas </t>
  </si>
  <si>
    <t xml:space="preserve">Televisor 4k de 42 pulgadas </t>
  </si>
  <si>
    <t xml:space="preserve">Meseros </t>
  </si>
  <si>
    <t>2m x 2m</t>
  </si>
  <si>
    <t>1,40m x 2m</t>
  </si>
  <si>
    <t>2,5m x 2,5m</t>
  </si>
  <si>
    <t xml:space="preserve">Sillas plasticas </t>
  </si>
  <si>
    <t>Mesas plasticas</t>
  </si>
  <si>
    <t xml:space="preserve">Almohadas </t>
  </si>
  <si>
    <t>Rodapié por cada baño de 0,50 x 0,76 m</t>
  </si>
  <si>
    <t xml:space="preserve">Bicicleta spinning -estatica </t>
  </si>
  <si>
    <t xml:space="preserve">Balones </t>
  </si>
  <si>
    <t xml:space="preserve">Bosu o superficie inestable </t>
  </si>
  <si>
    <t xml:space="preserve">Multifuncional </t>
  </si>
  <si>
    <t>Video Beam +telón</t>
  </si>
  <si>
    <t xml:space="preserve">Samovar basico </t>
  </si>
  <si>
    <t>Olla calentadora de sopas</t>
  </si>
  <si>
    <t xml:space="preserve">Azafate Full </t>
  </si>
  <si>
    <t>Dispensador de café</t>
  </si>
  <si>
    <t xml:space="preserve">control, pesaje y registro </t>
  </si>
  <si>
    <t>Dispensador de bebidas frias</t>
  </si>
  <si>
    <t xml:space="preserve">Batidora de jugos </t>
  </si>
  <si>
    <t xml:space="preserve">Refrigerador de helados </t>
  </si>
  <si>
    <t>Granizadora de dos tanques</t>
  </si>
  <si>
    <t xml:space="preserve">dispensador de agua caliente </t>
  </si>
  <si>
    <t xml:space="preserve">Licuadoras industriales </t>
  </si>
  <si>
    <t xml:space="preserve">Malteadora </t>
  </si>
  <si>
    <t xml:space="preserve">Máquinas de hielo </t>
  </si>
  <si>
    <t xml:space="preserve">Máquina exprimidora de naranja </t>
  </si>
  <si>
    <t xml:space="preserve">Maquinas para café expresoo </t>
  </si>
  <si>
    <t>Procesador de vegetales</t>
  </si>
  <si>
    <t xml:space="preserve">Máquinas para hacer pastas </t>
  </si>
  <si>
    <t xml:space="preserve">Sandwicheras industriales </t>
  </si>
  <si>
    <t>Planta eléctrica</t>
  </si>
  <si>
    <t xml:space="preserve">Motor y equipos piscina </t>
  </si>
  <si>
    <t xml:space="preserve">carros para comidas a la mesa </t>
  </si>
  <si>
    <t>gasesos</t>
  </si>
  <si>
    <t xml:space="preserve">jarras </t>
  </si>
  <si>
    <t xml:space="preserve">infriador </t>
  </si>
  <si>
    <t xml:space="preserve">vasos </t>
  </si>
  <si>
    <t xml:space="preserve">jarraas </t>
  </si>
  <si>
    <t>Nombre del activo o concepto</t>
  </si>
  <si>
    <t>https://visualgraf.com.co/senales-de-evacuacion/</t>
  </si>
  <si>
    <t>https://www.pinterest.es/alessoriano/se%C3%B1al%C3%A9tica-hotel/</t>
  </si>
  <si>
    <t>http://www.normalux.com/intranet/uploads/descargas/guia_basica_2018.pdf</t>
  </si>
  <si>
    <t>https://es.perco.com/productos/torniquetes-puertas-cercas/</t>
  </si>
  <si>
    <t>Paso electronico  (control del personal- control de turistas)</t>
  </si>
  <si>
    <t>Cerraduras electromecánicas</t>
  </si>
  <si>
    <t>https://es.perco.com/productos/cerraduras-electromecanicas/</t>
  </si>
  <si>
    <t xml:space="preserve">solución video de vigilancia </t>
  </si>
  <si>
    <t>https://articulo.mercadolibre.com.co/MCO-532121169-lampara-led-solar-de-alumbrado-publico-150w-control-remo-_JM?matt_tool=68802118&amp;matt_word&amp;gclid=CjwKCAjwssD0BRBIEiwA-JP5rDvgBKI6Mo-Pe1_bH6R59qJ2GWXsHu1eTB289Cbup3cQH1bDQpkAMBoCLrQQAvD_BwE&amp;quantity=1&amp;variation=43557147072</t>
  </si>
  <si>
    <t xml:space="preserve">Equipos de computación -portatiles </t>
  </si>
  <si>
    <t xml:space="preserve">Equipo para sistema  zona personal </t>
  </si>
  <si>
    <t>Equipo para sistema  pool bar -wifi</t>
  </si>
  <si>
    <t xml:space="preserve">Equipo para sistema restaurante-wifi </t>
  </si>
  <si>
    <t xml:space="preserve">Teléfonos -solución IP </t>
  </si>
  <si>
    <t>https://www.neocenter.com/Hoteleria/</t>
  </si>
  <si>
    <t xml:space="preserve">Pantalla LED 4 X 4 M- exterior </t>
  </si>
  <si>
    <t xml:space="preserve">Letreros de publicidad </t>
  </si>
  <si>
    <t xml:space="preserve">Cajilla de seguiridad digital-electronica </t>
  </si>
  <si>
    <t xml:space="preserve">Fotocopiadora -escaner </t>
  </si>
  <si>
    <t>Radio teléfonos -Woki Toki Radio Teléfono</t>
  </si>
  <si>
    <t>Adaptador  Viajero Convertidor Universal</t>
  </si>
  <si>
    <t xml:space="preserve">Dispensador de bebidas  y comidas </t>
  </si>
  <si>
    <t xml:space="preserve">Televisor 4k de 32 pulgadas </t>
  </si>
  <si>
    <t>Mini componente 2,1 -Bluetooth/USB-/FM</t>
  </si>
  <si>
    <t xml:space="preserve">Jacuzzis de 2 personas </t>
  </si>
  <si>
    <t xml:space="preserve">Paraguas jaccuzi </t>
  </si>
  <si>
    <t>Black out 1,80 x 165 m</t>
  </si>
  <si>
    <t xml:space="preserve">ganchos para roba </t>
  </si>
  <si>
    <t xml:space="preserve">jacuzzi </t>
  </si>
  <si>
    <t xml:space="preserve">ZONA PRIVADA DE SOCIOS </t>
  </si>
  <si>
    <t>Porteria</t>
  </si>
  <si>
    <t xml:space="preserve">Porteria </t>
  </si>
  <si>
    <t xml:space="preserve">Casa colonial 1 nivel </t>
  </si>
  <si>
    <t xml:space="preserve">Deck </t>
  </si>
  <si>
    <t>Turco de 3x3m con equipos y panoramicos en vidrio templado de 8mm</t>
  </si>
  <si>
    <t>un</t>
  </si>
  <si>
    <t>Salón de eventos -WC</t>
  </si>
  <si>
    <t>Tobogán 25 mts+montaje</t>
  </si>
  <si>
    <t>mts</t>
  </si>
  <si>
    <t xml:space="preserve">ZONA DE ATENCIÓN AL PÚBLICO </t>
  </si>
  <si>
    <t xml:space="preserve">Cocina para empleados </t>
  </si>
  <si>
    <t xml:space="preserve">Duchas empleados </t>
  </si>
  <si>
    <t>Fonda tipica -2 pisos -WC</t>
  </si>
  <si>
    <t>Sauna -WC</t>
  </si>
  <si>
    <t>SPA-WC</t>
  </si>
  <si>
    <t>Salón de belleza -WC</t>
  </si>
  <si>
    <t>Deck restaurante -WC</t>
  </si>
  <si>
    <t>Piscina(andenes, playa, pool bar)+cuarto motobombas -EC</t>
  </si>
  <si>
    <t xml:space="preserve">Almacenamiento de basuras </t>
  </si>
  <si>
    <t>Espacio para mascotas</t>
  </si>
  <si>
    <t>Bohio pool house  1 (2 niveles)</t>
  </si>
  <si>
    <t>Bohio pool house  2 (2 niveles)</t>
  </si>
  <si>
    <t>Bohio pool house  3 (2 niveles)</t>
  </si>
  <si>
    <t>Bohio pool house  4 (2 niveles)</t>
  </si>
  <si>
    <t xml:space="preserve">ZONA LAGO </t>
  </si>
  <si>
    <t xml:space="preserve">Espacio lago </t>
  </si>
  <si>
    <t>Almacenamiento de herramientas</t>
  </si>
  <si>
    <t>Administración/gerencia-WC</t>
  </si>
  <si>
    <t xml:space="preserve">Casa colonial privada </t>
  </si>
  <si>
    <t>Caballerizas</t>
  </si>
  <si>
    <t>Protector colchón 2x2 m</t>
  </si>
  <si>
    <t>Protector colchón 1,40 x 2 m</t>
  </si>
  <si>
    <t>Protector colchón 2,5 x 2,5 m</t>
  </si>
  <si>
    <t>Juego de sabanas/sobresabanas- cama 2x2 m</t>
  </si>
  <si>
    <t>Juego de sabanas/sobresabanas-- cama 1,40 x 2 m</t>
  </si>
  <si>
    <t>Juego de sabanas/sobresabanas- cama 2,5 m x 2,5 m</t>
  </si>
  <si>
    <t>Cover Duvet - cama 2 x 2m</t>
  </si>
  <si>
    <t>Cover Duvet - cama 1,40 x 2 m</t>
  </si>
  <si>
    <t>Cover Duvet - cama 2,5 m x 2,5 m</t>
  </si>
  <si>
    <t>cobija plumon - cama 2 x 2m</t>
  </si>
  <si>
    <t>cobija plumon - cama 1,40 x 2 m</t>
  </si>
  <si>
    <t>cobija plumon - cama 2,5 m x 2,5 m</t>
  </si>
  <si>
    <t xml:space="preserve">Lavavajilla y vasos industrial </t>
  </si>
  <si>
    <t xml:space="preserve">Equipos de cocción - horno-Estanteria de cocina </t>
  </si>
  <si>
    <t xml:space="preserve">Trotadora eléctrica </t>
  </si>
  <si>
    <t xml:space="preserve">Klb sport escaladora </t>
  </si>
  <si>
    <t xml:space="preserve">Colchonetas </t>
  </si>
  <si>
    <t>Kit de boxeo</t>
  </si>
  <si>
    <t xml:space="preserve">Equipo para sistema SPA -wifi </t>
  </si>
  <si>
    <t xml:space="preserve">Camilla portátil </t>
  </si>
  <si>
    <t xml:space="preserve">Kit muebles salón de belleza </t>
  </si>
  <si>
    <t xml:space="preserve">Carpas para eventos </t>
  </si>
  <si>
    <t xml:space="preserve">Equipo de sonido y megafonía </t>
  </si>
  <si>
    <t xml:space="preserve">Equipo para sistema Bar fonda tipica  -wifi </t>
  </si>
  <si>
    <t xml:space="preserve">Lockers -digital </t>
  </si>
  <si>
    <t xml:space="preserve">Lavadora-secadora industrial </t>
  </si>
  <si>
    <t>casa para perros</t>
  </si>
  <si>
    <t xml:space="preserve">Bebedores y comedero para perros </t>
  </si>
  <si>
    <t xml:space="preserve">sistema solar </t>
  </si>
  <si>
    <t xml:space="preserve">4 piscinas de los Bohios </t>
  </si>
  <si>
    <t>Iluminación externa</t>
  </si>
  <si>
    <t xml:space="preserve">Muro vía de acceso </t>
  </si>
  <si>
    <t xml:space="preserve">Tubos de 24 pulgadas, filtros </t>
  </si>
  <si>
    <t>URBANISMO</t>
  </si>
  <si>
    <t>Tubos de 12 pulgadas, filtros</t>
  </si>
  <si>
    <t>senderos, vias, parquederos</t>
  </si>
  <si>
    <t xml:space="preserve">Jardineria </t>
  </si>
  <si>
    <t>Jardineria, zonas verdes</t>
  </si>
  <si>
    <t>Pozo septico, alcantarillado,Tanque de almacenmiento de agua</t>
  </si>
  <si>
    <t xml:space="preserve">Movimiento de tierra </t>
  </si>
  <si>
    <t xml:space="preserve">TOTAL ÁREA CONSTRUIDA </t>
  </si>
  <si>
    <t xml:space="preserve">TOTAL URBANISMO </t>
  </si>
  <si>
    <t>Terreno</t>
  </si>
  <si>
    <t xml:space="preserve">Olla arrocera industrial </t>
  </si>
  <si>
    <t xml:space="preserve">TOTAL COSTO EQUIPO, HERRAMIENTA, INMOBILIARIO </t>
  </si>
  <si>
    <t xml:space="preserve">Paraguas </t>
  </si>
  <si>
    <t xml:space="preserve">Costo total del estudio y proyectos </t>
  </si>
  <si>
    <t xml:space="preserve">Estudios de titulos </t>
  </si>
  <si>
    <t xml:space="preserve">Normatividad urbanistica </t>
  </si>
  <si>
    <t xml:space="preserve">Estudios técnicos previos </t>
  </si>
  <si>
    <t xml:space="preserve">Diseño estructural </t>
  </si>
  <si>
    <t xml:space="preserve">Diseño de redes </t>
  </si>
  <si>
    <t xml:space="preserve">Instalaciones hidro-sanitarias </t>
  </si>
  <si>
    <t>Instalaciones electricas</t>
  </si>
  <si>
    <t>Licencia de contruccíon</t>
  </si>
  <si>
    <t>Estudios del Proyecto Hotel Campestre Balcones Villa del Río</t>
  </si>
  <si>
    <t xml:space="preserve">No. Item </t>
  </si>
  <si>
    <t xml:space="preserve">Descripción </t>
  </si>
  <si>
    <t xml:space="preserve">Instalaciones especiales </t>
  </si>
  <si>
    <t xml:space="preserve">Instalaciones de gas </t>
  </si>
  <si>
    <t xml:space="preserve">Planeaciòn y programación </t>
  </si>
  <si>
    <t>El proyecto se evaluo con un horizonte de 5 años</t>
  </si>
  <si>
    <t>el indice de ocupación según la capacidad instalada</t>
  </si>
  <si>
    <t xml:space="preserve">primer año </t>
  </si>
  <si>
    <t xml:space="preserve">segundo año </t>
  </si>
  <si>
    <t xml:space="preserve">tercer  año </t>
  </si>
  <si>
    <t xml:space="preserve">cuarto año </t>
  </si>
  <si>
    <t xml:space="preserve">quinto año </t>
  </si>
  <si>
    <t xml:space="preserve">Deck restaurante </t>
  </si>
  <si>
    <t>ACTIVOS</t>
  </si>
  <si>
    <t xml:space="preserve">Bancos </t>
  </si>
  <si>
    <t>Deudores</t>
  </si>
  <si>
    <t xml:space="preserve">Anticipos Proveedores </t>
  </si>
  <si>
    <t>TOTAL ACTIVO CORRIENTE</t>
  </si>
  <si>
    <t>ACTIVO NO CORRIENTE</t>
  </si>
  <si>
    <t>TOTAL ACTIVO NO CORRIENTE</t>
  </si>
  <si>
    <t>TOTAL ACTIVO</t>
  </si>
  <si>
    <t>PASIVO CORRIENTE</t>
  </si>
  <si>
    <t>TOTAL PASIVO CORRIENTE</t>
  </si>
  <si>
    <t>TOTAL PASIVO NO CORRIENTE</t>
  </si>
  <si>
    <t>TOTAL PASIVO</t>
  </si>
  <si>
    <t>PATRIMONIO</t>
  </si>
  <si>
    <t>Capital</t>
  </si>
  <si>
    <t xml:space="preserve">Reserva Futuras capitalizaciones </t>
  </si>
  <si>
    <t>Utilidades acumuladas</t>
  </si>
  <si>
    <t>Reserva Legal</t>
  </si>
  <si>
    <t>Utilidad del ejercicio</t>
  </si>
  <si>
    <t>TOTAL PATRIMONIO</t>
  </si>
  <si>
    <t>TOTAL PASIVO Y PATRIMONIO</t>
  </si>
  <si>
    <t>CONTROL</t>
  </si>
  <si>
    <t xml:space="preserve">Efectivo </t>
  </si>
  <si>
    <t>Activo corriente</t>
  </si>
  <si>
    <t>Terrenos</t>
  </si>
  <si>
    <t xml:space="preserve">construcciones e infraestructura </t>
  </si>
  <si>
    <t>Muebles enseres, equipos</t>
  </si>
  <si>
    <t>Priner año (2019)</t>
  </si>
  <si>
    <t>Segundo año (2020)</t>
  </si>
  <si>
    <t>Tercer año (2021)</t>
  </si>
  <si>
    <t xml:space="preserve">Depreciaciòn </t>
  </si>
  <si>
    <t xml:space="preserve">Distribución porcentual </t>
  </si>
  <si>
    <t xml:space="preserve">Aporte propio </t>
  </si>
  <si>
    <t>BALANCE GENERAL HOTEL CAMPESTRE BALCONES VILLA DEL RIO</t>
  </si>
  <si>
    <t xml:space="preserve">Aporte Total </t>
  </si>
  <si>
    <t xml:space="preserve">Imagen </t>
  </si>
  <si>
    <t>Tarifas en un lugar visible (Tablets)</t>
  </si>
  <si>
    <t>Cazos, marmita, olla, sartén,rosticero,coladores,rosticero,araña,cuchillo deshuesador, cuchillo filetero, cuchillo chef, cuchillo sierra, cuchillo salmón, chairas, cuchillo pastelero, espátula, tijeras de pollo y pescado, ralladura de citricos,brochas, termómetrosm batidor.</t>
  </si>
  <si>
    <t xml:space="preserve">Dirección </t>
  </si>
  <si>
    <t>Lote No. 2/ Villa del Río</t>
  </si>
  <si>
    <t>Municipio</t>
  </si>
  <si>
    <t>Andes</t>
  </si>
  <si>
    <t>Barrio/Vereda</t>
  </si>
  <si>
    <t>Vereda Cajones/El descuelgue</t>
  </si>
  <si>
    <t>Longitud</t>
  </si>
  <si>
    <t>Latitud</t>
  </si>
  <si>
    <t xml:space="preserve">Departamento </t>
  </si>
  <si>
    <t xml:space="preserve">Antioquia </t>
  </si>
  <si>
    <t xml:space="preserve">Estrato socioeconómico </t>
  </si>
  <si>
    <t xml:space="preserve">Fecha de elaboración </t>
  </si>
  <si>
    <t>Marzo 2 del 2020</t>
  </si>
  <si>
    <t>3.</t>
  </si>
  <si>
    <t xml:space="preserve">1-DATOS GENERALES </t>
  </si>
  <si>
    <t>Finca</t>
  </si>
  <si>
    <t xml:space="preserve">Destinación </t>
  </si>
  <si>
    <t xml:space="preserve">Tipo de inmueble </t>
  </si>
  <si>
    <t xml:space="preserve">Hotel Campestre </t>
  </si>
  <si>
    <t xml:space="preserve">Localización </t>
  </si>
  <si>
    <t xml:space="preserve">conocido como el bosque, por la vía que comunica hacia el sector de Tapartó. </t>
  </si>
  <si>
    <t xml:space="preserve">Construcciones desarrollada en lote independiente de forma irregular, emplazado a 4,8 kilómetros al occidente de la vía principal que conduce al municipio de Andes, en el sector </t>
  </si>
  <si>
    <t>Excelente, sobre la vía principal circula transporte que comunica con el municipio de Andes y municipios del suroeste Antioqueño.</t>
  </si>
  <si>
    <t>Acueducto</t>
  </si>
  <si>
    <t xml:space="preserve">Alcantarillado </t>
  </si>
  <si>
    <t xml:space="preserve">Energía </t>
  </si>
  <si>
    <t>Alumbrado Público</t>
  </si>
  <si>
    <t>Teléfono</t>
  </si>
  <si>
    <t xml:space="preserve">Gas Domiciliario </t>
  </si>
  <si>
    <t>Si</t>
  </si>
  <si>
    <t>2-SECTOR</t>
  </si>
  <si>
    <t xml:space="preserve">Barrios y Sectores Vecinos </t>
  </si>
  <si>
    <t xml:space="preserve">Veredas como Tapartó, La Rochela, Bellavista, Santa Ana y Finca Hotel Los Arrayanes </t>
  </si>
  <si>
    <t xml:space="preserve">Actividades Predominantes en la Zona </t>
  </si>
  <si>
    <t xml:space="preserve">Fincas productivas dedicadas al cultivo de café, fincas de recreo y fincas ecoturisticas </t>
  </si>
  <si>
    <t xml:space="preserve">Vías de acceso </t>
  </si>
  <si>
    <t xml:space="preserve">Vía principal vereda Tapartó y via terciaria, vías de buena sección en buen estado de conservación. </t>
  </si>
  <si>
    <t xml:space="preserve">3- ASPECTO JURÍDICO </t>
  </si>
  <si>
    <t>Propietario</t>
  </si>
  <si>
    <t>Matricula inmobiliaria</t>
  </si>
  <si>
    <t>NIT</t>
  </si>
  <si>
    <t xml:space="preserve">ISMAGIC S.A.S </t>
  </si>
  <si>
    <t>004-48352</t>
  </si>
  <si>
    <t xml:space="preserve">Títulos Observados </t>
  </si>
  <si>
    <t xml:space="preserve">Escritura Pública </t>
  </si>
  <si>
    <t xml:space="preserve">No.1.735 del 23 de mayo del 2016 de la Notaria 4. Compraventa </t>
  </si>
  <si>
    <t>Certificado de libertad</t>
  </si>
  <si>
    <t>14 de Febrero de 2020</t>
  </si>
  <si>
    <t>Linderos</t>
  </si>
  <si>
    <t>Figuran claramente descritos en la documentación citada E.P No. 1.735 del 23 de mayo del 2016 de la Notaria 4.</t>
  </si>
  <si>
    <t>/0509100000000003099000000000/</t>
  </si>
  <si>
    <t>Cédula catastral</t>
  </si>
  <si>
    <t xml:space="preserve">Avalúo Catastral </t>
  </si>
  <si>
    <t>$ 28,202,724</t>
  </si>
  <si>
    <t xml:space="preserve">Normas y Usos </t>
  </si>
  <si>
    <r>
      <t xml:space="preserve">Según el POT del municipio el lote se ubica en zona homogénea por tratamientos en cultivos de café, pastos y áreas cubierta por rastrojos medios y altos, con usos como cultivos permanentes silvoagrícola con fines comerciales y de autoconsumo y uso agroforestal. </t>
    </r>
    <r>
      <rPr>
        <b/>
        <sz val="11"/>
        <color theme="1"/>
        <rFont val="Calibri"/>
        <family val="2"/>
        <scheme val="minor"/>
      </rPr>
      <t xml:space="preserve">Uso principal: </t>
    </r>
    <r>
      <rPr>
        <sz val="11"/>
        <color theme="1"/>
        <rFont val="Calibri"/>
        <family val="2"/>
        <scheme val="minor"/>
      </rPr>
      <t xml:space="preserve">café, plátano, cacao con sombrío, todo uso agrícola con las prácticas adecuadas silvoagrícolas. </t>
    </r>
    <r>
      <rPr>
        <b/>
        <sz val="11"/>
        <color theme="1"/>
        <rFont val="Calibri"/>
        <family val="2"/>
        <scheme val="minor"/>
      </rPr>
      <t xml:space="preserve">Uso complementario: </t>
    </r>
    <r>
      <rPr>
        <sz val="11"/>
        <color theme="1"/>
        <rFont val="Calibri"/>
        <family val="2"/>
        <scheme val="minor"/>
      </rPr>
      <t xml:space="preserve">la actividad productora-protectora, cultivos agro- silvopastoriles, la aplicación de otro tipo de cultivos diversificados como frutales. Ya que se fomenta el ecoturismo, las fincas de recreo cafeteras son también de uso complementario. </t>
    </r>
    <r>
      <rPr>
        <b/>
        <sz val="11"/>
        <color theme="1"/>
        <rFont val="Calibri"/>
        <family val="2"/>
        <scheme val="minor"/>
      </rPr>
      <t xml:space="preserve">Uso restringido: </t>
    </r>
    <r>
      <rPr>
        <sz val="11"/>
        <color theme="1"/>
        <rFont val="Calibri"/>
        <family val="2"/>
        <scheme val="minor"/>
      </rPr>
      <t xml:space="preserve">según este estipulado por la entidad territorial, el Ministerio de Ambiente, Vivienda y desarrollo territorial y la legislación pertinente se podrá realizar prácticas de minería. </t>
    </r>
    <r>
      <rPr>
        <b/>
        <sz val="11"/>
        <color theme="1"/>
        <rFont val="Calibri"/>
        <family val="2"/>
        <scheme val="minor"/>
      </rPr>
      <t>Uso prohibido:</t>
    </r>
    <r>
      <rPr>
        <sz val="11"/>
        <color theme="1"/>
        <rFont val="Calibri"/>
        <family val="2"/>
        <scheme val="minor"/>
      </rPr>
      <t xml:space="preserve"> en cotas superiores a los 1800 m.s.n.m prohibido los cultivos de limpio y semilimpio, asi mismo como la expansión de la frontera agrícola y densidad rurales a gran escala.</t>
    </r>
  </si>
  <si>
    <t xml:space="preserve">Mejor y Mayor Uso </t>
  </si>
  <si>
    <t xml:space="preserve">El mejor y mayor uso es el actual, teniendo en cuenta la extensión del lote y el enfoque actual hacia el ecoturismo. </t>
  </si>
  <si>
    <t>Áreas</t>
  </si>
  <si>
    <t>Lote (m2)</t>
  </si>
  <si>
    <t>Construcciones (m2)</t>
  </si>
  <si>
    <t xml:space="preserve">Fuente </t>
  </si>
  <si>
    <t xml:space="preserve">Fuete </t>
  </si>
  <si>
    <t xml:space="preserve">Certificado de tradicíon y libertad </t>
  </si>
  <si>
    <t xml:space="preserve">Calculada </t>
  </si>
  <si>
    <t xml:space="preserve">Topografía </t>
  </si>
  <si>
    <t xml:space="preserve">Ligera pendiente descendiente sentido este oeste </t>
  </si>
  <si>
    <t>Forma</t>
  </si>
  <si>
    <t xml:space="preserve">Irregular </t>
  </si>
  <si>
    <t xml:space="preserve">Antigüedad </t>
  </si>
  <si>
    <t>Edad</t>
  </si>
  <si>
    <t xml:space="preserve">Vida útil total </t>
  </si>
  <si>
    <t xml:space="preserve">Vida útil Remanente </t>
  </si>
  <si>
    <t xml:space="preserve">Remodelado </t>
  </si>
  <si>
    <t xml:space="preserve">Estado de Conservación </t>
  </si>
  <si>
    <t xml:space="preserve">Bueno </t>
  </si>
  <si>
    <t xml:space="preserve">5- ASPECTO ECONÓMICO Y CONSIDERACIONES </t>
  </si>
  <si>
    <t xml:space="preserve">Análisis del Mercado </t>
  </si>
  <si>
    <t>Actualmente en la zona existe una variedad oferta de fincas cafeteras, finca hoteles, teniendo en cuenta que el sector cuenta con buena reputación y se ubica en una zona de buena comercialidad</t>
  </si>
  <si>
    <t xml:space="preserve">Análisis del Entorno </t>
  </si>
  <si>
    <t>Fincas productivas dedicadas al cultivo de café, finca de recreo y fincas ecoturismo.</t>
  </si>
  <si>
    <t xml:space="preserve">Análisis del Inmueble </t>
  </si>
  <si>
    <t xml:space="preserve">Casa colonial desarrollada en lote independiente de forma irregular, con cercos perimetrales en cercos vivos y estaconado en madera de alambre de púas a 9 cuerdas, con acceso por vìa en forma de placa de huella, emplazo en zona de buena comerciabilidad, lindando con el Río Tapató y contiguo a la finca hotel Arrayanes.Inmueble con acabados parcialmente remodelados en buen estado com espacios amplios, iluminados y ventilados naturalmente, el cual actualmente esta siendo adeucado para la prestación de servicios hoteleros. </t>
  </si>
  <si>
    <t xml:space="preserve">Perspectivas de Valorización </t>
  </si>
  <si>
    <t>En el corto plazo estimamos precios de la propiedad raíz tendrán un crecimineto positivo neutro em terminos reales y la perspectiva en el mediano plazo  es positiva. La desaceleración en los precios se debe a la moderación del crecimiento de la economía colombiana causada por la reducciòn de los precios del petróleo y eL COVID19 a nivel mundial.</t>
  </si>
  <si>
    <t xml:space="preserve">4- INMUEBLE </t>
  </si>
  <si>
    <t xml:space="preserve">El valor razonable se define en las normas internacionales de información financiera (NIFF) y en otras normas contables, como la cantidad por la que puede intercambiarse un activo o saldarse un pasivo, entre comprador y un vendedor interesados y debidamente informados, en una transacción libre. La base del valor razonable de mercado, cuando no exista evidencia de este valor, la medición puede hacerse usando un enfoque de renta o de costo neto de reposición. </t>
  </si>
  <si>
    <t xml:space="preserve">Enfoque de Mercado </t>
  </si>
  <si>
    <t xml:space="preserve">Técnica valuatoria que establece el valor comercial de un bien a partir del estudio de las ofertas o transacciones recientes de bienes semejantes y comparables. Tales ofertas o transacciones deberán ser clasificadas, analizadas e interpretadas para llegar a al estimación de un valor comercial </t>
  </si>
  <si>
    <t xml:space="preserve">Enfoque del Costo Neto de Reposición </t>
  </si>
  <si>
    <t>Técnica valuatoria que establece el valor comercial del bien a partir de estimar el costo total de reposición a precios actual y restarle la depreciaciòn acumulada. Al valor así obtenido se le debe adicionar el valor correspondiente del terreno.</t>
  </si>
  <si>
    <t xml:space="preserve">6- METODOLOGÌA VALUATORIA </t>
  </si>
  <si>
    <t>Nivel 1</t>
  </si>
  <si>
    <t xml:space="preserve">Valores de transacción u ofertas en el mercado para bienes idénticos, los cuales puedan ser evaluados en la fecha de la medición. </t>
  </si>
  <si>
    <t>Nivel 2</t>
  </si>
  <si>
    <t xml:space="preserve">7- JERARQUÍA DE DATOS </t>
  </si>
  <si>
    <t xml:space="preserve">Valores de transacción u ofertas de inmuebles similares, deben ser observables directa o indirectamente. </t>
  </si>
  <si>
    <t>Nivel 3</t>
  </si>
  <si>
    <t xml:space="preserve">Datos no observables en el mercado, como conceptos y encuestas de expertos </t>
  </si>
  <si>
    <t>Los datos de entrada utilizados para calcular el valor razonable son el nivel 2 y 3. Corresponden a precios de oferta de inmuebles similares que son observables, ya sea directa o indirectamente en el mercado y que han sido ajustados u homogeneizados po factores como área, ubicación, vitrina, relación frente-fondo, visibilidad, mejoras, entre otros.</t>
  </si>
  <si>
    <t xml:space="preserve">8- GARANTÍA  </t>
  </si>
  <si>
    <t xml:space="preserve">De acuerdo a las políticas compartidas pro este estudiom, el inmueble cumple como buena garantía. </t>
  </si>
  <si>
    <t xml:space="preserve">10- CUADRO DE VALORES </t>
  </si>
  <si>
    <t xml:space="preserve">Concepto </t>
  </si>
  <si>
    <t>Valor ($m2)</t>
  </si>
  <si>
    <t xml:space="preserve">Unidad utilizada </t>
  </si>
  <si>
    <t>Valor Total ($)</t>
  </si>
  <si>
    <t xml:space="preserve">VALOR TOTAL PROYECTO </t>
  </si>
  <si>
    <t>HOTEL CAMPESTRE BALCONES VILLA DEL RÍO</t>
  </si>
  <si>
    <t xml:space="preserve">11- LOCALIZACIÓN GENERAL </t>
  </si>
  <si>
    <t>75 55 13" W</t>
  </si>
  <si>
    <t>5 41 43 " N</t>
  </si>
  <si>
    <t>Costo Total ($)</t>
  </si>
  <si>
    <t xml:space="preserve">Cantidad </t>
  </si>
  <si>
    <t xml:space="preserve">Valor unitario ($) </t>
  </si>
  <si>
    <t xml:space="preserve">Porcentaje (%) ocupación promedio temporada media </t>
  </si>
  <si>
    <t>Casa colonial x persona</t>
  </si>
  <si>
    <t xml:space="preserve">Casa colonial </t>
  </si>
  <si>
    <t>REQUERIMIENTOS DE ADECUACIÓN, INMOBILIARIO, EQUIPOS DEL HOTEL CAMPESTRE BALCONES VILLA DEL RÍO</t>
  </si>
  <si>
    <t>Ayudantes Chef</t>
  </si>
  <si>
    <t xml:space="preserve">Guia </t>
  </si>
  <si>
    <t>Personal de recreaciòn (cabalgatas-ciclismo)</t>
  </si>
  <si>
    <t xml:space="preserve">Personal SPA  </t>
  </si>
  <si>
    <t>Número</t>
  </si>
  <si>
    <t>Total costo para la empresa</t>
  </si>
  <si>
    <t>Neto que recibe el trabajador</t>
  </si>
  <si>
    <t>Total costo SS y Parafiscales</t>
  </si>
  <si>
    <t>Total Deducciones</t>
  </si>
  <si>
    <t>Sena</t>
  </si>
  <si>
    <t>Embargo Judicial</t>
  </si>
  <si>
    <t>Caja Compensacion Familiar</t>
  </si>
  <si>
    <t>Libranza</t>
  </si>
  <si>
    <t>ARL</t>
  </si>
  <si>
    <t>Fondo de Solidaridad</t>
  </si>
  <si>
    <t>Pension</t>
  </si>
  <si>
    <t>Salud</t>
  </si>
  <si>
    <t>Total Provision</t>
  </si>
  <si>
    <t>Dotacion</t>
  </si>
  <si>
    <t>Valor hora empleado</t>
  </si>
  <si>
    <t>Vacaciones</t>
  </si>
  <si>
    <t>Intereses</t>
  </si>
  <si>
    <t>10 Horas Extras Nocturnas</t>
  </si>
  <si>
    <t>Cesantias</t>
  </si>
  <si>
    <t>20 Horas Extras Diurnas</t>
  </si>
  <si>
    <t>Prima</t>
  </si>
  <si>
    <t>Salario</t>
  </si>
  <si>
    <t xml:space="preserve">Deducciones </t>
  </si>
  <si>
    <t xml:space="preserve">Costo seguridad social y Parafiscales </t>
  </si>
  <si>
    <t>Ingreso empleado (Recepcionista) ($)</t>
  </si>
  <si>
    <t>Costo empresa ($)</t>
  </si>
  <si>
    <t>Total Ingreso</t>
  </si>
  <si>
    <t>Total Costo sólo salario empresa</t>
  </si>
  <si>
    <t xml:space="preserve">Costo empresa para provisionar </t>
  </si>
  <si>
    <t>Ingreso empleado (Gerente Administrativo) ($)</t>
  </si>
  <si>
    <t>Ingreso empleado (Jefe de compras) ($)</t>
  </si>
  <si>
    <t>Ingreso empleado (Contador) ($)</t>
  </si>
  <si>
    <t>Ingreso empleado (Jefe de mantenimineto) ($)</t>
  </si>
  <si>
    <t>Ingreso empleado (Personal de aseo) ($)</t>
  </si>
  <si>
    <t>Ingreso empleado (Chef) ($)</t>
  </si>
  <si>
    <t>Ingreso empleado (Ayudantes Chef) ($)</t>
  </si>
  <si>
    <t>Ingreso empleado (Jardinero) ($)</t>
  </si>
  <si>
    <t>Ingreso empleado (Botones) ($)</t>
  </si>
  <si>
    <t>Ingreso empleado (Camareras) ($)</t>
  </si>
  <si>
    <t>Ingreso empleado (Bartender) ($)</t>
  </si>
  <si>
    <t>Ingreso empleado (Meseros) ($)</t>
  </si>
  <si>
    <t>TOTAL</t>
  </si>
  <si>
    <t>Costo Empresa mes ($)</t>
  </si>
  <si>
    <t>Costo empresa provisonar mes ($)</t>
  </si>
  <si>
    <t>Costo empresa total mes ($)</t>
  </si>
  <si>
    <t>Costo empresa total Anual ($)</t>
  </si>
  <si>
    <t>COSTO NÓMINA HOTEL CAMPESTRE BALCONES  VILLA DEL RÍO</t>
  </si>
  <si>
    <t xml:space="preserve">Abogado </t>
  </si>
  <si>
    <t>Personal Fijo</t>
  </si>
  <si>
    <t>Marketing</t>
  </si>
  <si>
    <t xml:space="preserve">TOTAL  NÓMINA FIJA </t>
  </si>
  <si>
    <t xml:space="preserve">TOTAL  GLOBAL </t>
  </si>
  <si>
    <t xml:space="preserve">Coctel de bienvenida </t>
  </si>
  <si>
    <t xml:space="preserve">Comisión intermediarios </t>
  </si>
  <si>
    <t xml:space="preserve">Petróleo para antorchas </t>
  </si>
  <si>
    <t xml:space="preserve">Mantemiento motobombas </t>
  </si>
  <si>
    <t xml:space="preserve">Mantemiento muebles </t>
  </si>
  <si>
    <t xml:space="preserve">Mantemiento piscinas </t>
  </si>
  <si>
    <t xml:space="preserve">Mantenimiento equipo de computo </t>
  </si>
  <si>
    <t xml:space="preserve">Mantimiento máquinaria y equipo </t>
  </si>
  <si>
    <t xml:space="preserve">Hosting y mantemiento sitio web </t>
  </si>
  <si>
    <t xml:space="preserve">Licencia anual para software MS-OFFICE </t>
  </si>
  <si>
    <t xml:space="preserve">Licencia anual para software antivirus </t>
  </si>
  <si>
    <t xml:space="preserve">Seguro huéspedes </t>
  </si>
  <si>
    <t xml:space="preserve">Software para administracion hotelera </t>
  </si>
  <si>
    <t xml:space="preserve">Seguro instalaciones </t>
  </si>
  <si>
    <t>Internet</t>
  </si>
  <si>
    <t>Valor mes promedio ($)</t>
  </si>
  <si>
    <t>Valor anual promedio ($)</t>
  </si>
  <si>
    <t xml:space="preserve">Teléfono </t>
  </si>
  <si>
    <t>Telefonia movistar</t>
  </si>
  <si>
    <t>Suministros de oficina (tinta)</t>
  </si>
  <si>
    <t xml:space="preserve">Afiliaciones gremios y revistas </t>
  </si>
  <si>
    <t xml:space="preserve">Impuestos de industria y comercio </t>
  </si>
  <si>
    <t>Mantemien cocina</t>
  </si>
  <si>
    <t xml:space="preserve">Mantenimiento obra fisica </t>
  </si>
  <si>
    <t>Televisión DIRECTV</t>
  </si>
  <si>
    <t xml:space="preserve">TOTAL NÓMINA VARIABLE </t>
  </si>
  <si>
    <t xml:space="preserve">Total costos variables por mes </t>
  </si>
  <si>
    <t xml:space="preserve">hacer estudio de compras de jabon y alimentos </t>
  </si>
  <si>
    <t xml:space="preserve">Papel higiénico </t>
  </si>
  <si>
    <t xml:space="preserve">Toallas de manos </t>
  </si>
  <si>
    <t xml:space="preserve">Detergete Bulto </t>
  </si>
  <si>
    <t>Clorox  3800cm3</t>
  </si>
  <si>
    <t>Fabuloso 5Lt</t>
  </si>
  <si>
    <t>Jabón (caja 500 unidades)</t>
  </si>
  <si>
    <t xml:space="preserve">Jabón liquido </t>
  </si>
  <si>
    <t xml:space="preserve">Shampo </t>
  </si>
  <si>
    <t>Valor unidad ($)</t>
  </si>
  <si>
    <t>Personas alojadas anual</t>
  </si>
  <si>
    <t xml:space="preserve">Gastos legales </t>
  </si>
  <si>
    <t xml:space="preserve">item </t>
  </si>
  <si>
    <t>Valor ($)</t>
  </si>
  <si>
    <t xml:space="preserve">Constitución de empresa </t>
  </si>
  <si>
    <t>Costo portafolio de contratos necesarios</t>
  </si>
  <si>
    <t xml:space="preserve">Costos expedición persmisos para operar </t>
  </si>
  <si>
    <t>Gastos Financieros</t>
  </si>
  <si>
    <t>Gravamen a movimientos financieros</t>
  </si>
  <si>
    <t>Gastos bancarios varios</t>
  </si>
  <si>
    <t>Utilidad antes de impuestos</t>
  </si>
  <si>
    <t>ESTADO DE RESULTADOS HOTEL CAMPESTRE BALCONES VILLA DEL RIO</t>
  </si>
  <si>
    <t xml:space="preserve">Impuestos </t>
  </si>
  <si>
    <t xml:space="preserve">lockers personal </t>
  </si>
  <si>
    <t>Aplicaciòn App</t>
  </si>
  <si>
    <t xml:space="preserve">Ciclo turismo </t>
  </si>
  <si>
    <t xml:space="preserve">Desayuno continental </t>
  </si>
  <si>
    <t xml:space="preserve">Day use </t>
  </si>
  <si>
    <t>Day Spa</t>
  </si>
  <si>
    <t xml:space="preserve">Happy Hour </t>
  </si>
  <si>
    <t xml:space="preserve">millones personas tiene el valle de aburrà </t>
  </si>
  <si>
    <t xml:space="preserve">en el año </t>
  </si>
  <si>
    <t>Factores claves de éxito (FCE)</t>
  </si>
  <si>
    <t xml:space="preserve">Peso </t>
  </si>
  <si>
    <t xml:space="preserve">Finca Hotel Arrayanes </t>
  </si>
  <si>
    <t xml:space="preserve">Avalon hotel campestre </t>
  </si>
  <si>
    <t xml:space="preserve">Hotel campestre la playa </t>
  </si>
  <si>
    <t xml:space="preserve">La Hostería Lago Valdivia  </t>
  </si>
  <si>
    <t xml:space="preserve">El rio hotel </t>
  </si>
  <si>
    <t>Hotel PietraSanta</t>
  </si>
  <si>
    <t xml:space="preserve">Clasifiación </t>
  </si>
  <si>
    <t xml:space="preserve">Puntaje </t>
  </si>
  <si>
    <t xml:space="preserve">Matriz de perfil competitivo </t>
  </si>
  <si>
    <t xml:space="preserve">Innovación </t>
  </si>
  <si>
    <t xml:space="preserve">Precio </t>
  </si>
  <si>
    <t xml:space="preserve">Ubicación </t>
  </si>
  <si>
    <t xml:space="preserve">Posicioamiento en el mercado </t>
  </si>
  <si>
    <t xml:space="preserve">Capital humano </t>
  </si>
  <si>
    <t xml:space="preserve">Infraestructura </t>
  </si>
  <si>
    <t xml:space="preserve">HOTEL EN ESTUDIO </t>
  </si>
  <si>
    <t xml:space="preserve">definir los segmentos objetivo más optimos para el éxito del negocio, la demanda esperada que se proyectará, disposiciones de pago y preferencias de los clientes </t>
  </si>
  <si>
    <t>OFERTA FASE 2</t>
  </si>
  <si>
    <t xml:space="preserve">proyección ocupación del hotel por meses ( promedio historico), verificar datos de cotelco </t>
  </si>
  <si>
    <t>https://www.cotelco.org/estadisticas/indicadoresdic2019</t>
  </si>
  <si>
    <t>Mes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</si>
  <si>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</si>
  <si>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</si>
  <si>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</si>
  <si>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</si>
  <si>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</si>
  <si>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>Junio</t>
  </si>
  <si>
    <t>Julio</t>
  </si>
  <si>
    <t>Agosto</t>
  </si>
  <si>
    <t>Septiembre</t>
  </si>
  <si>
    <t>Octubre</t>
  </si>
  <si>
    <t>Noviembre</t>
  </si>
  <si>
    <t xml:space="preserve">Diciembre </t>
  </si>
  <si>
    <t xml:space="preserve">No. Habitaciones </t>
  </si>
  <si>
    <t xml:space="preserve">Demanda por tipo de Habitación </t>
  </si>
  <si>
    <t>Marzo</t>
  </si>
  <si>
    <t>Abril</t>
  </si>
  <si>
    <t>Mayo</t>
  </si>
  <si>
    <t>Diciembre</t>
  </si>
  <si>
    <t>FDS*Mes</t>
  </si>
  <si>
    <t>Dias E/Semana</t>
  </si>
  <si>
    <t>Dias E/ semana: los dias entre semana en los que se tendrà ocupación varían también con relación a los meses; es asì como mientras que en DICIEMBRE, ENERO ABRIL Y JULIO los dias entre semana que seràn ocupados son 5</t>
  </si>
  <si>
    <t>Habitación ocupada Mes</t>
  </si>
  <si>
    <t xml:space="preserve">Número de Habitación promedio en cada mes </t>
  </si>
  <si>
    <t xml:space="preserve">Casa Bohio 1 con piscina </t>
  </si>
  <si>
    <t xml:space="preserve">Casa Bohio 2 con piscina </t>
  </si>
  <si>
    <t xml:space="preserve">Casa Bohio 3 con piscina </t>
  </si>
  <si>
    <t xml:space="preserve">Casa Bohio 4 con piscina </t>
  </si>
  <si>
    <t xml:space="preserve">Bohios Pool houses  </t>
  </si>
  <si>
    <t xml:space="preserve">TOTAL GLOBAL </t>
  </si>
  <si>
    <t>% Ocupación año 2019</t>
  </si>
  <si>
    <t xml:space="preserve">promedio anual </t>
  </si>
  <si>
    <t>https://www.calendariodecolombia.com/calendario-2022.html</t>
  </si>
  <si>
    <t>https://www.hosteltur.com/lat/133336_la-ocupacion-hotelera-colombiana-bate-su-record-historico-en-2019.html</t>
  </si>
  <si>
    <t>http://www.citur.gov.co/estadisticas/df_ocupacion_hotelera/var_anual/31</t>
  </si>
  <si>
    <t>https://www.dane.gov.co/index.php/estadisticas-por-tema/servicios/muestra-mensual-de-hoteles-mmh/mmh-historicos</t>
  </si>
  <si>
    <t>Año 2018- Nacional</t>
  </si>
  <si>
    <t>Año 2019-Nacional</t>
  </si>
  <si>
    <t>PROYECCIÓN AÑO 2022</t>
  </si>
  <si>
    <t xml:space="preserve">TOTAL MES </t>
  </si>
  <si>
    <t>AÑO 2022</t>
  </si>
  <si>
    <t>AÑO 2023</t>
  </si>
  <si>
    <t>AÑO 2024</t>
  </si>
  <si>
    <t>AÑO 2025</t>
  </si>
  <si>
    <t>AÑO 2026</t>
  </si>
  <si>
    <t>https://www.calendariodecolombia.com/calendario-2023.html</t>
  </si>
  <si>
    <t xml:space="preserve">Promedio en 5 años </t>
  </si>
  <si>
    <t>tasa de inflación hasta el año 2024</t>
  </si>
  <si>
    <t xml:space="preserve">TOTAL AÑO </t>
  </si>
  <si>
    <t xml:space="preserve">Mini bar </t>
  </si>
  <si>
    <t xml:space="preserve">Aguardiente </t>
  </si>
  <si>
    <t xml:space="preserve">Cerveza nacional </t>
  </si>
  <si>
    <t xml:space="preserve">Cerveza importada </t>
  </si>
  <si>
    <t xml:space="preserve">Vodka </t>
  </si>
  <si>
    <t xml:space="preserve">Whisky </t>
  </si>
  <si>
    <t xml:space="preserve">Gaseosa en lata </t>
  </si>
  <si>
    <t xml:space="preserve">Gatorade </t>
  </si>
  <si>
    <t>Agua en botella</t>
  </si>
  <si>
    <t xml:space="preserve">Comida </t>
  </si>
  <si>
    <t xml:space="preserve">Alimentos en paquete </t>
  </si>
  <si>
    <t xml:space="preserve">Confiteria </t>
  </si>
  <si>
    <t xml:space="preserve">Chocolatinas </t>
  </si>
  <si>
    <t>Bombones</t>
  </si>
  <si>
    <t xml:space="preserve">Otros </t>
  </si>
  <si>
    <t>Aspirina</t>
  </si>
  <si>
    <t xml:space="preserve">Sal de frutas </t>
  </si>
  <si>
    <t xml:space="preserve">Condones </t>
  </si>
  <si>
    <t xml:space="preserve">Curas </t>
  </si>
  <si>
    <t>Algodón</t>
  </si>
  <si>
    <t>Ingreso empleado (Jefe de recursos humanos) ($)</t>
  </si>
  <si>
    <t xml:space="preserve">Total costo Minin Bar por habitación </t>
  </si>
  <si>
    <t xml:space="preserve">Costo artículos de aseo habitación </t>
  </si>
  <si>
    <t xml:space="preserve">Crema Dental </t>
  </si>
  <si>
    <t xml:space="preserve">Gorro baño </t>
  </si>
  <si>
    <t xml:space="preserve">Ambientador-repuesto </t>
  </si>
  <si>
    <t xml:space="preserve">Costo artículos de aseo en general </t>
  </si>
  <si>
    <t>Cantidad promedio mensual</t>
  </si>
  <si>
    <t>PERIODO</t>
  </si>
  <si>
    <t>CUOTA</t>
  </si>
  <si>
    <t>INTERES</t>
  </si>
  <si>
    <t>ABONO A CAPITAL</t>
  </si>
  <si>
    <t>SALDO</t>
  </si>
  <si>
    <t>MONTO</t>
  </si>
  <si>
    <t>PLAZO</t>
  </si>
  <si>
    <t>TASA</t>
  </si>
  <si>
    <t xml:space="preserve">CUOTA </t>
  </si>
  <si>
    <t>Gastos intereses</t>
  </si>
  <si>
    <t>Desayuno</t>
  </si>
  <si>
    <t>Almuerzo</t>
  </si>
  <si>
    <t>Cena</t>
  </si>
  <si>
    <t>Total</t>
  </si>
  <si>
    <t>Registro nacional de turismo</t>
  </si>
  <si>
    <t xml:space="preserve">D&amp;G grupo mundial </t>
  </si>
  <si>
    <t xml:space="preserve">compra lote </t>
  </si>
  <si>
    <t xml:space="preserve">invrsiones </t>
  </si>
  <si>
    <t xml:space="preserve">Gastos de ventas, generales y administrativos </t>
  </si>
  <si>
    <t xml:space="preserve">Ventas totales </t>
  </si>
  <si>
    <t>Utilidad Bruta</t>
  </si>
  <si>
    <t xml:space="preserve">Utilidad neta </t>
  </si>
  <si>
    <t xml:space="preserve">Deuda a largo plazo </t>
  </si>
  <si>
    <t>https://caldas.gov.co/index.php/component/easyfolderlistingpro/?view=download&amp;format=raw&amp;data=eNpNUEFugzAQ_Arae4WhEWmXE4qKxAFa5QORAwuxBBjZpo1U9dA39Em95lGxMag9eXfGOzO7HKMIPzUmCK3sG1KQatwxhIEawcNG1vNAo5E6LKr89Vhmh-L3pwryosqqQ_FyzNx_KwGzJuUV9AIhsI3qZtLmT32PcDotmOue_OjIB3KtdXZP4lHRQCqQ-SFF_cTNxdGPzwhhyVUtg1xc6Jr3YTYpeea1kLfvMfjPrB6t6GnziHYIZV6-BTGL9g8xi5NFE4GuZq2mpl2j0nUSivSWI7IBuTG8vrizQHpeUBtnUvQu6MOvaON3Una9tfu6A6vob24,</t>
  </si>
  <si>
    <t xml:space="preserve">inflación proyección </t>
  </si>
  <si>
    <t xml:space="preserve">Tasa del crecimineto del sector </t>
  </si>
  <si>
    <t>PROYECCIÓN AÑO 2023</t>
  </si>
  <si>
    <t>PROYECCIÓN AÑO 2024</t>
  </si>
  <si>
    <t>% Ocupación año 2023</t>
  </si>
  <si>
    <t>% Ocupación año 2024</t>
  </si>
  <si>
    <t>PROYECCIÓN AÑO 2025</t>
  </si>
  <si>
    <t>PROYECCIÓN AÑO 2026</t>
  </si>
  <si>
    <t xml:space="preserve">VENTAS TOTALES -habitación ocupada </t>
  </si>
  <si>
    <t>Priner año (2022)</t>
  </si>
  <si>
    <t>Segundo año (2023)</t>
  </si>
  <si>
    <t>Tercer año (2024)</t>
  </si>
  <si>
    <t>Tercer año (2025)</t>
  </si>
  <si>
    <t>Tercer año (2026)</t>
  </si>
  <si>
    <t xml:space="preserve">Capital de los accionistas </t>
  </si>
  <si>
    <t xml:space="preserve">razón de deuda a capital </t>
  </si>
  <si>
    <t xml:space="preserve">Investigación,desarrollo y publicidad </t>
  </si>
  <si>
    <t xml:space="preserve">Depreciación </t>
  </si>
  <si>
    <t>Infraestructura del hotel</t>
  </si>
  <si>
    <t xml:space="preserve">Valor de los Activos </t>
  </si>
  <si>
    <t xml:space="preserve">DEPRECIACIÓN </t>
  </si>
  <si>
    <t xml:space="preserve">Impuesto por pagar </t>
  </si>
  <si>
    <t xml:space="preserve">PROYECCIÓN DE FLUJO DE TESORERIA </t>
  </si>
  <si>
    <t xml:space="preserve">Saldo Inicial caja </t>
  </si>
  <si>
    <t xml:space="preserve">Ingresos </t>
  </si>
  <si>
    <t xml:space="preserve">Ingresos por venta del periodo </t>
  </si>
  <si>
    <t xml:space="preserve">Ingresos periodos anteriores </t>
  </si>
  <si>
    <t xml:space="preserve">Aportes socios </t>
  </si>
  <si>
    <t xml:space="preserve">Total ingresos </t>
  </si>
  <si>
    <t xml:space="preserve">Préstamos recibidos </t>
  </si>
  <si>
    <t xml:space="preserve">Egresos compras presente periodo </t>
  </si>
  <si>
    <t>Año 0</t>
  </si>
  <si>
    <t>Egresos compras periodos anteriores</t>
  </si>
  <si>
    <t>Pago impuestos de renta</t>
  </si>
  <si>
    <t>Compra de terreno y construcción de edificación</t>
  </si>
  <si>
    <t xml:space="preserve">Total egresos </t>
  </si>
  <si>
    <t xml:space="preserve">Egresos </t>
  </si>
  <si>
    <t>Depreciaciòn</t>
  </si>
  <si>
    <t xml:space="preserve">Costo financiero </t>
  </si>
  <si>
    <t xml:space="preserve">Capital financiero </t>
  </si>
  <si>
    <t>TIR</t>
  </si>
  <si>
    <t xml:space="preserve">Inversiones </t>
  </si>
  <si>
    <t xml:space="preserve">Ingresos operacionales </t>
  </si>
  <si>
    <t xml:space="preserve">CAPITAL INVERTIDO </t>
  </si>
  <si>
    <t>Total activos</t>
  </si>
  <si>
    <t>Total pasivos sin deuda de impuestos</t>
  </si>
  <si>
    <t>WACC</t>
  </si>
  <si>
    <t xml:space="preserve">Deuda </t>
  </si>
  <si>
    <t xml:space="preserve">Recursos propios </t>
  </si>
  <si>
    <t>Participación</t>
  </si>
  <si>
    <t>TIO</t>
  </si>
  <si>
    <t>EA</t>
  </si>
  <si>
    <t>http://zusideroldan.blogspot.com/2017/11/tir-vpn-tio-y-costo-promedio-de-capital.html</t>
  </si>
  <si>
    <t>f1</t>
  </si>
  <si>
    <t>f2</t>
  </si>
  <si>
    <t>f3</t>
  </si>
  <si>
    <t>f4</t>
  </si>
  <si>
    <t>f5</t>
  </si>
  <si>
    <t>n</t>
  </si>
  <si>
    <t>5 años</t>
  </si>
  <si>
    <t>IO</t>
  </si>
  <si>
    <t>VAN</t>
  </si>
  <si>
    <t xml:space="preserve">Tasa de descuento </t>
  </si>
  <si>
    <t xml:space="preserve">TASA INTERNA DE RETORNO </t>
  </si>
  <si>
    <t xml:space="preserve">Flujo de efectivo </t>
  </si>
  <si>
    <t xml:space="preserve">Valor presente </t>
  </si>
  <si>
    <t>Valor presente neto (VPN)</t>
  </si>
  <si>
    <t xml:space="preserve">TIR mayor WACC es viable desde el punto de vista financiero </t>
  </si>
  <si>
    <t xml:space="preserve">Cuentas por pagar </t>
  </si>
  <si>
    <t xml:space="preserve">RI </t>
  </si>
  <si>
    <t>TIRM</t>
  </si>
  <si>
    <t>Acumulado sin tasa de oportunidad (PB)</t>
  </si>
  <si>
    <t>Acumulado con tasa de oportunidad (DPB)</t>
  </si>
  <si>
    <t>https://www.youtube.com/watch?v=-W1Gm2nFGx4</t>
  </si>
  <si>
    <t>https://www.gerencie.com/vida-util-de-los-activos-fijos.html</t>
  </si>
  <si>
    <t xml:space="preserve">Total muestra nacional </t>
  </si>
  <si>
    <t>Diciembre año 2018</t>
  </si>
  <si>
    <t>Diciembre año 2019</t>
  </si>
  <si>
    <t>INFORME MENSUAL DE INICADORES HOTELEROS – COTELCO / DICIEMBRE 2019</t>
  </si>
  <si>
    <t xml:space="preserve">Asociación Hotelera y Turística de Colombia – COTELCO </t>
  </si>
  <si>
    <t xml:space="preserve">Sistema de Información Hotelero – SIH </t>
  </si>
  <si>
    <t>Acumulado Enero-Dicembre.2018</t>
  </si>
  <si>
    <t>Acumulado Enero-Dicembre.2019</t>
  </si>
  <si>
    <t>Total muestra sin Bogotá D.C., Cartagena y San Andrés</t>
  </si>
  <si>
    <t xml:space="preserve">Porcentaje de ocupación </t>
  </si>
  <si>
    <t xml:space="preserve">Tarifa promedio Valores nominales </t>
  </si>
  <si>
    <t xml:space="preserve">RESUMEN NACIONAL </t>
  </si>
  <si>
    <t xml:space="preserve">Origen de los huéspedes </t>
  </si>
  <si>
    <t xml:space="preserve">Nacionales </t>
  </si>
  <si>
    <t>Diciembre.2019</t>
  </si>
  <si>
    <t xml:space="preserve">Acumulado </t>
  </si>
  <si>
    <t>Enero -Dic 2019</t>
  </si>
  <si>
    <t xml:space="preserve">Extranjero </t>
  </si>
  <si>
    <t xml:space="preserve">Nùmero de habitaciones afiliadas </t>
  </si>
  <si>
    <t>año 2018</t>
  </si>
  <si>
    <t>año 2017</t>
  </si>
  <si>
    <t>año 2019</t>
  </si>
  <si>
    <t xml:space="preserve">Oferta total de habitaciones (noches)- Variación anual - RESUMEN NACIONAL </t>
  </si>
  <si>
    <t xml:space="preserve">Departamento de Antioquia </t>
  </si>
  <si>
    <t xml:space="preserve">Porcentaje de ocupación acumulado </t>
  </si>
  <si>
    <t xml:space="preserve">Tarifa promedio </t>
  </si>
  <si>
    <t xml:space="preserve">Tarifa promedio acumulado </t>
  </si>
  <si>
    <t>Diciembre.2018</t>
  </si>
  <si>
    <t>Extranjeros</t>
  </si>
  <si>
    <t xml:space="preserve">RevPar </t>
  </si>
  <si>
    <t>Nùmero de habitaciones</t>
  </si>
  <si>
    <t xml:space="preserve">Índice de doble ocupación </t>
  </si>
  <si>
    <t xml:space="preserve">PORCENTAJE DE OCUPACIÓN -ANTIOQUIA </t>
  </si>
  <si>
    <t xml:space="preserve">RESUMEN POR SEGMENTO </t>
  </si>
  <si>
    <t xml:space="preserve">1-50 Habitaciones </t>
  </si>
  <si>
    <t>Según tamaño del establecimiento Diciembre 20019</t>
  </si>
  <si>
    <t>Según categoria tarifa promedio Diciembre 2019</t>
  </si>
  <si>
    <t>Más de $356,800</t>
  </si>
  <si>
    <t>Entre $152,900- $356,800</t>
  </si>
  <si>
    <t xml:space="preserve">ocio/Turismo/Recreación </t>
  </si>
  <si>
    <t>Según segmento del mercado Diciembre 2019</t>
  </si>
  <si>
    <t>Según Ubicación  Diciembre 2019</t>
  </si>
  <si>
    <t>Campestre/ Rural</t>
  </si>
  <si>
    <t xml:space="preserve">Proyección Inflación </t>
  </si>
  <si>
    <t>INFORME MENSUAL DE INICADORES HOTELEROS – COTELCO / FEBRERO 2020</t>
  </si>
  <si>
    <t>Febrero año 2019</t>
  </si>
  <si>
    <t>Febrero año 2020</t>
  </si>
  <si>
    <t>Acumulado Enero-Febrero.2019</t>
  </si>
  <si>
    <t>Acumulado Enero-Febrero.2020</t>
  </si>
  <si>
    <t>Febrero.2020</t>
  </si>
  <si>
    <t>Febrero año 2018</t>
  </si>
  <si>
    <t>Febrero año 2017</t>
  </si>
  <si>
    <t>Según tamaño del establecimiento Febrero 2020</t>
  </si>
  <si>
    <t>Febrero.2019</t>
  </si>
  <si>
    <t>Según categoria tarifa promedio Febrero 2020</t>
  </si>
  <si>
    <t>Según segmento del mercado Febrero 2020</t>
  </si>
  <si>
    <t>Según Ubicación  Febrero 2020</t>
  </si>
  <si>
    <t>% Ocupación año 2018</t>
  </si>
  <si>
    <t>% Ocupación año 2022</t>
  </si>
  <si>
    <t>Proyección Año 2022</t>
  </si>
  <si>
    <t>Proyección Año 2023</t>
  </si>
  <si>
    <t>Proyección Año 2024</t>
  </si>
  <si>
    <t>Proyección Año 2025</t>
  </si>
  <si>
    <t>Proyección Año 2026</t>
  </si>
  <si>
    <t>% Ocupación año 2025</t>
  </si>
  <si>
    <t>% Ocupación año 2026</t>
  </si>
  <si>
    <t>2020-2021</t>
  </si>
  <si>
    <t>Verificar dias festivos del año 2022-2023-2024-2025-2026</t>
  </si>
  <si>
    <t xml:space="preserve">Estimado inicial </t>
  </si>
  <si>
    <t xml:space="preserve">Nùmero de dias en el mes </t>
  </si>
  <si>
    <t xml:space="preserve">en meses como FEBRERO Y MARZO tan solo es de dos dias </t>
  </si>
  <si>
    <t xml:space="preserve">FDS * MES: fines de semana por mes señalados, depende del número de dias de cada mes  y por razón varia. </t>
  </si>
  <si>
    <t>RevPAR (mes)</t>
  </si>
  <si>
    <t>RevPAR (promedio anual )</t>
  </si>
  <si>
    <t xml:space="preserve">Informe de indicadores Hoteleros -COTELCO </t>
  </si>
  <si>
    <t>Tarifa promedio (Campestre/ Rural) Febrero.2020</t>
  </si>
  <si>
    <t>Tarifa promedio (ocio/Turismo/Recreación ) Febrero 2020</t>
  </si>
  <si>
    <t xml:space="preserve">RevPAR -Febrero 2020-ANTIOQUIA </t>
  </si>
  <si>
    <t xml:space="preserve">COTELCO </t>
  </si>
  <si>
    <t>Acumulado Enero-Diciembre.2018</t>
  </si>
  <si>
    <t>Acumulado Enero-Diciembre.2019</t>
  </si>
  <si>
    <t xml:space="preserve">Los porcentajes de ocupacíon son tenidos encuenta según el comportamiento del sector y son crecientes gracias a la publicidad acumulada que se tendrá del hotel cada año </t>
  </si>
  <si>
    <t xml:space="preserve">Alojamiento: precios incluyen desayuno/almuerzo/cena </t>
  </si>
  <si>
    <t>Tenemos que tener presente las comisiones que nos cobran los intermediarios digitales, estos representan para el hotel del 30% de las ventas totales como : BOOKING, DESPEGAR.COM, HOTELES.COM</t>
  </si>
  <si>
    <t>EXPEDIA, TRIPADVISOR… Comisón entre el 15% al 20%</t>
  </si>
  <si>
    <t xml:space="preserve">otros canales de venta son: Reserva directa/ nuestra página web </t>
  </si>
  <si>
    <t>Intermediarios fisicos: Agencias de viajes,guias turisticos, excursiones comisión que cobran son del 10%  como AVIATOUR, GEMA TOURS, VIAJES FALABELLA.</t>
  </si>
  <si>
    <t xml:space="preserve">Restaurante y bar </t>
  </si>
  <si>
    <t xml:space="preserve">SERVICIOS COMPLEMENTARIOS </t>
  </si>
  <si>
    <t xml:space="preserve">RESTAURANTE Y BAR </t>
  </si>
  <si>
    <t xml:space="preserve">Comida extra y bar no se incluye dentro del paquete, por esta razón todos lo ingresos por restaurante y bar serán ingresos extras. Para estimar los ingresos de FOOD &amp; BEVERAGE hemos tenido en cuenta la ocupación mensual y hemos aplicado un porcentanje estimatorio. </t>
  </si>
  <si>
    <t xml:space="preserve">Precio unitario x persona consumo diario </t>
  </si>
  <si>
    <t xml:space="preserve">VENTAS TOTALES  SERVICIOS COMPLEMENTARIOS-personas alojadas por año </t>
  </si>
  <si>
    <t xml:space="preserve">Costo de las ventas </t>
  </si>
  <si>
    <t xml:space="preserve">costo x persona consumo diario </t>
  </si>
  <si>
    <t xml:space="preserve">Los dias de ocupación son calculados sobre 365  dias </t>
  </si>
  <si>
    <t xml:space="preserve">Jefe de compras/ Almacenamiento </t>
  </si>
  <si>
    <t xml:space="preserve">Jefe de recursos humanos/ coordinador de calidad </t>
  </si>
  <si>
    <t xml:space="preserve">Jefe de mantenimiento y seguridad </t>
  </si>
  <si>
    <t xml:space="preserve">Tareas del puesto </t>
  </si>
  <si>
    <t xml:space="preserve">Experiencia mencianada en la industria hotelera </t>
  </si>
  <si>
    <t xml:space="preserve">No. Empleados </t>
  </si>
  <si>
    <t xml:space="preserve">3 años </t>
  </si>
  <si>
    <t xml:space="preserve">4 años </t>
  </si>
  <si>
    <t xml:space="preserve">8 años </t>
  </si>
  <si>
    <t xml:space="preserve">2 años </t>
  </si>
  <si>
    <t xml:space="preserve">5 años </t>
  </si>
  <si>
    <t xml:space="preserve">1 año </t>
  </si>
  <si>
    <t>2 años</t>
  </si>
  <si>
    <t xml:space="preserve">Toma de decisiones y administración de los recursos </t>
  </si>
  <si>
    <t>Atebción al público, reservas</t>
  </si>
  <si>
    <t xml:space="preserve">sistema contable </t>
  </si>
  <si>
    <t xml:space="preserve">Transformación de alimentos y coordinación de personal de cocina </t>
  </si>
  <si>
    <t>Ayudante del Chef</t>
  </si>
  <si>
    <t xml:space="preserve">Atención al cliente </t>
  </si>
  <si>
    <t xml:space="preserve">Elaboración y manejo de cocteleria </t>
  </si>
  <si>
    <t xml:space="preserve">Aseo general </t>
  </si>
  <si>
    <t xml:space="preserve">Compra de alimentos y bebidas - incluidos en el paquete </t>
  </si>
  <si>
    <t xml:space="preserve">Mini Bar </t>
  </si>
  <si>
    <t xml:space="preserve">Mini Bar por habitación </t>
  </si>
  <si>
    <t xml:space="preserve">Alojamientos </t>
  </si>
  <si>
    <t xml:space="preserve">Costo Mini Bar por habitación </t>
  </si>
  <si>
    <t xml:space="preserve">Estimado 20% de la ocupación consume elementos del mini bar </t>
  </si>
  <si>
    <t xml:space="preserve">costos variables </t>
  </si>
  <si>
    <t>Otros ingresos  (recreaciòn)</t>
  </si>
  <si>
    <t xml:space="preserve">Valor residual </t>
  </si>
  <si>
    <t>Vida útil</t>
  </si>
  <si>
    <t xml:space="preserve">Depreciación Anual </t>
  </si>
  <si>
    <t>Depreciación Acumullada</t>
  </si>
  <si>
    <t>Año 2022</t>
  </si>
  <si>
    <t>Año 2023</t>
  </si>
  <si>
    <t>Año 2024</t>
  </si>
  <si>
    <t>Año 2025</t>
  </si>
  <si>
    <t>Año 2026</t>
  </si>
  <si>
    <t xml:space="preserve">otros ingresos </t>
  </si>
  <si>
    <t>Impuestos (9%)</t>
  </si>
  <si>
    <t xml:space="preserve">Las cancelaciones se toman como reservas efectivas, ya que para reservar será necesario consignar el 50% y no se devuelve dinero después de cancelado </t>
  </si>
  <si>
    <t>Temporada alta del 15 de diciembre al 15 de enero, semana santa y del 20 de junio al 20 de julio, basados en el calendario turistrico https://www.calendariodecolombia.com/calendario-2022.html</t>
  </si>
  <si>
    <t xml:space="preserve">No. De días festivos </t>
  </si>
  <si>
    <t xml:space="preserve">días al año </t>
  </si>
  <si>
    <t xml:space="preserve">dìas para buscar demanda en el hotel </t>
  </si>
  <si>
    <t>Valores año 2020</t>
  </si>
  <si>
    <t>Inversiones a corto plazo</t>
  </si>
  <si>
    <t xml:space="preserve">Estudios y proyecto </t>
  </si>
  <si>
    <t xml:space="preserve">OTROS ACTIVOS </t>
  </si>
  <si>
    <t>Valor salario mes ($)-2020</t>
  </si>
  <si>
    <t>Valor salario mes ($)-2021</t>
  </si>
  <si>
    <t xml:space="preserve">valor mes promedio ($)-año 2021 </t>
  </si>
  <si>
    <t>valor mes promedio ($) -año 2020</t>
  </si>
  <si>
    <t>Valor unidad ($)-año 2020</t>
  </si>
  <si>
    <t>Valor unidad ($)-año 2021</t>
  </si>
  <si>
    <t>D/E</t>
  </si>
  <si>
    <t>https://investigaciones.corficolombiana.com/documents/38211/0/Separata%20Version%20Web%20(1).pdf/0c116f63-44f0-deca-26b7-ce09d46762b1</t>
  </si>
  <si>
    <t>file:///C:/Users/DAVID/Downloads/Co_Eco_Septiembre_1998_Herrera_y_Mora.pdf</t>
  </si>
  <si>
    <t xml:space="preserve">Depreciaciones </t>
  </si>
  <si>
    <t xml:space="preserve">Capital invertido </t>
  </si>
  <si>
    <t>Deuda</t>
  </si>
  <si>
    <t>Total Pasivos</t>
  </si>
  <si>
    <t>Capital común</t>
  </si>
  <si>
    <t>Utilidades retenidas</t>
  </si>
  <si>
    <t>Total patrimonio</t>
  </si>
  <si>
    <t>Total pasivos y Patrimonio</t>
  </si>
  <si>
    <t>Impuestos</t>
  </si>
  <si>
    <t>Financiación</t>
  </si>
  <si>
    <t>NUEVA DEUDA</t>
  </si>
  <si>
    <t>Tasa préstamo</t>
  </si>
  <si>
    <t>ea</t>
  </si>
  <si>
    <t>Beta</t>
  </si>
  <si>
    <t>Rf</t>
  </si>
  <si>
    <t>E (Rm)</t>
  </si>
  <si>
    <t>Beta  apalancada = ( Beta desapalancada  * ( 1+ (D/P) *(1-tax))</t>
  </si>
  <si>
    <t>Rln actual      D / P =</t>
  </si>
  <si>
    <t>Rln (1-tax)</t>
  </si>
  <si>
    <t>Rln ( 1+ D/P *(1-tax))</t>
  </si>
  <si>
    <t>Para calcular B desapalancado o Bu</t>
  </si>
  <si>
    <t>B desap = b apalanc /  Rln ( 1+ D/P *(1-tax))</t>
  </si>
  <si>
    <t>prueba B apalancada</t>
  </si>
  <si>
    <t xml:space="preserve"> % Partic D</t>
  </si>
  <si>
    <t xml:space="preserve"> % Partic Patrim</t>
  </si>
  <si>
    <t>beta apalancada</t>
  </si>
  <si>
    <t>K E = Rlr  +(Rm-Rlr) *B apalancada</t>
  </si>
  <si>
    <t>Costo de Deuda Antes de Impuestos</t>
  </si>
  <si>
    <t>Costo de Deuda Después de Impuestos</t>
  </si>
  <si>
    <t>WACC = ∑ (Ci*  x   Pi)</t>
  </si>
  <si>
    <t xml:space="preserve">CÁLCULO WACC </t>
  </si>
  <si>
    <t>Inversiones activos fijos</t>
  </si>
  <si>
    <t>%TAX renta</t>
  </si>
  <si>
    <t>Ingreso por ventas</t>
  </si>
  <si>
    <t>Utilidad bruta</t>
  </si>
  <si>
    <t>(-) Ventas, generales y admin</t>
  </si>
  <si>
    <t>(-) Investigacion y desarrollo</t>
  </si>
  <si>
    <t>(-)Depreciación</t>
  </si>
  <si>
    <t>(-)Int</t>
  </si>
  <si>
    <t>(-) Impuesto sobre la renta</t>
  </si>
  <si>
    <t>(+) Depreciaciones</t>
  </si>
  <si>
    <t>(-) IActFijos</t>
  </si>
  <si>
    <t>(+) Recuperaciones</t>
  </si>
  <si>
    <t>TIR cada año</t>
  </si>
  <si>
    <t>(-) Inv Inicial</t>
  </si>
  <si>
    <t>Indice de rentabilidad</t>
  </si>
  <si>
    <t>TIR modificada</t>
  </si>
  <si>
    <t>PRI (Pay Back Period)</t>
  </si>
  <si>
    <t>Pt de cada flujo</t>
  </si>
  <si>
    <t>VPN Acumulado por año</t>
  </si>
  <si>
    <t>PRI</t>
  </si>
  <si>
    <t>Inventarios</t>
  </si>
  <si>
    <t>(+) otros ingresos</t>
  </si>
  <si>
    <t>( Tasa de oportunidad)</t>
  </si>
  <si>
    <t xml:space="preserve">Años </t>
  </si>
  <si>
    <t xml:space="preserve">TIR de cada año </t>
  </si>
  <si>
    <t xml:space="preserve">Costo de capital </t>
  </si>
  <si>
    <t xml:space="preserve">Indice de rentabilidad </t>
  </si>
  <si>
    <t xml:space="preserve">HOTEL CAMPESTRE BALCONES VILLA DEL RIO </t>
  </si>
  <si>
    <t>Balances Generales Comparativos a dic 31</t>
  </si>
  <si>
    <t>(Millones de pesos)</t>
  </si>
  <si>
    <t xml:space="preserve">ACTIVOS </t>
  </si>
  <si>
    <t>A.V. 07</t>
  </si>
  <si>
    <t>A.V. 08</t>
  </si>
  <si>
    <t>A.V. 09</t>
  </si>
  <si>
    <t>A.V. 10</t>
  </si>
  <si>
    <t>A.V. 11</t>
  </si>
  <si>
    <t>A.H. 07-08</t>
  </si>
  <si>
    <t>A.H. 08-09</t>
  </si>
  <si>
    <t>A.H. 09-10</t>
  </si>
  <si>
    <t>A.H. 10-11</t>
  </si>
  <si>
    <t>ACTIVOS CORRIENTES</t>
  </si>
  <si>
    <t>Disponible</t>
  </si>
  <si>
    <t>Inversiones negociables</t>
  </si>
  <si>
    <t>Cargos diferidos</t>
  </si>
  <si>
    <t>TOTAL ACTIVOS CORRIENTES</t>
  </si>
  <si>
    <t>ACTIVOS NO CORRIENTES</t>
  </si>
  <si>
    <t>Inversiones permanentes</t>
  </si>
  <si>
    <t>Propiedad, Planta y Equipo</t>
  </si>
  <si>
    <t>Intangibles</t>
  </si>
  <si>
    <t>TOTAL ACTIVOS NO CORRIENTES</t>
  </si>
  <si>
    <t>TOTAL ACTIVOS</t>
  </si>
  <si>
    <t>PASIVOS</t>
  </si>
  <si>
    <t>PASIVOS CORRIENTES</t>
  </si>
  <si>
    <t>Obligaciones financieras</t>
  </si>
  <si>
    <t>Proveedores</t>
  </si>
  <si>
    <t>Cuentas por pagar</t>
  </si>
  <si>
    <t>Impuestos, gravamenes y tasas</t>
  </si>
  <si>
    <t>Obligaciones laborales</t>
  </si>
  <si>
    <t>Pasivos estimados y diferidos</t>
  </si>
  <si>
    <t>Bonos y papeles comerciales</t>
  </si>
  <si>
    <t>Otros pasivos</t>
  </si>
  <si>
    <t xml:space="preserve"> PASIVOS CORRIENTES</t>
  </si>
  <si>
    <t>PASIVOS LARGO PLAZO</t>
  </si>
  <si>
    <t>Bonos</t>
  </si>
  <si>
    <t>Pasivo estimado pensiones jubilacion</t>
  </si>
  <si>
    <t>Diferidos</t>
  </si>
  <si>
    <t>Otros Pasivos</t>
  </si>
  <si>
    <t>TOTAL PASIVOS LARGO PLAZO</t>
  </si>
  <si>
    <t>TOTAL PASIVOS</t>
  </si>
  <si>
    <t>Capital social</t>
  </si>
  <si>
    <t>Superavit de capital</t>
  </si>
  <si>
    <t>Reservas</t>
  </si>
  <si>
    <t>Utilidades del Ejercicio</t>
  </si>
  <si>
    <t>Utilidades acumulada</t>
  </si>
  <si>
    <t>Revalorización del patrimonio</t>
  </si>
  <si>
    <t>Superavit por valorización</t>
  </si>
  <si>
    <t>TOTAL PASIVO + PATRIMONIO</t>
  </si>
  <si>
    <t>ALMACENES EXITO S.A.</t>
  </si>
  <si>
    <t>Estado de Resultados</t>
  </si>
  <si>
    <t>Del 1 de Enero al 31 de Diciembre</t>
  </si>
  <si>
    <t>INGRESOS OPERACIONALES</t>
  </si>
  <si>
    <t>A.H.07-08</t>
  </si>
  <si>
    <t>A.H.08-09</t>
  </si>
  <si>
    <t>A.H.09-10</t>
  </si>
  <si>
    <t>A.H.10-11</t>
  </si>
  <si>
    <t>Ventas</t>
  </si>
  <si>
    <t>Otros ingresos operacionales</t>
  </si>
  <si>
    <t>TOTAL INGRESOS OPERACIONALES</t>
  </si>
  <si>
    <t>COSTO DE VENTAS</t>
  </si>
  <si>
    <t>UTILIDAD BRUTA</t>
  </si>
  <si>
    <t xml:space="preserve">GASTOS OPERACIONALES  </t>
  </si>
  <si>
    <t>Salarios y prestaciones sociales</t>
  </si>
  <si>
    <t>Otros gastos de admon. y ventas</t>
  </si>
  <si>
    <t>Depreciaciones y amortizaciones</t>
  </si>
  <si>
    <t>TOTAL GASTOS OPERACIONALES</t>
  </si>
  <si>
    <t>UTILIDAD OPERACIONAL</t>
  </si>
  <si>
    <t>INGRESOS NO OPERACIONALES</t>
  </si>
  <si>
    <t>Financieros</t>
  </si>
  <si>
    <t>Dividendos y participaciones</t>
  </si>
  <si>
    <t>Ingreso metodo de participacion</t>
  </si>
  <si>
    <t>Otros ingresos no operacionales</t>
  </si>
  <si>
    <t>TOTAL INGRESOS NO OPERACIONALES</t>
  </si>
  <si>
    <t>GASTOS NO OPERACIONALES</t>
  </si>
  <si>
    <t>Perdida método de participación</t>
  </si>
  <si>
    <t>Otros gastos no operacionales</t>
  </si>
  <si>
    <t>TOTAL GASTOS NO OPERACIONALES</t>
  </si>
  <si>
    <t>TOTAL INGRESOS Y GASTOS NO OPERACIONALES</t>
  </si>
  <si>
    <t>UTILIDAD ANTES DE IMPUESTOS</t>
  </si>
  <si>
    <t>IMPUESTO DE RENTA Y COMPLEMENTARIOS</t>
  </si>
  <si>
    <t>Corriente</t>
  </si>
  <si>
    <t>Diferido</t>
  </si>
  <si>
    <t>TOTAL IMPTO DE RENTA Y COMPLEMENTARIOS</t>
  </si>
  <si>
    <t>UTILIDAD NETA</t>
  </si>
  <si>
    <t>UTILIDAD NETA POR ACCIÓN</t>
  </si>
  <si>
    <t>Estados de resultados  Comparativos a dic 31</t>
  </si>
  <si>
    <t xml:space="preserve">Efectivo y bancos </t>
  </si>
  <si>
    <t xml:space="preserve">Saldo final de caja Año </t>
  </si>
  <si>
    <t>https://www.youtube.com/watch?v=CXhT2tCJPPI</t>
  </si>
  <si>
    <t>Utilidad Operacional (EBIT) = U.A.I.I.</t>
  </si>
  <si>
    <t xml:space="preserve">ESTADO DE RESULTADOS </t>
  </si>
  <si>
    <t xml:space="preserve"> (Millones de pesos)</t>
  </si>
  <si>
    <t>Ingresos</t>
  </si>
  <si>
    <t>Costo de Ventas</t>
  </si>
  <si>
    <t>Utilidad Bruta en ventas</t>
  </si>
  <si>
    <t>Gastos de Administracion</t>
  </si>
  <si>
    <t>Gastos de Ventas</t>
  </si>
  <si>
    <t>Depreciaciones</t>
  </si>
  <si>
    <t>Amortizacion de diferidos</t>
  </si>
  <si>
    <t xml:space="preserve">Otros ingresos </t>
  </si>
  <si>
    <t>Rendimientos Financieros</t>
  </si>
  <si>
    <t>Utilidad Antes de Impuestos</t>
  </si>
  <si>
    <t>Utilidad del Ejercicio</t>
  </si>
  <si>
    <t>Distribucion de Utilidades</t>
  </si>
  <si>
    <t>Tasa de impuestos</t>
  </si>
  <si>
    <t>BALANCE GENERAL</t>
  </si>
  <si>
    <t>Activos</t>
  </si>
  <si>
    <t>Activos Corrientes</t>
  </si>
  <si>
    <t>Efectivo y Bancos</t>
  </si>
  <si>
    <t>Inversiones Temporales</t>
  </si>
  <si>
    <t>Cuentas por Cobrar</t>
  </si>
  <si>
    <t>Gastos anticipados</t>
  </si>
  <si>
    <t>Total Activo Corriente</t>
  </si>
  <si>
    <t>Activo Fijo</t>
  </si>
  <si>
    <t>Propiedad planta y Equipo</t>
  </si>
  <si>
    <t xml:space="preserve">Depreciacion </t>
  </si>
  <si>
    <t>Total Activo Fijo</t>
  </si>
  <si>
    <t>Otros Activos</t>
  </si>
  <si>
    <t>Total Otros Activos</t>
  </si>
  <si>
    <t>Pasivos</t>
  </si>
  <si>
    <t>Obligaciones financieras de corto plazo</t>
  </si>
  <si>
    <t>Costos y gastos por pagar</t>
  </si>
  <si>
    <t>Impuestos por pagar</t>
  </si>
  <si>
    <t>Total Pasivo Corriente</t>
  </si>
  <si>
    <t>Pasivo Largo Plazo</t>
  </si>
  <si>
    <t>Obligacion Financiera</t>
  </si>
  <si>
    <t>Total Pasivo Largo Plazo</t>
  </si>
  <si>
    <t>Patrimonio</t>
  </si>
  <si>
    <t xml:space="preserve">Capital </t>
  </si>
  <si>
    <t>Utilidad acumulada</t>
  </si>
  <si>
    <t>Total Patrimonio</t>
  </si>
  <si>
    <t>TOTAL PASIVO MAS PATRIMONIO</t>
  </si>
  <si>
    <t>CUENTA DE CONTROL</t>
  </si>
  <si>
    <t>Capital Operativo</t>
  </si>
  <si>
    <t>Capital de Trabajo</t>
  </si>
  <si>
    <t>Efectivo Minimo</t>
  </si>
  <si>
    <t>Gastos Anticipados</t>
  </si>
  <si>
    <t>Total Capital de Trabajo Operativo</t>
  </si>
  <si>
    <t>Pasivos Operativos</t>
  </si>
  <si>
    <t>Costos y Gastos por pagar</t>
  </si>
  <si>
    <t>Total Pasivos Operativos</t>
  </si>
  <si>
    <t>K.T.N.O ( Capital de Trabajo Neto Operacional)</t>
  </si>
  <si>
    <t>Activos Operativos de Largo Plazo</t>
  </si>
  <si>
    <t>Propiedad Planta y Equipo</t>
  </si>
  <si>
    <t>Total Activos Operativos de largo Plazo (Brutos)</t>
  </si>
  <si>
    <t>Depreciacion Acumulada</t>
  </si>
  <si>
    <t>Amortizacion Acumulada</t>
  </si>
  <si>
    <t>Total Activos Operativos LP (Netos)</t>
  </si>
  <si>
    <t>Total Capital Operativo Bruto</t>
  </si>
  <si>
    <t>Total capital Operativo Neto</t>
  </si>
  <si>
    <t>EBIT= Utilidad Operacional</t>
  </si>
  <si>
    <t>NOPLAT (Utilidad Operativa despues de impuestos)</t>
  </si>
  <si>
    <t>VARIABLES GENERADORAS DE VALOR</t>
  </si>
  <si>
    <t>U.O.D.I = Noplat</t>
  </si>
  <si>
    <t xml:space="preserve">ROIC. Rentabilidad sobre el capital invertido </t>
  </si>
  <si>
    <t>IR Tasa de crecimiento inversion</t>
  </si>
  <si>
    <t>Crecimiento General. (g)- tasa de crecimiento</t>
  </si>
  <si>
    <t>EVA</t>
  </si>
  <si>
    <t>Valor no operacional</t>
  </si>
  <si>
    <t>TAX</t>
  </si>
  <si>
    <t>https://www.youtube.com/watch?v=BCeu6k1UnEs&amp;feature=youtu.be</t>
  </si>
  <si>
    <t>supuesto: asumimos que no habra variaciones de capital de trabajo</t>
  </si>
  <si>
    <t>asumimos no habrá inversiones capex</t>
  </si>
  <si>
    <t>Inversiones en CAPEX</t>
  </si>
  <si>
    <t>FCF(Flujo de caja libre )</t>
  </si>
  <si>
    <t xml:space="preserve">Factor descuento </t>
  </si>
  <si>
    <t>VP FCF</t>
  </si>
  <si>
    <t>WACC (Costo promedio ponderado)- Tasa de oportunidad</t>
  </si>
  <si>
    <t xml:space="preserve">Inversiones temporales </t>
  </si>
  <si>
    <t xml:space="preserve">Por fujos de caja descontados </t>
  </si>
  <si>
    <t>VP del EVA</t>
  </si>
  <si>
    <t>https://www.youtube.com/watch?v=J8zNScbarsE</t>
  </si>
  <si>
    <t xml:space="preserve">CAPITAL </t>
  </si>
  <si>
    <t xml:space="preserve">SUMA DE VP </t>
  </si>
  <si>
    <t>VA</t>
  </si>
  <si>
    <t>(-) Costo vendidos</t>
  </si>
  <si>
    <t>UAI</t>
  </si>
  <si>
    <t xml:space="preserve">(-) Pago capital deuda </t>
  </si>
  <si>
    <t xml:space="preserve">(-)Inversión </t>
  </si>
  <si>
    <t xml:space="preserve">INVERSIÓN </t>
  </si>
  <si>
    <t>Capital de trabajo</t>
  </si>
  <si>
    <t>https://www.youtube.com/watch?v=CXhT2tCJPPI&amp;t=1753s</t>
  </si>
  <si>
    <t>VP Flujos (10%)</t>
  </si>
  <si>
    <t>VPN (10%)</t>
  </si>
  <si>
    <t xml:space="preserve">FLUJO DE CAJA NETO ECONÓMICO </t>
  </si>
  <si>
    <t xml:space="preserve">FLUJO DE CAJA NETO ECONOMICO </t>
  </si>
  <si>
    <t>Utilidad de la operación= EBITDA</t>
  </si>
  <si>
    <t>UTILIDAD OPERACIONAL=UAIIDA= EBITDA</t>
  </si>
  <si>
    <t xml:space="preserve">ESTRUCTURA DE UN FLUJO DE CAJA </t>
  </si>
  <si>
    <t xml:space="preserve">Buscar medir la rentabilidad de un proyecto </t>
  </si>
  <si>
    <t>La tasa de impuestos para el sector hotelero es del 9%</t>
  </si>
  <si>
    <t xml:space="preserve">La depreciación se obtiene al aplicar la tasa anual asiganda a cada activo,  linealmente en cinco años </t>
  </si>
  <si>
    <t xml:space="preserve">Para anular el efecto de haber incluido gastos que no constituían egresos de caja, se suma la depreciación.La razón de incluirlos primero y eliminarlos después obedece </t>
  </si>
  <si>
    <t xml:space="preserve">a la importancia de incorporar el efecto tributario que estas cuentas ocasionan a favor del proyecto. </t>
  </si>
  <si>
    <t>*</t>
  </si>
  <si>
    <t xml:space="preserve">Tasa de interes= tasa de la deuda </t>
  </si>
  <si>
    <t>Costo de la deuda= tasa efectiva de la deuda</t>
  </si>
  <si>
    <t xml:space="preserve">La rentabilidad exigida al capital invertido es del 12% anual </t>
  </si>
  <si>
    <t xml:space="preserve">Flujo neto activos </t>
  </si>
  <si>
    <t xml:space="preserve">Gastos financieros </t>
  </si>
  <si>
    <t xml:space="preserve">Resultado después de impuestos </t>
  </si>
  <si>
    <t>(-) ActFijos</t>
  </si>
  <si>
    <t xml:space="preserve">TIR ACTIVOS </t>
  </si>
  <si>
    <t>Ahorro tributario del 9%</t>
  </si>
  <si>
    <t>Costo efectivo de la deuda</t>
  </si>
  <si>
    <t xml:space="preserve">Amortización de capital </t>
  </si>
  <si>
    <t xml:space="preserve">Flujo neto de la deuda </t>
  </si>
  <si>
    <t xml:space="preserve"> FLUJO DE CAJA DE LA DEUDA </t>
  </si>
  <si>
    <t xml:space="preserve"> FLUJO DEL INVERSIONISTA </t>
  </si>
  <si>
    <t>Flujo neto del inversionista</t>
  </si>
  <si>
    <t xml:space="preserve">TIR patrimonio </t>
  </si>
  <si>
    <t xml:space="preserve">VAN </t>
  </si>
  <si>
    <t>VAN 18%</t>
  </si>
  <si>
    <t xml:space="preserve">VAN ajustado </t>
  </si>
  <si>
    <t xml:space="preserve">Otra manera de llegar al flujo de caja del inversionista es calculando ambos efectos de manera independiente y luego ajustando el flujo de caja del proyecto con el efecto neto de la deuda </t>
  </si>
  <si>
    <t xml:space="preserve">Esto se conoce como el VAN AJUSTADO y se lo logra agregando el efecto del ahorro tributario de los intereses del crédito, el cual, al incluirse como un gasto, permite bajar la utilidad </t>
  </si>
  <si>
    <t>contable del proyecto y , por lo tanto, el monto de impuesto a pagar.</t>
  </si>
  <si>
    <t>Crédito</t>
  </si>
  <si>
    <t xml:space="preserve">Costo de capital del proyecto </t>
  </si>
  <si>
    <t xml:space="preserve">Flujo neto ajustado </t>
  </si>
  <si>
    <t xml:space="preserve">VAN de la deuda </t>
  </si>
  <si>
    <t xml:space="preserve">TIR ajustada </t>
  </si>
  <si>
    <t xml:space="preserve">La TIR ajustada y la TIR del inversionista son dos conceptos diferentes: mientras el primero mide la rentabilidad de los activos ajustados por el valor presente del beneficio tributario, el segundo mide la rentabilidad de los recursos efectivamente aportador por el inversinista. </t>
  </si>
  <si>
    <t>FLUJOS DE CAJA LIBRE</t>
  </si>
  <si>
    <t xml:space="preserve">Valor operativo estimado de la empresa </t>
  </si>
  <si>
    <t>Cuentas no operativas</t>
  </si>
  <si>
    <t xml:space="preserve">Deudores </t>
  </si>
  <si>
    <t>Valorizaciones</t>
  </si>
  <si>
    <t xml:space="preserve">obligaciones financieras </t>
  </si>
  <si>
    <t>Pasivos estimados y provisiones</t>
  </si>
  <si>
    <t>Valor patrimonial de la empresa</t>
  </si>
  <si>
    <t>Valor operativo estimado de la empresa (EVA)</t>
  </si>
  <si>
    <t>Variacion KTAL trabajo (Inversión neta )</t>
  </si>
  <si>
    <t xml:space="preserve">Flujos de caja por tipo </t>
  </si>
  <si>
    <t xml:space="preserve">De inversión </t>
  </si>
  <si>
    <t xml:space="preserve">Operativos </t>
  </si>
  <si>
    <t xml:space="preserve">De financiamiento </t>
  </si>
  <si>
    <t xml:space="preserve">Intereses </t>
  </si>
  <si>
    <t xml:space="preserve">Posible dividendos </t>
  </si>
  <si>
    <t xml:space="preserve">total </t>
  </si>
  <si>
    <t xml:space="preserve">Repagos de deuda </t>
  </si>
  <si>
    <t>Empresa</t>
  </si>
  <si>
    <t xml:space="preserve">Equity </t>
  </si>
  <si>
    <t xml:space="preserve">VP del EVA </t>
  </si>
  <si>
    <t>Valor agregado perpetuidad</t>
  </si>
  <si>
    <t>De los informes que se compraron</t>
  </si>
  <si>
    <t>Todo informe cotelcto</t>
  </si>
  <si>
    <t>Proyecciones respecto a los historios cotelco</t>
  </si>
  <si>
    <t>No se pone 2020 - 2021 por el tema de la pandemia</t>
  </si>
  <si>
    <t>Sale de una tesis (david va enviar)</t>
  </si>
  <si>
    <t>Obtenido estudio de mercado competencia</t>
  </si>
  <si>
    <t>Donde está</t>
  </si>
  <si>
    <t>PROYECCION CON INFLACION  ANUAL DEL 3,9%</t>
  </si>
  <si>
    <t>SACADO DE UNA TESIS</t>
  </si>
  <si>
    <t xml:space="preserve"> GASTOS  HOTEL CAMPESTRE BALCONES  VILLA DEL RÍO</t>
  </si>
  <si>
    <t xml:space="preserve">Gastos variables mensual </t>
  </si>
  <si>
    <t xml:space="preserve">Total gastos variables por mes </t>
  </si>
  <si>
    <t xml:space="preserve">Gastos fijos mensual </t>
  </si>
  <si>
    <t xml:space="preserve">Total gastos fijos por mes </t>
  </si>
  <si>
    <t xml:space="preserve">TOTAL GASTOS GLOBAL </t>
  </si>
  <si>
    <t>Promedio 5 años</t>
  </si>
  <si>
    <t xml:space="preserve">Mensual aproximado de personas alojadas </t>
  </si>
  <si>
    <t>FLUJO DE CAJA DEL INVERSIONISTA EN TÉRMINOS CORRIENTES</t>
  </si>
  <si>
    <t>FLUJO DE CAJA DEL PROYECTO EN TÉRMINOS CORRIENTES</t>
  </si>
  <si>
    <t>Ingesos por  habitación año 2022</t>
  </si>
  <si>
    <t>Ingresos por habitación año 2023</t>
  </si>
  <si>
    <t>Ingresos por  habitación año 2024</t>
  </si>
  <si>
    <t>Ingresos por habitación año 2025</t>
  </si>
  <si>
    <t>Ingresos por habitaciòn año 2026</t>
  </si>
  <si>
    <t xml:space="preserve">Casa en el árbol en bambú  Deluxe  </t>
  </si>
  <si>
    <t xml:space="preserve">Casa en el árbol en bambú  Superiores </t>
  </si>
  <si>
    <t xml:space="preserve">Casa en el árbol en bambú  suite </t>
  </si>
  <si>
    <t>Casa en el árbol en bambú sencillo</t>
  </si>
  <si>
    <t xml:space="preserve">Casa en el árbol en bambú Deluxe  </t>
  </si>
  <si>
    <t xml:space="preserve">Casa en el árbol en bambú suite </t>
  </si>
  <si>
    <t>Casa en el árbol en bambú Deluxe  x persona</t>
  </si>
  <si>
    <t xml:space="preserve">Casa en el árbol en bambú  Superiores x persona </t>
  </si>
  <si>
    <t>Casa en el árbol en bambú suite  x persona</t>
  </si>
  <si>
    <t xml:space="preserve">Casa en el árbol en bambú sencillo  x persona </t>
  </si>
  <si>
    <t xml:space="preserve">usuarios alojados x año </t>
  </si>
  <si>
    <t xml:space="preserve">USUARIOS SERVICIOS COMPPLEMENTARIOS </t>
  </si>
  <si>
    <t>SERVICIO COMPLEMENTARIO</t>
  </si>
  <si>
    <t xml:space="preserve">PRECIO POR PERSONA </t>
  </si>
  <si>
    <t xml:space="preserve">usuarios alimentación y bebida adicional </t>
  </si>
  <si>
    <t xml:space="preserve">habitaciones vendidas x año </t>
  </si>
  <si>
    <t xml:space="preserve">licores </t>
  </si>
  <si>
    <t xml:space="preserve">FLUJO DE CAJA DEL INVERSIONISTA </t>
  </si>
  <si>
    <t xml:space="preserve">Flujo de caja del proyecto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</si>
</sst>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6" formatCode="&quot;$&quot;\ #,##0;[Red]\-&quot;$&quot;\ #,##0"/>
    <numFmt numFmtId="8" formatCode="&quot;$&quot;\ #,##0.00;[Red]\-&quot;$&quot;\ #,##0.00"/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0.000"/>
    <numFmt numFmtId="165" formatCode="_-* #,##0.00_-;\-* #,##0.00_-;_-* &quot;-&quot;_-;_-@_-"/>
    <numFmt numFmtId="166" formatCode="_-* #,##0.000_-;\-* #,##0.000_-;_-* &quot;-&quot;_-;_-@_-"/>
    <numFmt numFmtId="167" formatCode="0.000%"/>
    <numFmt numFmtId="168" formatCode="_-* #,##0.000_-;\-* #,##0.000_-;_-* &quot;-&quot;???_-;_-@_-"/>
    <numFmt numFmtId="169" formatCode="0.0%"/>
    <numFmt numFmtId="170" formatCode="_ &quot;$&quot;\ * #,##0_ ;_ &quot;$&quot;\ * \-#,##0_ ;_ &quot;$&quot;\ * &quot;-&quot;_ ;_ @_ "/>
    <numFmt numFmtId="171" formatCode="_ * #,##0_ ;_ * \-#,##0_ ;_ * &quot;-&quot;_ ;_ @_ "/>
    <numFmt numFmtId="172" formatCode="_-&quot;$&quot;* #,##0_-;\-&quot;$&quot;* #,##0_-;_-&quot;$&quot;* &quot;-&quot;_-;_-@_-"/>
    <numFmt numFmtId="173" formatCode="&quot;$&quot;#,##0.00;[Red]\-&quot;$&quot;#,##0.00"/>
    <numFmt numFmtId="174" formatCode="_-&quot;$&quot;\ * #,##0.000_-;\-&quot;$&quot;\ * #,##0.000_-;_-&quot;$&quot;\ * &quot;-&quot;_-;_-@_-"/>
    <numFmt numFmtId="175" formatCode="0.0000%"/>
    <numFmt numFmtId="176" formatCode="_-[$$-240A]\ * #,##0_-;\-[$$-240A]\ * #,##0_-;_-[$$-240A]\ * &quot;-&quot;??_-;_-@_-"/>
    <numFmt numFmtId="177" formatCode="&quot;$&quot;\ #,##0;[Red]&quot;$&quot;\ #,##0"/>
    <numFmt numFmtId="178" formatCode="_-* #,##0.0000_-;\-* #,##0.0000_-;_-* &quot;-&quot;_-;_-@_-"/>
    <numFmt numFmtId="179" formatCode="#,##0;[Red]#,##0"/>
    <numFmt numFmtId="180" formatCode="#,##0_ ;[Red]\-#,##0\ "/>
    <numFmt numFmtId="181" formatCode="_-&quot;$&quot;* #,##0.00_-;\-&quot;$&quot;* #,##0.00_-;_-&quot;$&quot;* &quot;-&quot;??_-;_-@_-"/>
    <numFmt numFmtId="182" formatCode="_(* #,##0_);_(* \(#,##0\);_(* &quot;-&quot;??_);_(@_)"/>
    <numFmt numFmtId="183" formatCode="0.0000"/>
    <numFmt numFmtId="184" formatCode="_(* #,##0.00_);_(* \(#,##0.00\);_(* &quot;-&quot;??_);_(@_)"/>
    <numFmt numFmtId="185" formatCode="_(&quot;$&quot;\ * #,##0.00_);_(&quot;$&quot;\ * \(#,##0.00\);_(&quot;$&quot;\ * &quot;-&quot;??_);_(@_)"/>
    <numFmt numFmtId="186" formatCode="_-* #,##0.00\ _P_t_s_-;\-* #,##0.00\ _P_t_s_-;_-* &quot;-&quot;??\ _P_t_s_-;_-@_-"/>
    <numFmt numFmtId="187" formatCode="_-* #,##0.000\ _P_t_s_-;\-* #,##0.000\ _P_t_s_-;_-* &quot;-&quot;??\ _P_t_s_-;_-@_-"/>
    <numFmt numFmtId="188" formatCode="_-* #,##0.00\ &quot;Pts&quot;_-;\-* #,##0.00\ &quot;Pts&quot;_-;_-* &quot;-&quot;??\ &quot;Pts&quot;_-;_-@_-"/>
    <numFmt numFmtId="189" formatCode="_-* #,##0\ _P_t_s_-;\-* #,##0\ _P_t_s_-;_-* &quot;-&quot;??\ _P_t_s_-;_-@_-"/>
    <numFmt numFmtId="190" formatCode="#,##0\ _€"/>
    <numFmt numFmtId="191" formatCode="_-* #,##0.00\ _€_-;\-* #,##0.00\ _€_-;_-* &quot;-&quot;??\ _€_-;_-@_-"/>
    <numFmt numFmtId="192" formatCode="_-* #,##0\ _€_-;\-* #,##0\ _€_-;_-* &quot;-&quot;??\ _€_-;_-@_-"/>
    <numFmt numFmtId="193" formatCode="_(* #,##0.000_);_(* \(#,##0.000\);_(* &quot;-&quot;??_);_(@_)"/>
    <numFmt numFmtId="194" formatCode="_(&quot;$&quot;\ * #,##0_);_(&quot;$&quot;\ * \(#,##0\);_(&quot;$&quot;\ * &quot;-&quot;??_);_(@_)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</font>
    <font>
      <b/>
      <sz val="14"/>
      <name val="Calibri"/>
      <family val="2"/>
      <scheme val="minor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2CDC1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22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D8D8D8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91" fontId="1" fillId="0" borderId="0" applyFont="0" applyFill="0" applyBorder="0" applyAlignment="0" applyProtection="0"/>
  </cellStyleXfs>
  <cellXfs count="787">
    <xf numFmtId="0" fontId="0" fillId="0" borderId="0" xfId="0"/>
    <xf numFmtId="0" fontId="0" fillId="0" borderId="1" xfId="0" applyBorder="1"/>
    <xf numFmtId="42" fontId="0" fillId="0" borderId="1" xfId="2" applyFont="1" applyBorder="1"/>
    <xf numFmtId="0" fontId="2" fillId="0" borderId="0" xfId="0" applyFont="1"/>
    <xf numFmtId="0" fontId="2" fillId="0" borderId="1" xfId="0" applyFont="1" applyBorder="1"/>
    <xf numFmtId="0" fontId="0" fillId="0" borderId="1" xfId="0" applyFill="1" applyBorder="1"/>
    <xf numFmtId="0" fontId="2" fillId="0" borderId="1" xfId="0" applyFont="1" applyBorder="1" applyAlignment="1">
      <alignment horizontal="center"/>
    </xf>
    <xf numFmtId="0" fontId="0" fillId="2" borderId="1" xfId="0" applyFill="1" applyBorder="1"/>
    <xf numFmtId="0" fontId="2" fillId="2" borderId="0" xfId="0" applyFont="1" applyFill="1" applyBorder="1"/>
    <xf numFmtId="0" fontId="0" fillId="2" borderId="0" xfId="0" applyFont="1" applyFill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/>
    <xf numFmtId="0" fontId="0" fillId="0" borderId="2" xfId="0" applyFill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1" fontId="0" fillId="0" borderId="0" xfId="0" applyNumberFormat="1"/>
    <xf numFmtId="0" fontId="3" fillId="0" borderId="0" xfId="0" applyFont="1"/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3" fillId="0" borderId="1" xfId="0" applyFont="1" applyBorder="1"/>
    <xf numFmtId="0" fontId="0" fillId="2" borderId="1" xfId="0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2" fillId="0" borderId="0" xfId="0" applyFont="1" applyBorder="1"/>
    <xf numFmtId="42" fontId="0" fillId="0" borderId="0" xfId="2" applyFont="1" applyAlignment="1">
      <alignment horizontal="center"/>
    </xf>
    <xf numFmtId="42" fontId="2" fillId="0" borderId="1" xfId="2" applyFont="1" applyBorder="1" applyAlignment="1">
      <alignment horizontal="center"/>
    </xf>
    <xf numFmtId="41" fontId="0" fillId="0" borderId="1" xfId="1" applyFont="1" applyBorder="1"/>
    <xf numFmtId="41" fontId="0" fillId="0" borderId="1" xfId="1" applyFon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0" fontId="2" fillId="3" borderId="1" xfId="0" applyFont="1" applyFill="1" applyBorder="1"/>
    <xf numFmtId="41" fontId="0" fillId="3" borderId="1" xfId="1" applyFont="1" applyFill="1" applyBorder="1" applyAlignment="1">
      <alignment horizontal="center"/>
    </xf>
    <xf numFmtId="41" fontId="2" fillId="0" borderId="1" xfId="1" applyFont="1" applyBorder="1" applyAlignment="1">
      <alignment horizontal="center"/>
    </xf>
    <xf numFmtId="41" fontId="0" fillId="0" borderId="0" xfId="0" applyNumberFormat="1"/>
    <xf numFmtId="41" fontId="2" fillId="0" borderId="1" xfId="0" applyNumberFormat="1" applyFont="1" applyBorder="1"/>
    <xf numFmtId="41" fontId="2" fillId="0" borderId="1" xfId="0" applyNumberFormat="1" applyFont="1" applyBorder="1" applyAlignment="1">
      <alignment horizontal="center"/>
    </xf>
    <xf numFmtId="41" fontId="2" fillId="0" borderId="1" xfId="1" applyFont="1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165" fontId="2" fillId="0" borderId="1" xfId="1" applyNumberFormat="1" applyFont="1" applyBorder="1" applyAlignment="1">
      <alignment horizontal="center"/>
    </xf>
    <xf numFmtId="166" fontId="2" fillId="0" borderId="1" xfId="1" applyNumberFormat="1" applyFont="1" applyBorder="1" applyAlignment="1">
      <alignment horizontal="center"/>
    </xf>
    <xf numFmtId="41" fontId="0" fillId="0" borderId="0" xfId="1" applyFont="1" applyFill="1" applyBorder="1"/>
    <xf numFmtId="41" fontId="2" fillId="3" borderId="1" xfId="1" applyFont="1" applyFill="1" applyBorder="1"/>
    <xf numFmtId="42" fontId="0" fillId="0" borderId="0" xfId="2" applyFont="1"/>
    <xf numFmtId="164" fontId="2" fillId="3" borderId="1" xfId="0" applyNumberFormat="1" applyFont="1" applyFill="1" applyBorder="1"/>
    <xf numFmtId="167" fontId="0" fillId="0" borderId="0" xfId="3" applyNumberFormat="1" applyFont="1"/>
    <xf numFmtId="0" fontId="2" fillId="0" borderId="0" xfId="0" applyFont="1" applyFill="1"/>
    <xf numFmtId="168" fontId="0" fillId="0" borderId="0" xfId="0" applyNumberFormat="1" applyAlignment="1">
      <alignment horizontal="center"/>
    </xf>
    <xf numFmtId="0" fontId="2" fillId="0" borderId="0" xfId="0" applyFont="1" applyFill="1" applyBorder="1" applyAlignment="1">
      <alignment horizontal="center"/>
    </xf>
    <xf numFmtId="165" fontId="0" fillId="0" borderId="0" xfId="1" applyNumberFormat="1" applyFont="1" applyBorder="1"/>
    <xf numFmtId="41" fontId="0" fillId="0" borderId="0" xfId="1" applyFont="1"/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41" fontId="0" fillId="0" borderId="1" xfId="1" applyFont="1" applyBorder="1" applyAlignment="1"/>
    <xf numFmtId="0" fontId="2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41" fontId="0" fillId="0" borderId="1" xfId="1" applyFont="1" applyFill="1" applyBorder="1" applyAlignment="1">
      <alignment horizontal="center"/>
    </xf>
    <xf numFmtId="41" fontId="0" fillId="3" borderId="1" xfId="1" applyFont="1" applyFill="1" applyBorder="1"/>
    <xf numFmtId="0" fontId="0" fillId="3" borderId="2" xfId="0" applyFill="1" applyBorder="1"/>
    <xf numFmtId="41" fontId="0" fillId="0" borderId="1" xfId="1" applyFont="1" applyFill="1" applyBorder="1"/>
    <xf numFmtId="0" fontId="0" fillId="3" borderId="1" xfId="0" applyFont="1" applyFill="1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3" borderId="1" xfId="4" applyFill="1" applyBorder="1"/>
    <xf numFmtId="0" fontId="4" fillId="3" borderId="0" xfId="4" applyFill="1"/>
    <xf numFmtId="0" fontId="0" fillId="4" borderId="1" xfId="0" applyFill="1" applyBorder="1" applyAlignment="1">
      <alignment horizontal="center"/>
    </xf>
    <xf numFmtId="41" fontId="0" fillId="0" borderId="0" xfId="1" applyFont="1" applyAlignment="1">
      <alignment horizontal="center"/>
    </xf>
    <xf numFmtId="0" fontId="0" fillId="5" borderId="1" xfId="0" applyFill="1" applyBorder="1"/>
    <xf numFmtId="0" fontId="0" fillId="0" borderId="0" xfId="0" applyAlignment="1">
      <alignment vertical="center"/>
    </xf>
    <xf numFmtId="0" fontId="2" fillId="0" borderId="0" xfId="0" applyFont="1" applyBorder="1" applyAlignment="1">
      <alignment horizontal="center"/>
    </xf>
    <xf numFmtId="41" fontId="2" fillId="0" borderId="0" xfId="1" applyFont="1" applyBorder="1" applyAlignment="1">
      <alignment horizontal="center"/>
    </xf>
    <xf numFmtId="41" fontId="0" fillId="0" borderId="1" xfId="0" applyNumberFormat="1" applyBorder="1"/>
    <xf numFmtId="0" fontId="0" fillId="3" borderId="1" xfId="0" applyFill="1" applyBorder="1" applyAlignment="1">
      <alignment vertical="center" wrapText="1"/>
    </xf>
    <xf numFmtId="170" fontId="7" fillId="0" borderId="0" xfId="5" applyFont="1" applyAlignment="1">
      <alignment horizontal="center" vertical="center"/>
    </xf>
    <xf numFmtId="170" fontId="7" fillId="0" borderId="0" xfId="5" applyFont="1" applyAlignment="1">
      <alignment vertical="center"/>
    </xf>
    <xf numFmtId="170" fontId="7" fillId="0" borderId="0" xfId="5" applyFont="1" applyFill="1" applyAlignment="1">
      <alignment vertical="center"/>
    </xf>
    <xf numFmtId="170" fontId="7" fillId="0" borderId="0" xfId="5" applyFont="1" applyFill="1" applyBorder="1" applyAlignment="1">
      <alignment vertical="center"/>
    </xf>
    <xf numFmtId="170" fontId="8" fillId="0" borderId="0" xfId="5" applyFont="1" applyAlignment="1">
      <alignment horizontal="center" vertical="center"/>
    </xf>
    <xf numFmtId="170" fontId="8" fillId="0" borderId="0" xfId="5" applyFont="1" applyFill="1" applyAlignment="1">
      <alignment vertical="center"/>
    </xf>
    <xf numFmtId="170" fontId="2" fillId="6" borderId="8" xfId="5" applyFont="1" applyFill="1" applyBorder="1" applyAlignment="1">
      <alignment horizontal="center" vertical="center"/>
    </xf>
    <xf numFmtId="170" fontId="2" fillId="0" borderId="0" xfId="5" applyFont="1" applyAlignment="1">
      <alignment vertical="center"/>
    </xf>
    <xf numFmtId="170" fontId="1" fillId="0" borderId="0" xfId="5" applyFont="1" applyFill="1" applyBorder="1" applyAlignment="1">
      <alignment vertical="center"/>
    </xf>
    <xf numFmtId="170" fontId="1" fillId="0" borderId="0" xfId="5" applyFont="1" applyAlignment="1">
      <alignment horizontal="left" vertical="center"/>
    </xf>
    <xf numFmtId="170" fontId="1" fillId="0" borderId="0" xfId="5" applyFont="1" applyFill="1" applyAlignment="1">
      <alignment horizontal="left" vertical="center"/>
    </xf>
    <xf numFmtId="170" fontId="7" fillId="0" borderId="0" xfId="5" applyFont="1" applyFill="1" applyAlignment="1">
      <alignment horizontal="center" vertical="center"/>
    </xf>
    <xf numFmtId="170" fontId="8" fillId="7" borderId="4" xfId="5" applyFont="1" applyFill="1" applyBorder="1" applyAlignment="1">
      <alignment vertical="center" wrapText="1"/>
    </xf>
    <xf numFmtId="170" fontId="8" fillId="0" borderId="0" xfId="5" applyFont="1" applyFill="1" applyAlignment="1">
      <alignment vertical="center" wrapText="1"/>
    </xf>
    <xf numFmtId="170" fontId="8" fillId="6" borderId="8" xfId="5" applyFont="1" applyFill="1" applyBorder="1" applyAlignment="1">
      <alignment vertical="center" wrapText="1"/>
    </xf>
    <xf numFmtId="170" fontId="8" fillId="0" borderId="0" xfId="5" applyFont="1" applyFill="1" applyBorder="1" applyAlignment="1">
      <alignment vertical="center" wrapText="1"/>
    </xf>
    <xf numFmtId="170" fontId="8" fillId="6" borderId="4" xfId="5" applyFont="1" applyFill="1" applyBorder="1" applyAlignment="1">
      <alignment vertical="center" wrapText="1"/>
    </xf>
    <xf numFmtId="170" fontId="8" fillId="7" borderId="8" xfId="5" applyFont="1" applyFill="1" applyBorder="1" applyAlignment="1">
      <alignment vertical="center" wrapText="1"/>
    </xf>
    <xf numFmtId="170" fontId="8" fillId="6" borderId="9" xfId="5" applyFont="1" applyFill="1" applyBorder="1" applyAlignment="1">
      <alignment vertical="center" wrapText="1"/>
    </xf>
    <xf numFmtId="170" fontId="5" fillId="4" borderId="0" xfId="5" applyFont="1" applyFill="1" applyAlignment="1">
      <alignment vertical="center"/>
    </xf>
    <xf numFmtId="170" fontId="0" fillId="0" borderId="0" xfId="5" applyFont="1" applyAlignment="1">
      <alignment horizontal="left" vertical="center"/>
    </xf>
    <xf numFmtId="41" fontId="2" fillId="6" borderId="4" xfId="1" applyFont="1" applyFill="1" applyBorder="1" applyAlignment="1">
      <alignment vertical="center"/>
    </xf>
    <xf numFmtId="41" fontId="1" fillId="0" borderId="0" xfId="1" applyFont="1" applyAlignment="1">
      <alignment vertical="center"/>
    </xf>
    <xf numFmtId="41" fontId="7" fillId="0" borderId="0" xfId="1" applyFont="1" applyFill="1" applyBorder="1" applyAlignment="1">
      <alignment vertical="center"/>
    </xf>
    <xf numFmtId="41" fontId="7" fillId="0" borderId="0" xfId="1" applyFont="1" applyFill="1" applyAlignment="1">
      <alignment horizontal="left" vertical="center"/>
    </xf>
    <xf numFmtId="41" fontId="1" fillId="0" borderId="0" xfId="1" applyFont="1" applyFill="1" applyAlignment="1">
      <alignment horizontal="left" vertical="center"/>
    </xf>
    <xf numFmtId="41" fontId="1" fillId="0" borderId="0" xfId="1" applyFont="1" applyFill="1" applyAlignment="1">
      <alignment vertical="center"/>
    </xf>
    <xf numFmtId="41" fontId="2" fillId="6" borderId="8" xfId="1" applyFont="1" applyFill="1" applyBorder="1" applyAlignment="1">
      <alignment vertical="center"/>
    </xf>
    <xf numFmtId="41" fontId="8" fillId="6" borderId="8" xfId="1" applyFont="1" applyFill="1" applyBorder="1" applyAlignment="1">
      <alignment vertical="center"/>
    </xf>
    <xf numFmtId="41" fontId="8" fillId="6" borderId="9" xfId="1" applyFont="1" applyFill="1" applyBorder="1" applyAlignment="1">
      <alignment vertical="center"/>
    </xf>
    <xf numFmtId="41" fontId="5" fillId="4" borderId="0" xfId="1" applyFont="1" applyFill="1" applyAlignment="1">
      <alignment vertical="center"/>
    </xf>
    <xf numFmtId="170" fontId="8" fillId="0" borderId="0" xfId="5" applyFont="1" applyAlignment="1">
      <alignment vertical="center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41" fontId="0" fillId="0" borderId="0" xfId="1" applyFont="1" applyAlignment="1">
      <alignment horizontal="left"/>
    </xf>
    <xf numFmtId="170" fontId="8" fillId="7" borderId="4" xfId="5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/>
    </xf>
    <xf numFmtId="170" fontId="8" fillId="7" borderId="4" xfId="5" applyFont="1" applyFill="1" applyBorder="1" applyAlignment="1">
      <alignment horizontal="left" vertical="center" wrapText="1"/>
    </xf>
    <xf numFmtId="0" fontId="0" fillId="0" borderId="7" xfId="0" applyFill="1" applyBorder="1" applyAlignment="1">
      <alignment horizontal="center" vertical="center" wrapText="1"/>
    </xf>
    <xf numFmtId="41" fontId="0" fillId="0" borderId="7" xfId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/>
    </xf>
    <xf numFmtId="41" fontId="0" fillId="0" borderId="0" xfId="1" applyFont="1" applyFill="1" applyAlignment="1">
      <alignment horizontal="center"/>
    </xf>
    <xf numFmtId="0" fontId="2" fillId="5" borderId="1" xfId="0" applyFont="1" applyFill="1" applyBorder="1"/>
    <xf numFmtId="0" fontId="2" fillId="9" borderId="1" xfId="0" applyFont="1" applyFill="1" applyBorder="1"/>
    <xf numFmtId="0" fontId="2" fillId="9" borderId="1" xfId="0" applyFont="1" applyFill="1" applyBorder="1" applyAlignment="1">
      <alignment horizontal="center"/>
    </xf>
    <xf numFmtId="41" fontId="2" fillId="9" borderId="1" xfId="1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6" borderId="1" xfId="0" applyFont="1" applyFill="1" applyBorder="1"/>
    <xf numFmtId="0" fontId="2" fillId="6" borderId="1" xfId="0" applyFont="1" applyFill="1" applyBorder="1" applyAlignment="1">
      <alignment horizontal="center"/>
    </xf>
    <xf numFmtId="41" fontId="2" fillId="6" borderId="1" xfId="1" applyFont="1" applyFill="1" applyBorder="1" applyAlignment="1">
      <alignment horizontal="center"/>
    </xf>
    <xf numFmtId="41" fontId="2" fillId="10" borderId="1" xfId="1" applyFont="1" applyFill="1" applyBorder="1"/>
    <xf numFmtId="41" fontId="2" fillId="6" borderId="1" xfId="1" applyFont="1" applyFill="1" applyBorder="1"/>
    <xf numFmtId="41" fontId="2" fillId="9" borderId="1" xfId="1" applyFont="1" applyFill="1" applyBorder="1"/>
    <xf numFmtId="0" fontId="0" fillId="9" borderId="1" xfId="0" applyFill="1" applyBorder="1" applyAlignment="1">
      <alignment horizontal="center"/>
    </xf>
    <xf numFmtId="170" fontId="8" fillId="7" borderId="1" xfId="5" applyFont="1" applyFill="1" applyBorder="1" applyAlignment="1">
      <alignment horizontal="center" vertical="center" wrapText="1"/>
    </xf>
    <xf numFmtId="0" fontId="2" fillId="6" borderId="3" xfId="0" applyFont="1" applyFill="1" applyBorder="1" applyAlignment="1"/>
    <xf numFmtId="0" fontId="2" fillId="6" borderId="4" xfId="0" applyFont="1" applyFill="1" applyBorder="1" applyAlignment="1"/>
    <xf numFmtId="0" fontId="2" fillId="6" borderId="0" xfId="0" applyFont="1" applyFill="1"/>
    <xf numFmtId="42" fontId="2" fillId="6" borderId="1" xfId="0" applyNumberFormat="1" applyFont="1" applyFill="1" applyBorder="1" applyAlignment="1">
      <alignment horizontal="center"/>
    </xf>
    <xf numFmtId="41" fontId="2" fillId="9" borderId="1" xfId="1" applyFont="1" applyFill="1" applyBorder="1" applyAlignment="1"/>
    <xf numFmtId="3" fontId="0" fillId="0" borderId="0" xfId="0" applyNumberFormat="1"/>
    <xf numFmtId="3" fontId="10" fillId="0" borderId="0" xfId="0" applyNumberFormat="1" applyFont="1" applyFill="1" applyBorder="1"/>
    <xf numFmtId="0" fontId="10" fillId="0" borderId="0" xfId="0" applyFont="1" applyFill="1" applyBorder="1"/>
    <xf numFmtId="3" fontId="0" fillId="0" borderId="0" xfId="0" applyNumberFormat="1" applyFill="1" applyBorder="1"/>
    <xf numFmtId="3" fontId="0" fillId="0" borderId="6" xfId="0" applyNumberFormat="1" applyBorder="1"/>
    <xf numFmtId="0" fontId="0" fillId="0" borderId="6" xfId="0" applyBorder="1"/>
    <xf numFmtId="3" fontId="2" fillId="0" borderId="0" xfId="0" applyNumberFormat="1" applyFont="1" applyFill="1" applyBorder="1"/>
    <xf numFmtId="3" fontId="2" fillId="5" borderId="1" xfId="0" applyNumberFormat="1" applyFont="1" applyFill="1" applyBorder="1"/>
    <xf numFmtId="3" fontId="0" fillId="0" borderId="1" xfId="0" applyNumberFormat="1" applyBorder="1"/>
    <xf numFmtId="0" fontId="0" fillId="0" borderId="16" xfId="0" applyFill="1" applyBorder="1"/>
    <xf numFmtId="3" fontId="0" fillId="0" borderId="15" xfId="0" applyNumberFormat="1" applyFill="1" applyBorder="1"/>
    <xf numFmtId="0" fontId="2" fillId="9" borderId="14" xfId="0" applyFont="1" applyFill="1" applyBorder="1"/>
    <xf numFmtId="3" fontId="2" fillId="9" borderId="13" xfId="0" applyNumberFormat="1" applyFont="1" applyFill="1" applyBorder="1"/>
    <xf numFmtId="0" fontId="10" fillId="9" borderId="12" xfId="0" applyFont="1" applyFill="1" applyBorder="1"/>
    <xf numFmtId="3" fontId="10" fillId="9" borderId="11" xfId="0" applyNumberFormat="1" applyFont="1" applyFill="1" applyBorder="1"/>
    <xf numFmtId="3" fontId="10" fillId="9" borderId="12" xfId="0" applyNumberFormat="1" applyFont="1" applyFill="1" applyBorder="1"/>
    <xf numFmtId="0" fontId="0" fillId="0" borderId="1" xfId="0" applyFill="1" applyBorder="1" applyAlignment="1">
      <alignment horizontal="left"/>
    </xf>
    <xf numFmtId="0" fontId="2" fillId="9" borderId="2" xfId="0" applyFont="1" applyFill="1" applyBorder="1"/>
    <xf numFmtId="41" fontId="2" fillId="9" borderId="0" xfId="0" applyNumberFormat="1" applyFont="1" applyFill="1" applyAlignment="1">
      <alignment horizontal="center"/>
    </xf>
    <xf numFmtId="41" fontId="2" fillId="9" borderId="1" xfId="0" applyNumberFormat="1" applyFont="1" applyFill="1" applyBorder="1" applyAlignment="1">
      <alignment horizontal="center"/>
    </xf>
    <xf numFmtId="41" fontId="2" fillId="9" borderId="1" xfId="0" applyNumberFormat="1" applyFont="1" applyFill="1" applyBorder="1"/>
    <xf numFmtId="42" fontId="0" fillId="0" borderId="0" xfId="0" applyNumberFormat="1"/>
    <xf numFmtId="41" fontId="2" fillId="0" borderId="0" xfId="0" applyNumberFormat="1" applyFont="1" applyFill="1" applyBorder="1" applyAlignment="1">
      <alignment horizontal="center"/>
    </xf>
    <xf numFmtId="0" fontId="6" fillId="0" borderId="0" xfId="7"/>
    <xf numFmtId="0" fontId="8" fillId="0" borderId="0" xfId="7" applyFont="1" applyFill="1" applyAlignment="1">
      <alignment vertical="center"/>
    </xf>
    <xf numFmtId="0" fontId="1" fillId="0" borderId="0" xfId="7" applyFont="1" applyAlignment="1">
      <alignment horizontal="left" vertical="center"/>
    </xf>
    <xf numFmtId="0" fontId="2" fillId="0" borderId="0" xfId="7" applyFont="1" applyAlignment="1">
      <alignment horizontal="left" vertical="center"/>
    </xf>
    <xf numFmtId="0" fontId="11" fillId="0" borderId="0" xfId="7" applyFont="1" applyFill="1" applyBorder="1" applyAlignment="1">
      <alignment vertical="center" wrapText="1"/>
    </xf>
    <xf numFmtId="0" fontId="12" fillId="0" borderId="0" xfId="7" applyFont="1"/>
    <xf numFmtId="0" fontId="9" fillId="0" borderId="0" xfId="7" applyFont="1" applyAlignment="1">
      <alignment vertical="center"/>
    </xf>
    <xf numFmtId="0" fontId="11" fillId="11" borderId="8" xfId="7" applyFont="1" applyFill="1" applyBorder="1" applyAlignment="1">
      <alignment vertical="center" wrapText="1"/>
    </xf>
    <xf numFmtId="41" fontId="11" fillId="11" borderId="8" xfId="1" applyFont="1" applyFill="1" applyBorder="1" applyAlignment="1">
      <alignment vertical="center" wrapText="1"/>
    </xf>
    <xf numFmtId="41" fontId="11" fillId="0" borderId="0" xfId="1" applyFont="1" applyFill="1" applyBorder="1" applyAlignment="1">
      <alignment vertical="center" wrapText="1"/>
    </xf>
    <xf numFmtId="41" fontId="12" fillId="0" borderId="0" xfId="1" applyFont="1"/>
    <xf numFmtId="0" fontId="0" fillId="0" borderId="0" xfId="7" applyFont="1" applyAlignment="1">
      <alignment horizontal="left" vertical="center"/>
    </xf>
    <xf numFmtId="0" fontId="0" fillId="0" borderId="1" xfId="0" applyBorder="1" applyAlignment="1">
      <alignment horizontal="center"/>
    </xf>
    <xf numFmtId="170" fontId="8" fillId="7" borderId="1" xfId="5" applyFont="1" applyFill="1" applyBorder="1" applyAlignment="1">
      <alignment vertical="center" wrapText="1"/>
    </xf>
    <xf numFmtId="170" fontId="8" fillId="12" borderId="1" xfId="5" applyFont="1" applyFill="1" applyBorder="1" applyAlignment="1">
      <alignment horizontal="center" vertical="center" wrapText="1"/>
    </xf>
    <xf numFmtId="9" fontId="0" fillId="0" borderId="1" xfId="3" applyFont="1" applyBorder="1"/>
    <xf numFmtId="9" fontId="0" fillId="0" borderId="1" xfId="0" applyNumberFormat="1" applyBorder="1"/>
    <xf numFmtId="2" fontId="0" fillId="0" borderId="1" xfId="0" applyNumberFormat="1" applyBorder="1" applyAlignment="1">
      <alignment horizontal="center"/>
    </xf>
    <xf numFmtId="0" fontId="4" fillId="0" borderId="0" xfId="4"/>
    <xf numFmtId="9" fontId="2" fillId="10" borderId="1" xfId="3" applyFont="1" applyFill="1" applyBorder="1" applyAlignment="1">
      <alignment horizontal="center"/>
    </xf>
    <xf numFmtId="169" fontId="0" fillId="0" borderId="1" xfId="3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0" fontId="0" fillId="0" borderId="1" xfId="3" applyNumberFormat="1" applyFon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42" fontId="2" fillId="0" borderId="1" xfId="0" applyNumberFormat="1" applyFont="1" applyBorder="1" applyAlignment="1">
      <alignment horizontal="center"/>
    </xf>
    <xf numFmtId="42" fontId="2" fillId="0" borderId="1" xfId="0" applyNumberFormat="1" applyFont="1" applyBorder="1"/>
    <xf numFmtId="0" fontId="2" fillId="0" borderId="1" xfId="0" applyFont="1" applyFill="1" applyBorder="1"/>
    <xf numFmtId="9" fontId="0" fillId="0" borderId="0" xfId="3" applyFont="1" applyBorder="1" applyAlignment="1">
      <alignment horizontal="center"/>
    </xf>
    <xf numFmtId="169" fontId="0" fillId="0" borderId="0" xfId="0" applyNumberFormat="1" applyAlignment="1">
      <alignment horizontal="center"/>
    </xf>
    <xf numFmtId="10" fontId="0" fillId="0" borderId="0" xfId="3" applyNumberFormat="1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1" fontId="2" fillId="0" borderId="1" xfId="0" applyNumberFormat="1" applyFont="1" applyBorder="1"/>
    <xf numFmtId="0" fontId="0" fillId="0" borderId="1" xfId="0" applyFon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166" fontId="0" fillId="0" borderId="1" xfId="1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41" fontId="0" fillId="0" borderId="1" xfId="1" applyFont="1" applyBorder="1" applyAlignment="1">
      <alignment horizontal="left"/>
    </xf>
    <xf numFmtId="41" fontId="2" fillId="3" borderId="1" xfId="1" applyFont="1" applyFill="1" applyBorder="1" applyAlignment="1">
      <alignment horizontal="center"/>
    </xf>
    <xf numFmtId="0" fontId="2" fillId="9" borderId="1" xfId="0" applyFont="1" applyFill="1" applyBorder="1" applyAlignment="1">
      <alignment horizontal="left"/>
    </xf>
    <xf numFmtId="41" fontId="0" fillId="0" borderId="0" xfId="1" applyFont="1" applyBorder="1"/>
    <xf numFmtId="0" fontId="11" fillId="0" borderId="0" xfId="7" applyFont="1" applyFill="1" applyBorder="1" applyAlignment="1">
      <alignment horizontal="center" vertical="center" wrapText="1"/>
    </xf>
    <xf numFmtId="0" fontId="6" fillId="0" borderId="0" xfId="7" applyFill="1"/>
    <xf numFmtId="0" fontId="6" fillId="0" borderId="1" xfId="7" applyFill="1" applyBorder="1"/>
    <xf numFmtId="172" fontId="6" fillId="0" borderId="0" xfId="7" applyNumberFormat="1" applyFill="1"/>
    <xf numFmtId="172" fontId="6" fillId="0" borderId="1" xfId="7" applyNumberFormat="1" applyFill="1" applyBorder="1"/>
    <xf numFmtId="173" fontId="6" fillId="0" borderId="1" xfId="7" applyNumberFormat="1" applyFill="1" applyBorder="1"/>
    <xf numFmtId="173" fontId="6" fillId="0" borderId="0" xfId="7" applyNumberFormat="1" applyFill="1"/>
    <xf numFmtId="10" fontId="0" fillId="0" borderId="0" xfId="8" applyNumberFormat="1" applyFont="1" applyFill="1"/>
    <xf numFmtId="0" fontId="6" fillId="2" borderId="1" xfId="7" applyFill="1" applyBorder="1"/>
    <xf numFmtId="0" fontId="6" fillId="4" borderId="1" xfId="7" applyFill="1" applyBorder="1"/>
    <xf numFmtId="0" fontId="6" fillId="13" borderId="1" xfId="7" applyFill="1" applyBorder="1"/>
    <xf numFmtId="10" fontId="6" fillId="0" borderId="0" xfId="3" applyNumberFormat="1" applyFont="1" applyFill="1"/>
    <xf numFmtId="41" fontId="0" fillId="0" borderId="7" xfId="1" applyFont="1" applyBorder="1"/>
    <xf numFmtId="42" fontId="6" fillId="0" borderId="0" xfId="2" applyFont="1" applyFill="1"/>
    <xf numFmtId="174" fontId="6" fillId="0" borderId="0" xfId="2" applyNumberFormat="1" applyFont="1" applyFill="1"/>
    <xf numFmtId="0" fontId="2" fillId="6" borderId="6" xfId="0" applyFont="1" applyFill="1" applyBorder="1" applyAlignment="1">
      <alignment horizontal="center"/>
    </xf>
    <xf numFmtId="170" fontId="0" fillId="0" borderId="0" xfId="5" applyFont="1" applyFill="1" applyAlignment="1">
      <alignment horizontal="left" vertical="center"/>
    </xf>
    <xf numFmtId="170" fontId="2" fillId="0" borderId="0" xfId="5" applyFont="1" applyFill="1" applyAlignment="1">
      <alignment horizontal="left" vertical="center"/>
    </xf>
    <xf numFmtId="10" fontId="7" fillId="0" borderId="0" xfId="3" applyNumberFormat="1" applyFont="1" applyFill="1" applyBorder="1" applyAlignment="1">
      <alignment vertical="center"/>
    </xf>
    <xf numFmtId="0" fontId="2" fillId="1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70" fontId="7" fillId="2" borderId="0" xfId="5" applyFont="1" applyFill="1" applyAlignment="1">
      <alignment vertical="center"/>
    </xf>
    <xf numFmtId="9" fontId="8" fillId="6" borderId="1" xfId="3" applyFont="1" applyFill="1" applyBorder="1" applyAlignment="1">
      <alignment horizontal="center" vertical="center"/>
    </xf>
    <xf numFmtId="170" fontId="8" fillId="6" borderId="1" xfId="5" applyFont="1" applyFill="1" applyBorder="1" applyAlignment="1">
      <alignment horizontal="center" vertical="center"/>
    </xf>
    <xf numFmtId="169" fontId="8" fillId="6" borderId="1" xfId="3" applyNumberFormat="1" applyFont="1" applyFill="1" applyBorder="1" applyAlignment="1">
      <alignment horizontal="center" vertical="center"/>
    </xf>
    <xf numFmtId="41" fontId="0" fillId="0" borderId="0" xfId="0" applyNumberFormat="1" applyAlignment="1">
      <alignment horizontal="center"/>
    </xf>
    <xf numFmtId="169" fontId="0" fillId="0" borderId="0" xfId="3" applyNumberFormat="1" applyFont="1" applyBorder="1" applyAlignment="1">
      <alignment horizontal="center"/>
    </xf>
    <xf numFmtId="10" fontId="0" fillId="0" borderId="0" xfId="3" applyNumberFormat="1" applyFont="1" applyBorder="1" applyAlignment="1">
      <alignment horizontal="center"/>
    </xf>
    <xf numFmtId="10" fontId="0" fillId="0" borderId="0" xfId="0" applyNumberFormat="1"/>
    <xf numFmtId="169" fontId="0" fillId="0" borderId="1" xfId="0" applyNumberFormat="1" applyBorder="1" applyAlignment="1">
      <alignment horizontal="center"/>
    </xf>
    <xf numFmtId="42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42" fontId="2" fillId="0" borderId="0" xfId="0" applyNumberFormat="1" applyFont="1" applyFill="1" applyBorder="1"/>
    <xf numFmtId="42" fontId="2" fillId="13" borderId="1" xfId="2" applyFont="1" applyFill="1" applyBorder="1" applyAlignment="1">
      <alignment horizontal="center"/>
    </xf>
    <xf numFmtId="42" fontId="2" fillId="13" borderId="1" xfId="0" applyNumberFormat="1" applyFont="1" applyFill="1" applyBorder="1"/>
    <xf numFmtId="166" fontId="0" fillId="0" borderId="1" xfId="0" applyNumberFormat="1" applyBorder="1" applyAlignment="1">
      <alignment horizontal="center"/>
    </xf>
    <xf numFmtId="10" fontId="6" fillId="0" borderId="0" xfId="3" applyNumberFormat="1" applyFont="1"/>
    <xf numFmtId="166" fontId="7" fillId="0" borderId="0" xfId="1" applyNumberFormat="1" applyFont="1" applyFill="1" applyBorder="1" applyAlignment="1">
      <alignment vertical="center"/>
    </xf>
    <xf numFmtId="41" fontId="7" fillId="0" borderId="0" xfId="1" applyFont="1" applyFill="1" applyBorder="1" applyAlignment="1">
      <alignment horizontal="center" vertical="center"/>
    </xf>
    <xf numFmtId="170" fontId="2" fillId="6" borderId="8" xfId="5" applyFont="1" applyFill="1" applyBorder="1" applyAlignment="1">
      <alignment horizontal="left" vertical="center"/>
    </xf>
    <xf numFmtId="41" fontId="7" fillId="0" borderId="0" xfId="1" applyFont="1" applyAlignment="1">
      <alignment horizontal="center" vertical="center"/>
    </xf>
    <xf numFmtId="170" fontId="2" fillId="0" borderId="0" xfId="5" applyFont="1" applyFill="1" applyBorder="1" applyAlignment="1">
      <alignment horizontal="left" vertical="center"/>
    </xf>
    <xf numFmtId="41" fontId="7" fillId="0" borderId="0" xfId="1" applyFont="1" applyAlignment="1">
      <alignment vertical="center"/>
    </xf>
    <xf numFmtId="9" fontId="0" fillId="0" borderId="0" xfId="0" applyNumberFormat="1"/>
    <xf numFmtId="175" fontId="7" fillId="0" borderId="0" xfId="3" applyNumberFormat="1" applyFont="1" applyFill="1" applyBorder="1" applyAlignment="1">
      <alignment vertical="center"/>
    </xf>
    <xf numFmtId="10" fontId="7" fillId="0" borderId="0" xfId="3" applyNumberFormat="1" applyFont="1" applyAlignment="1">
      <alignment vertical="center"/>
    </xf>
    <xf numFmtId="41" fontId="7" fillId="0" borderId="1" xfId="1" applyFont="1" applyFill="1" applyBorder="1" applyAlignment="1">
      <alignment vertical="center"/>
    </xf>
    <xf numFmtId="170" fontId="7" fillId="0" borderId="1" xfId="5" applyFont="1" applyBorder="1" applyAlignment="1">
      <alignment horizontal="center" vertical="center"/>
    </xf>
    <xf numFmtId="167" fontId="6" fillId="0" borderId="0" xfId="3" applyNumberFormat="1" applyFont="1" applyFill="1"/>
    <xf numFmtId="41" fontId="7" fillId="0" borderId="1" xfId="1" applyFont="1" applyBorder="1" applyAlignment="1">
      <alignment horizontal="center" vertical="center"/>
    </xf>
    <xf numFmtId="9" fontId="7" fillId="0" borderId="1" xfId="3" applyFont="1" applyFill="1" applyBorder="1" applyAlignment="1">
      <alignment vertical="center"/>
    </xf>
    <xf numFmtId="9" fontId="7" fillId="0" borderId="1" xfId="3" applyNumberFormat="1" applyFont="1" applyFill="1" applyBorder="1" applyAlignment="1">
      <alignment vertical="center"/>
    </xf>
    <xf numFmtId="170" fontId="7" fillId="0" borderId="21" xfId="5" applyFont="1" applyBorder="1" applyAlignment="1">
      <alignment horizontal="center" vertical="center"/>
    </xf>
    <xf numFmtId="170" fontId="7" fillId="0" borderId="21" xfId="5" applyFont="1" applyFill="1" applyBorder="1" applyAlignment="1">
      <alignment vertical="center"/>
    </xf>
    <xf numFmtId="170" fontId="7" fillId="0" borderId="22" xfId="5" applyFont="1" applyBorder="1" applyAlignment="1">
      <alignment horizontal="center" vertical="center"/>
    </xf>
    <xf numFmtId="170" fontId="7" fillId="0" borderId="24" xfId="5" applyFont="1" applyBorder="1" applyAlignment="1">
      <alignment horizontal="center" vertical="center"/>
    </xf>
    <xf numFmtId="170" fontId="7" fillId="0" borderId="0" xfId="5" applyFont="1" applyBorder="1" applyAlignment="1">
      <alignment horizontal="center" vertical="center"/>
    </xf>
    <xf numFmtId="41" fontId="7" fillId="0" borderId="0" xfId="1" applyFont="1" applyBorder="1" applyAlignment="1">
      <alignment horizontal="center" vertical="center"/>
    </xf>
    <xf numFmtId="41" fontId="7" fillId="0" borderId="24" xfId="1" applyFont="1" applyBorder="1" applyAlignment="1">
      <alignment horizontal="center" vertical="center"/>
    </xf>
    <xf numFmtId="170" fontId="7" fillId="0" borderId="25" xfId="5" applyFont="1" applyFill="1" applyBorder="1" applyAlignment="1">
      <alignment vertical="center"/>
    </xf>
    <xf numFmtId="170" fontId="7" fillId="0" borderId="0" xfId="5" applyFont="1" applyBorder="1" applyAlignment="1">
      <alignment vertical="center"/>
    </xf>
    <xf numFmtId="41" fontId="7" fillId="0" borderId="0" xfId="1" applyFont="1" applyFill="1" applyBorder="1" applyAlignment="1">
      <alignment horizontal="right" vertical="center"/>
    </xf>
    <xf numFmtId="8" fontId="7" fillId="0" borderId="0" xfId="1" applyNumberFormat="1" applyFont="1" applyFill="1" applyBorder="1" applyAlignment="1">
      <alignment vertical="center"/>
    </xf>
    <xf numFmtId="167" fontId="7" fillId="0" borderId="0" xfId="1" applyNumberFormat="1" applyFont="1" applyFill="1" applyBorder="1" applyAlignment="1">
      <alignment vertical="center"/>
    </xf>
    <xf numFmtId="8" fontId="7" fillId="0" borderId="1" xfId="1" applyNumberFormat="1" applyFont="1" applyFill="1" applyBorder="1" applyAlignment="1">
      <alignment vertical="center"/>
    </xf>
    <xf numFmtId="41" fontId="8" fillId="0" borderId="1" xfId="1" applyFont="1" applyFill="1" applyBorder="1" applyAlignment="1">
      <alignment horizontal="center" vertical="center"/>
    </xf>
    <xf numFmtId="170" fontId="2" fillId="6" borderId="8" xfId="5" applyFont="1" applyFill="1" applyBorder="1" applyAlignment="1">
      <alignment horizontal="right" vertical="center"/>
    </xf>
    <xf numFmtId="170" fontId="2" fillId="0" borderId="0" xfId="5" applyFont="1" applyFill="1" applyBorder="1" applyAlignment="1">
      <alignment horizontal="right" vertical="center"/>
    </xf>
    <xf numFmtId="170" fontId="2" fillId="6" borderId="10" xfId="5" applyFont="1" applyFill="1" applyBorder="1" applyAlignment="1">
      <alignment horizontal="left" vertical="center"/>
    </xf>
    <xf numFmtId="170" fontId="7" fillId="0" borderId="1" xfId="5" applyFont="1" applyBorder="1" applyAlignment="1">
      <alignment horizontal="right" vertical="center"/>
    </xf>
    <xf numFmtId="41" fontId="7" fillId="0" borderId="1" xfId="1" applyFont="1" applyFill="1" applyBorder="1" applyAlignment="1">
      <alignment horizontal="right" vertical="center"/>
    </xf>
    <xf numFmtId="170" fontId="8" fillId="3" borderId="24" xfId="5" applyFont="1" applyFill="1" applyBorder="1" applyAlignment="1">
      <alignment horizontal="right" vertical="center"/>
    </xf>
    <xf numFmtId="41" fontId="8" fillId="3" borderId="24" xfId="1" applyFont="1" applyFill="1" applyBorder="1" applyAlignment="1">
      <alignment horizontal="right" vertical="center"/>
    </xf>
    <xf numFmtId="41" fontId="7" fillId="0" borderId="23" xfId="1" applyFont="1" applyBorder="1" applyAlignment="1">
      <alignment horizontal="center" vertical="center"/>
    </xf>
    <xf numFmtId="170" fontId="8" fillId="3" borderId="1" xfId="5" applyFont="1" applyFill="1" applyBorder="1" applyAlignment="1">
      <alignment horizontal="right" vertical="center"/>
    </xf>
    <xf numFmtId="167" fontId="8" fillId="3" borderId="1" xfId="3" applyNumberFormat="1" applyFont="1" applyFill="1" applyBorder="1" applyAlignment="1">
      <alignment horizontal="right" vertical="center"/>
    </xf>
    <xf numFmtId="41" fontId="7" fillId="0" borderId="3" xfId="1" applyFont="1" applyFill="1" applyBorder="1" applyAlignment="1">
      <alignment horizontal="center" vertical="center"/>
    </xf>
    <xf numFmtId="170" fontId="7" fillId="0" borderId="3" xfId="5" applyFont="1" applyBorder="1" applyAlignment="1">
      <alignment horizontal="center" vertical="center"/>
    </xf>
    <xf numFmtId="170" fontId="7" fillId="0" borderId="3" xfId="5" applyFont="1" applyBorder="1" applyAlignment="1">
      <alignment horizontal="left" vertical="center"/>
    </xf>
    <xf numFmtId="170" fontId="2" fillId="6" borderId="1" xfId="5" applyFont="1" applyFill="1" applyBorder="1" applyAlignment="1">
      <alignment horizontal="left" vertical="center"/>
    </xf>
    <xf numFmtId="177" fontId="7" fillId="0" borderId="1" xfId="5" applyNumberFormat="1" applyFont="1" applyBorder="1" applyAlignment="1">
      <alignment horizontal="center" vertical="center"/>
    </xf>
    <xf numFmtId="6" fontId="7" fillId="0" borderId="1" xfId="1" applyNumberFormat="1" applyFont="1" applyFill="1" applyBorder="1" applyAlignment="1">
      <alignment vertical="center"/>
    </xf>
    <xf numFmtId="0" fontId="0" fillId="0" borderId="1" xfId="0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11" fillId="11" borderId="8" xfId="7" applyFont="1" applyFill="1" applyBorder="1" applyAlignment="1">
      <alignment horizontal="center" vertical="center" wrapText="1"/>
    </xf>
    <xf numFmtId="0" fontId="9" fillId="0" borderId="0" xfId="7" applyFont="1" applyAlignment="1">
      <alignment vertical="center"/>
    </xf>
    <xf numFmtId="0" fontId="0" fillId="0" borderId="1" xfId="0" applyBorder="1" applyAlignment="1">
      <alignment horizontal="center"/>
    </xf>
    <xf numFmtId="17" fontId="0" fillId="0" borderId="0" xfId="0" applyNumberFormat="1"/>
    <xf numFmtId="0" fontId="17" fillId="0" borderId="0" xfId="0" applyFont="1" applyAlignment="1">
      <alignment horizontal="justify" vertical="center"/>
    </xf>
    <xf numFmtId="0" fontId="2" fillId="0" borderId="0" xfId="0" applyFont="1" applyAlignment="1">
      <alignment horizontal="center"/>
    </xf>
    <xf numFmtId="9" fontId="0" fillId="0" borderId="0" xfId="3" applyFont="1"/>
    <xf numFmtId="169" fontId="0" fillId="0" borderId="0" xfId="3" applyNumberFormat="1" applyFont="1"/>
    <xf numFmtId="10" fontId="0" fillId="0" borderId="0" xfId="3" applyNumberFormat="1" applyFont="1"/>
    <xf numFmtId="0" fontId="2" fillId="6" borderId="0" xfId="0" applyFont="1" applyFill="1" applyBorder="1" applyAlignment="1">
      <alignment horizontal="center"/>
    </xf>
    <xf numFmtId="176" fontId="0" fillId="0" borderId="0" xfId="2" applyNumberFormat="1" applyFont="1"/>
    <xf numFmtId="0" fontId="2" fillId="6" borderId="0" xfId="0" applyFont="1" applyFill="1" applyBorder="1" applyAlignment="1"/>
    <xf numFmtId="9" fontId="0" fillId="0" borderId="0" xfId="3" applyNumberFormat="1" applyFont="1"/>
    <xf numFmtId="41" fontId="2" fillId="0" borderId="0" xfId="1" applyFont="1" applyAlignment="1">
      <alignment horizontal="left"/>
    </xf>
    <xf numFmtId="10" fontId="0" fillId="0" borderId="1" xfId="0" applyNumberFormat="1" applyBorder="1"/>
    <xf numFmtId="169" fontId="0" fillId="0" borderId="0" xfId="0" applyNumberFormat="1"/>
    <xf numFmtId="176" fontId="0" fillId="0" borderId="0" xfId="3" applyNumberFormat="1" applyFont="1"/>
    <xf numFmtId="176" fontId="0" fillId="0" borderId="1" xfId="3" applyNumberFormat="1" applyFont="1" applyBorder="1"/>
    <xf numFmtId="166" fontId="0" fillId="0" borderId="0" xfId="1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0" fillId="0" borderId="1" xfId="3" applyNumberFormat="1" applyFont="1" applyBorder="1"/>
    <xf numFmtId="176" fontId="0" fillId="0" borderId="1" xfId="0" applyNumberFormat="1" applyBorder="1"/>
    <xf numFmtId="10" fontId="2" fillId="0" borderId="1" xfId="3" applyNumberFormat="1" applyFont="1" applyBorder="1" applyAlignment="1">
      <alignment horizontal="center"/>
    </xf>
    <xf numFmtId="10" fontId="14" fillId="0" borderId="0" xfId="0" applyNumberFormat="1" applyFont="1"/>
    <xf numFmtId="17" fontId="2" fillId="0" borderId="0" xfId="0" applyNumberFormat="1" applyFont="1" applyAlignment="1">
      <alignment horizontal="center"/>
    </xf>
    <xf numFmtId="42" fontId="0" fillId="0" borderId="0" xfId="0" applyNumberFormat="1" applyAlignment="1">
      <alignment horizontal="center"/>
    </xf>
    <xf numFmtId="0" fontId="2" fillId="0" borderId="1" xfId="0" applyFont="1" applyFill="1" applyBorder="1" applyAlignment="1">
      <alignment horizontal="left"/>
    </xf>
    <xf numFmtId="0" fontId="2" fillId="11" borderId="1" xfId="0" applyFont="1" applyFill="1" applyBorder="1"/>
    <xf numFmtId="0" fontId="0" fillId="11" borderId="1" xfId="0" applyFill="1" applyBorder="1" applyAlignment="1">
      <alignment horizontal="center"/>
    </xf>
    <xf numFmtId="41" fontId="2" fillId="0" borderId="0" xfId="1" applyFont="1" applyFill="1" applyBorder="1"/>
    <xf numFmtId="0" fontId="2" fillId="11" borderId="0" xfId="0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9" fontId="2" fillId="0" borderId="1" xfId="1" applyNumberFormat="1" applyFont="1" applyBorder="1" applyAlignment="1">
      <alignment horizontal="center"/>
    </xf>
    <xf numFmtId="0" fontId="7" fillId="0" borderId="1" xfId="0" applyFont="1" applyFill="1" applyBorder="1"/>
    <xf numFmtId="0" fontId="7" fillId="0" borderId="1" xfId="0" applyFont="1" applyFill="1" applyBorder="1" applyAlignment="1">
      <alignment horizontal="left"/>
    </xf>
    <xf numFmtId="176" fontId="0" fillId="0" borderId="0" xfId="0" applyNumberFormat="1"/>
    <xf numFmtId="0" fontId="11" fillId="0" borderId="0" xfId="7" applyFont="1" applyFill="1" applyBorder="1" applyAlignment="1">
      <alignment horizontal="left" vertical="center" wrapText="1"/>
    </xf>
    <xf numFmtId="0" fontId="19" fillId="0" borderId="0" xfId="7" applyFont="1" applyFill="1" applyBorder="1" applyAlignment="1">
      <alignment horizontal="left" vertical="center" wrapText="1"/>
    </xf>
    <xf numFmtId="41" fontId="2" fillId="0" borderId="0" xfId="1" applyFont="1"/>
    <xf numFmtId="170" fontId="2" fillId="0" borderId="0" xfId="5" applyFont="1" applyFill="1" applyBorder="1" applyAlignment="1">
      <alignment horizontal="center" vertical="center"/>
    </xf>
    <xf numFmtId="170" fontId="7" fillId="0" borderId="0" xfId="5" applyFont="1" applyFill="1" applyBorder="1" applyAlignment="1">
      <alignment horizontal="center" vertical="center"/>
    </xf>
    <xf numFmtId="0" fontId="0" fillId="0" borderId="0" xfId="7" applyFont="1" applyFill="1" applyAlignment="1">
      <alignment horizontal="left" vertical="center"/>
    </xf>
    <xf numFmtId="41" fontId="0" fillId="0" borderId="0" xfId="1" applyFont="1" applyFill="1"/>
    <xf numFmtId="0" fontId="1" fillId="0" borderId="0" xfId="7" applyFont="1" applyFill="1" applyAlignment="1">
      <alignment horizontal="left" vertical="center"/>
    </xf>
    <xf numFmtId="169" fontId="2" fillId="0" borderId="3" xfId="3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" fontId="2" fillId="0" borderId="0" xfId="0" applyNumberFormat="1" applyFont="1"/>
    <xf numFmtId="41" fontId="0" fillId="0" borderId="0" xfId="1" applyFont="1" applyBorder="1" applyAlignment="1">
      <alignment horizontal="center"/>
    </xf>
    <xf numFmtId="170" fontId="8" fillId="7" borderId="0" xfId="5" applyFont="1" applyFill="1" applyBorder="1" applyAlignment="1">
      <alignment vertical="center" wrapText="1"/>
    </xf>
    <xf numFmtId="41" fontId="2" fillId="0" borderId="0" xfId="1" applyFont="1" applyFill="1" applyBorder="1" applyAlignment="1">
      <alignment vertical="center"/>
    </xf>
    <xf numFmtId="0" fontId="10" fillId="5" borderId="0" xfId="0" applyFont="1" applyFill="1" applyBorder="1" applyAlignment="1">
      <alignment horizontal="center" vertical="center"/>
    </xf>
    <xf numFmtId="3" fontId="0" fillId="0" borderId="0" xfId="0" applyNumberFormat="1" applyBorder="1"/>
    <xf numFmtId="3" fontId="2" fillId="5" borderId="0" xfId="0" applyNumberFormat="1" applyFont="1" applyFill="1" applyBorder="1"/>
    <xf numFmtId="0" fontId="0" fillId="5" borderId="0" xfId="0" applyFill="1" applyBorder="1"/>
    <xf numFmtId="3" fontId="10" fillId="9" borderId="0" xfId="0" applyNumberFormat="1" applyFont="1" applyFill="1" applyBorder="1"/>
    <xf numFmtId="0" fontId="2" fillId="9" borderId="0" xfId="0" applyFont="1" applyFill="1" applyBorder="1"/>
    <xf numFmtId="41" fontId="6" fillId="0" borderId="0" xfId="7" applyNumberFormat="1" applyFill="1"/>
    <xf numFmtId="41" fontId="7" fillId="0" borderId="10" xfId="1" applyFont="1" applyFill="1" applyBorder="1" applyAlignment="1">
      <alignment vertical="center"/>
    </xf>
    <xf numFmtId="170" fontId="7" fillId="0" borderId="10" xfId="5" applyFont="1" applyBorder="1" applyAlignment="1">
      <alignment horizontal="center" vertical="center"/>
    </xf>
    <xf numFmtId="41" fontId="8" fillId="0" borderId="0" xfId="1" applyFont="1" applyFill="1" applyBorder="1" applyAlignment="1">
      <alignment horizontal="center" vertical="center"/>
    </xf>
    <xf numFmtId="0" fontId="13" fillId="0" borderId="1" xfId="7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vertical="center"/>
    </xf>
    <xf numFmtId="170" fontId="8" fillId="0" borderId="0" xfId="5" applyFont="1" applyFill="1" applyBorder="1" applyAlignment="1">
      <alignment horizontal="center" vertical="center"/>
    </xf>
    <xf numFmtId="170" fontId="8" fillId="0" borderId="0" xfId="5" applyFont="1" applyBorder="1" applyAlignment="1">
      <alignment horizontal="center" vertical="center"/>
    </xf>
    <xf numFmtId="10" fontId="7" fillId="0" borderId="0" xfId="1" applyNumberFormat="1" applyFont="1" applyFill="1" applyBorder="1" applyAlignment="1">
      <alignment vertical="center"/>
    </xf>
    <xf numFmtId="41" fontId="11" fillId="11" borderId="0" xfId="1" applyFont="1" applyFill="1" applyBorder="1" applyAlignment="1">
      <alignment vertical="center" wrapText="1"/>
    </xf>
    <xf numFmtId="9" fontId="11" fillId="11" borderId="0" xfId="3" applyFont="1" applyFill="1" applyBorder="1" applyAlignment="1">
      <alignment vertical="center" wrapText="1"/>
    </xf>
    <xf numFmtId="167" fontId="11" fillId="11" borderId="0" xfId="3" applyNumberFormat="1" applyFont="1" applyFill="1" applyBorder="1" applyAlignment="1">
      <alignment vertical="center" wrapText="1"/>
    </xf>
    <xf numFmtId="170" fontId="8" fillId="3" borderId="0" xfId="5" applyFont="1" applyFill="1" applyBorder="1" applyAlignment="1">
      <alignment horizontal="center" vertical="center"/>
    </xf>
    <xf numFmtId="9" fontId="7" fillId="0" borderId="0" xfId="3" applyNumberFormat="1" applyFont="1" applyFill="1" applyBorder="1" applyAlignment="1">
      <alignment vertical="center"/>
    </xf>
    <xf numFmtId="169" fontId="7" fillId="0" borderId="0" xfId="3" applyNumberFormat="1" applyFont="1" applyFill="1" applyBorder="1" applyAlignment="1">
      <alignment vertical="center"/>
    </xf>
    <xf numFmtId="170" fontId="8" fillId="14" borderId="0" xfId="5" applyFont="1" applyFill="1" applyBorder="1" applyAlignment="1">
      <alignment vertical="center" wrapText="1"/>
    </xf>
    <xf numFmtId="10" fontId="8" fillId="3" borderId="0" xfId="3" applyNumberFormat="1" applyFont="1" applyFill="1" applyBorder="1" applyAlignment="1">
      <alignment vertical="center"/>
    </xf>
    <xf numFmtId="170" fontId="7" fillId="0" borderId="20" xfId="5" applyFont="1" applyBorder="1" applyAlignment="1">
      <alignment horizontal="center" vertical="center"/>
    </xf>
    <xf numFmtId="170" fontId="7" fillId="0" borderId="21" xfId="5" applyFont="1" applyBorder="1" applyAlignment="1">
      <alignment vertical="center"/>
    </xf>
    <xf numFmtId="170" fontId="7" fillId="0" borderId="23" xfId="5" applyFont="1" applyBorder="1" applyAlignment="1">
      <alignment horizontal="center" vertical="center"/>
    </xf>
    <xf numFmtId="0" fontId="4" fillId="0" borderId="0" xfId="4" applyBorder="1"/>
    <xf numFmtId="170" fontId="7" fillId="0" borderId="27" xfId="5" applyFont="1" applyBorder="1" applyAlignment="1">
      <alignment horizontal="center" vertical="center"/>
    </xf>
    <xf numFmtId="41" fontId="7" fillId="0" borderId="25" xfId="1" applyFont="1" applyFill="1" applyBorder="1" applyAlignment="1">
      <alignment vertical="center"/>
    </xf>
    <xf numFmtId="41" fontId="7" fillId="0" borderId="25" xfId="1" applyFont="1" applyBorder="1" applyAlignment="1">
      <alignment horizontal="center" vertical="center"/>
    </xf>
    <xf numFmtId="0" fontId="4" fillId="0" borderId="25" xfId="4" applyBorder="1"/>
    <xf numFmtId="10" fontId="8" fillId="0" borderId="0" xfId="3" applyNumberFormat="1" applyFont="1" applyFill="1" applyBorder="1" applyAlignment="1">
      <alignment vertical="center"/>
    </xf>
    <xf numFmtId="167" fontId="8" fillId="0" borderId="0" xfId="1" applyNumberFormat="1" applyFont="1" applyBorder="1" applyAlignment="1">
      <alignment horizontal="center" vertical="center"/>
    </xf>
    <xf numFmtId="41" fontId="7" fillId="0" borderId="22" xfId="1" applyFont="1" applyBorder="1" applyAlignment="1">
      <alignment horizontal="center" vertical="center"/>
    </xf>
    <xf numFmtId="41" fontId="7" fillId="0" borderId="26" xfId="1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81" fontId="10" fillId="0" borderId="1" xfId="10" applyFont="1" applyBorder="1"/>
    <xf numFmtId="0" fontId="20" fillId="0" borderId="0" xfId="0" applyFont="1"/>
    <xf numFmtId="0" fontId="10" fillId="0" borderId="0" xfId="0" applyFont="1"/>
    <xf numFmtId="170" fontId="21" fillId="0" borderId="1" xfId="5" applyFont="1" applyBorder="1" applyAlignment="1">
      <alignment vertical="center"/>
    </xf>
    <xf numFmtId="181" fontId="20" fillId="0" borderId="1" xfId="10" applyFont="1" applyBorder="1"/>
    <xf numFmtId="0" fontId="20" fillId="0" borderId="1" xfId="0" applyFont="1" applyBorder="1"/>
    <xf numFmtId="170" fontId="22" fillId="0" borderId="1" xfId="5" applyFont="1" applyBorder="1" applyAlignment="1">
      <alignment vertical="center"/>
    </xf>
    <xf numFmtId="9" fontId="20" fillId="0" borderId="1" xfId="0" applyNumberFormat="1" applyFont="1" applyBorder="1"/>
    <xf numFmtId="10" fontId="20" fillId="0" borderId="1" xfId="0" applyNumberFormat="1" applyFont="1" applyBorder="1"/>
    <xf numFmtId="9" fontId="20" fillId="0" borderId="0" xfId="0" applyNumberFormat="1" applyFont="1"/>
    <xf numFmtId="2" fontId="20" fillId="0" borderId="1" xfId="0" applyNumberFormat="1" applyFont="1" applyBorder="1"/>
    <xf numFmtId="9" fontId="20" fillId="0" borderId="0" xfId="0" applyNumberFormat="1" applyFont="1" applyBorder="1"/>
    <xf numFmtId="0" fontId="20" fillId="0" borderId="0" xfId="0" applyFont="1" applyFill="1" applyBorder="1"/>
    <xf numFmtId="10" fontId="20" fillId="0" borderId="0" xfId="3" applyNumberFormat="1" applyFont="1" applyFill="1" applyBorder="1"/>
    <xf numFmtId="183" fontId="20" fillId="0" borderId="0" xfId="0" applyNumberFormat="1" applyFont="1" applyFill="1" applyBorder="1"/>
    <xf numFmtId="10" fontId="20" fillId="0" borderId="0" xfId="0" applyNumberFormat="1" applyFont="1" applyFill="1" applyBorder="1"/>
    <xf numFmtId="10" fontId="10" fillId="0" borderId="0" xfId="3" applyNumberFormat="1" applyFont="1" applyFill="1" applyBorder="1"/>
    <xf numFmtId="10" fontId="10" fillId="0" borderId="0" xfId="0" applyNumberFormat="1" applyFont="1" applyFill="1" applyBorder="1"/>
    <xf numFmtId="0" fontId="20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/>
    <xf numFmtId="10" fontId="20" fillId="0" borderId="1" xfId="9" applyNumberFormat="1" applyFont="1" applyFill="1" applyBorder="1"/>
    <xf numFmtId="9" fontId="20" fillId="0" borderId="1" xfId="0" applyNumberFormat="1" applyFont="1" applyFill="1" applyBorder="1"/>
    <xf numFmtId="43" fontId="20" fillId="0" borderId="1" xfId="9" applyFont="1" applyFill="1" applyBorder="1"/>
    <xf numFmtId="43" fontId="20" fillId="0" borderId="1" xfId="0" applyNumberFormat="1" applyFont="1" applyFill="1" applyBorder="1"/>
    <xf numFmtId="0" fontId="20" fillId="0" borderId="0" xfId="0" applyFont="1" applyFill="1"/>
    <xf numFmtId="10" fontId="20" fillId="0" borderId="1" xfId="3" applyNumberFormat="1" applyFont="1" applyFill="1" applyBorder="1"/>
    <xf numFmtId="2" fontId="20" fillId="0" borderId="1" xfId="0" applyNumberFormat="1" applyFont="1" applyFill="1" applyBorder="1"/>
    <xf numFmtId="182" fontId="20" fillId="0" borderId="1" xfId="9" applyNumberFormat="1" applyFont="1" applyFill="1" applyBorder="1"/>
    <xf numFmtId="10" fontId="20" fillId="0" borderId="1" xfId="0" applyNumberFormat="1" applyFont="1" applyFill="1" applyBorder="1"/>
    <xf numFmtId="182" fontId="10" fillId="3" borderId="1" xfId="9" applyNumberFormat="1" applyFont="1" applyFill="1" applyBorder="1"/>
    <xf numFmtId="10" fontId="10" fillId="3" borderId="1" xfId="3" applyNumberFormat="1" applyFont="1" applyFill="1" applyBorder="1"/>
    <xf numFmtId="41" fontId="7" fillId="0" borderId="20" xfId="1" applyFont="1" applyBorder="1" applyAlignment="1">
      <alignment horizontal="center" vertical="center"/>
    </xf>
    <xf numFmtId="41" fontId="7" fillId="0" borderId="27" xfId="1" applyFont="1" applyFill="1" applyBorder="1" applyAlignment="1">
      <alignment vertical="center"/>
    </xf>
    <xf numFmtId="178" fontId="7" fillId="0" borderId="25" xfId="1" applyNumberFormat="1" applyFont="1" applyFill="1" applyBorder="1" applyAlignment="1">
      <alignment vertical="center"/>
    </xf>
    <xf numFmtId="165" fontId="7" fillId="0" borderId="25" xfId="1" applyNumberFormat="1" applyFont="1" applyBorder="1" applyAlignment="1">
      <alignment horizontal="center" vertical="center"/>
    </xf>
    <xf numFmtId="166" fontId="7" fillId="0" borderId="26" xfId="1" applyNumberFormat="1" applyFont="1" applyBorder="1" applyAlignment="1">
      <alignment horizontal="center" vertical="center"/>
    </xf>
    <xf numFmtId="1" fontId="0" fillId="0" borderId="1" xfId="0" applyNumberFormat="1" applyBorder="1"/>
    <xf numFmtId="1" fontId="0" fillId="0" borderId="0" xfId="0" applyNumberFormat="1" applyBorder="1"/>
    <xf numFmtId="9" fontId="0" fillId="0" borderId="0" xfId="3" applyFont="1" applyBorder="1"/>
    <xf numFmtId="182" fontId="0" fillId="0" borderId="1" xfId="11" applyNumberFormat="1" applyFont="1" applyBorder="1"/>
    <xf numFmtId="184" fontId="0" fillId="0" borderId="1" xfId="11" applyNumberFormat="1" applyFont="1" applyBorder="1"/>
    <xf numFmtId="0" fontId="0" fillId="0" borderId="29" xfId="0" applyFill="1" applyBorder="1"/>
    <xf numFmtId="10" fontId="0" fillId="0" borderId="0" xfId="11" applyNumberFormat="1" applyFont="1" applyBorder="1"/>
    <xf numFmtId="185" fontId="0" fillId="0" borderId="0" xfId="12" applyFont="1"/>
    <xf numFmtId="182" fontId="0" fillId="0" borderId="1" xfId="11" applyNumberFormat="1" applyFont="1" applyFill="1" applyBorder="1"/>
    <xf numFmtId="180" fontId="0" fillId="0" borderId="1" xfId="11" applyNumberFormat="1" applyFont="1" applyFill="1" applyBorder="1"/>
    <xf numFmtId="180" fontId="0" fillId="0" borderId="1" xfId="0" applyNumberFormat="1" applyFill="1" applyBorder="1"/>
    <xf numFmtId="180" fontId="0" fillId="0" borderId="1" xfId="1" applyNumberFormat="1" applyFont="1" applyBorder="1"/>
    <xf numFmtId="180" fontId="2" fillId="0" borderId="1" xfId="1" applyNumberFormat="1" applyFont="1" applyBorder="1"/>
    <xf numFmtId="180" fontId="2" fillId="3" borderId="1" xfId="1" applyNumberFormat="1" applyFont="1" applyFill="1" applyBorder="1" applyAlignment="1">
      <alignment horizontal="center"/>
    </xf>
    <xf numFmtId="184" fontId="0" fillId="0" borderId="0" xfId="11" applyFont="1"/>
    <xf numFmtId="180" fontId="7" fillId="0" borderId="0" xfId="1" applyNumberFormat="1" applyFont="1" applyFill="1" applyBorder="1" applyAlignment="1">
      <alignment vertical="center"/>
    </xf>
    <xf numFmtId="38" fontId="7" fillId="0" borderId="0" xfId="1" applyNumberFormat="1" applyFont="1" applyFill="1" applyBorder="1" applyAlignment="1">
      <alignment horizontal="right" vertical="center"/>
    </xf>
    <xf numFmtId="38" fontId="7" fillId="0" borderId="0" xfId="1" applyNumberFormat="1" applyFont="1" applyFill="1" applyAlignment="1">
      <alignment horizontal="right" vertical="center"/>
    </xf>
    <xf numFmtId="41" fontId="2" fillId="6" borderId="8" xfId="1" applyFont="1" applyFill="1" applyBorder="1" applyAlignment="1">
      <alignment horizontal="right" vertical="center"/>
    </xf>
    <xf numFmtId="180" fontId="7" fillId="0" borderId="0" xfId="1" applyNumberFormat="1" applyFont="1" applyAlignment="1">
      <alignment vertical="center"/>
    </xf>
    <xf numFmtId="180" fontId="2" fillId="6" borderId="8" xfId="1" applyNumberFormat="1" applyFont="1" applyFill="1" applyBorder="1" applyAlignment="1">
      <alignment vertical="center"/>
    </xf>
    <xf numFmtId="41" fontId="2" fillId="6" borderId="4" xfId="1" applyFont="1" applyFill="1" applyBorder="1" applyAlignment="1">
      <alignment horizontal="right" vertical="center"/>
    </xf>
    <xf numFmtId="180" fontId="2" fillId="6" borderId="4" xfId="1" applyNumberFormat="1" applyFont="1" applyFill="1" applyBorder="1" applyAlignment="1">
      <alignment horizontal="right" vertical="center"/>
    </xf>
    <xf numFmtId="41" fontId="1" fillId="0" borderId="0" xfId="1" applyFont="1" applyFill="1" applyAlignment="1">
      <alignment horizontal="right" vertical="center"/>
    </xf>
    <xf numFmtId="41" fontId="2" fillId="0" borderId="0" xfId="1" applyFont="1" applyFill="1" applyBorder="1" applyAlignment="1">
      <alignment horizontal="right" vertical="center"/>
    </xf>
    <xf numFmtId="41" fontId="8" fillId="6" borderId="8" xfId="1" applyFont="1" applyFill="1" applyBorder="1" applyAlignment="1">
      <alignment horizontal="right" vertical="center"/>
    </xf>
    <xf numFmtId="41" fontId="8" fillId="6" borderId="9" xfId="1" applyFont="1" applyFill="1" applyBorder="1" applyAlignment="1">
      <alignment horizontal="right" vertical="center"/>
    </xf>
    <xf numFmtId="176" fontId="5" fillId="4" borderId="0" xfId="1" applyNumberFormat="1" applyFont="1" applyFill="1" applyAlignment="1">
      <alignment horizontal="right" vertical="center"/>
    </xf>
    <xf numFmtId="0" fontId="25" fillId="0" borderId="0" xfId="7" applyFont="1"/>
    <xf numFmtId="10" fontId="25" fillId="0" borderId="0" xfId="7" applyNumberFormat="1" applyFont="1"/>
    <xf numFmtId="0" fontId="6" fillId="0" borderId="0" xfId="7" applyFont="1"/>
    <xf numFmtId="0" fontId="6" fillId="0" borderId="0" xfId="7" applyFont="1" applyFill="1" applyBorder="1"/>
    <xf numFmtId="0" fontId="24" fillId="0" borderId="0" xfId="7" applyFont="1" applyBorder="1" applyAlignment="1">
      <alignment horizontal="center"/>
    </xf>
    <xf numFmtId="3" fontId="24" fillId="0" borderId="0" xfId="7" applyNumberFormat="1" applyFont="1" applyBorder="1" applyAlignment="1">
      <alignment horizontal="center"/>
    </xf>
    <xf numFmtId="10" fontId="24" fillId="15" borderId="0" xfId="7" applyNumberFormat="1" applyFont="1" applyFill="1" applyBorder="1" applyAlignment="1">
      <alignment horizontal="center"/>
    </xf>
    <xf numFmtId="3" fontId="24" fillId="0" borderId="0" xfId="7" applyNumberFormat="1" applyFont="1" applyFill="1" applyBorder="1" applyAlignment="1">
      <alignment horizontal="center"/>
    </xf>
    <xf numFmtId="10" fontId="25" fillId="0" borderId="0" xfId="7" applyNumberFormat="1" applyFont="1" applyBorder="1"/>
    <xf numFmtId="10" fontId="25" fillId="15" borderId="0" xfId="7" applyNumberFormat="1" applyFont="1" applyFill="1" applyBorder="1"/>
    <xf numFmtId="0" fontId="25" fillId="0" borderId="0" xfId="7" applyFont="1" applyFill="1"/>
    <xf numFmtId="10" fontId="25" fillId="0" borderId="0" xfId="7" applyNumberFormat="1" applyFont="1" applyFill="1" applyBorder="1"/>
    <xf numFmtId="0" fontId="25" fillId="0" borderId="0" xfId="7" applyFont="1" applyBorder="1"/>
    <xf numFmtId="3" fontId="25" fillId="0" borderId="0" xfId="7" applyNumberFormat="1" applyFont="1" applyBorder="1" applyAlignment="1">
      <alignment horizontal="right"/>
    </xf>
    <xf numFmtId="169" fontId="25" fillId="15" borderId="0" xfId="7" applyNumberFormat="1" applyFont="1" applyFill="1" applyBorder="1" applyAlignment="1">
      <alignment horizontal="right"/>
    </xf>
    <xf numFmtId="3" fontId="25" fillId="0" borderId="0" xfId="7" applyNumberFormat="1" applyFont="1" applyFill="1"/>
    <xf numFmtId="3" fontId="25" fillId="0" borderId="0" xfId="7" applyNumberFormat="1" applyFont="1" applyFill="1" applyBorder="1" applyAlignment="1">
      <alignment horizontal="right"/>
    </xf>
    <xf numFmtId="0" fontId="25" fillId="0" borderId="19" xfId="7" applyFont="1" applyBorder="1"/>
    <xf numFmtId="3" fontId="25" fillId="0" borderId="19" xfId="7" applyNumberFormat="1" applyFont="1" applyBorder="1" applyAlignment="1">
      <alignment horizontal="right"/>
    </xf>
    <xf numFmtId="169" fontId="25" fillId="15" borderId="19" xfId="7" applyNumberFormat="1" applyFont="1" applyFill="1" applyBorder="1" applyAlignment="1">
      <alignment horizontal="right"/>
    </xf>
    <xf numFmtId="3" fontId="25" fillId="0" borderId="19" xfId="7" applyNumberFormat="1" applyFont="1" applyFill="1" applyBorder="1"/>
    <xf numFmtId="3" fontId="25" fillId="0" borderId="19" xfId="7" applyNumberFormat="1" applyFont="1" applyFill="1" applyBorder="1" applyAlignment="1">
      <alignment horizontal="right"/>
    </xf>
    <xf numFmtId="0" fontId="26" fillId="0" borderId="8" xfId="7" applyFont="1" applyBorder="1"/>
    <xf numFmtId="3" fontId="26" fillId="0" borderId="8" xfId="7" applyNumberFormat="1" applyFont="1" applyBorder="1" applyAlignment="1">
      <alignment horizontal="right"/>
    </xf>
    <xf numFmtId="169" fontId="24" fillId="15" borderId="8" xfId="7" applyNumberFormat="1" applyFont="1" applyFill="1" applyBorder="1" applyAlignment="1">
      <alignment horizontal="right"/>
    </xf>
    <xf numFmtId="0" fontId="26" fillId="0" borderId="0" xfId="7" applyFont="1" applyBorder="1"/>
    <xf numFmtId="169" fontId="25" fillId="0" borderId="0" xfId="7" applyNumberFormat="1" applyFont="1" applyBorder="1" applyAlignment="1">
      <alignment horizontal="right"/>
    </xf>
    <xf numFmtId="169" fontId="25" fillId="0" borderId="0" xfId="7" applyNumberFormat="1" applyFont="1" applyFill="1" applyBorder="1" applyAlignment="1">
      <alignment horizontal="right"/>
    </xf>
    <xf numFmtId="3" fontId="26" fillId="0" borderId="8" xfId="7" applyNumberFormat="1" applyFont="1" applyFill="1" applyBorder="1" applyAlignment="1">
      <alignment horizontal="right"/>
    </xf>
    <xf numFmtId="10" fontId="24" fillId="0" borderId="0" xfId="7" applyNumberFormat="1" applyFont="1"/>
    <xf numFmtId="0" fontId="24" fillId="0" borderId="0" xfId="7" applyFont="1"/>
    <xf numFmtId="0" fontId="26" fillId="0" borderId="9" xfId="7" applyFont="1" applyBorder="1"/>
    <xf numFmtId="3" fontId="26" fillId="0" borderId="9" xfId="7" applyNumberFormat="1" applyFont="1" applyBorder="1" applyAlignment="1">
      <alignment horizontal="right"/>
    </xf>
    <xf numFmtId="169" fontId="24" fillId="15" borderId="9" xfId="7" applyNumberFormat="1" applyFont="1" applyFill="1" applyBorder="1" applyAlignment="1">
      <alignment horizontal="right"/>
    </xf>
    <xf numFmtId="3" fontId="26" fillId="0" borderId="9" xfId="7" applyNumberFormat="1" applyFont="1" applyFill="1" applyBorder="1" applyAlignment="1">
      <alignment horizontal="right"/>
    </xf>
    <xf numFmtId="3" fontId="26" fillId="0" borderId="0" xfId="7" applyNumberFormat="1" applyFont="1" applyBorder="1" applyAlignment="1">
      <alignment horizontal="right"/>
    </xf>
    <xf numFmtId="169" fontId="26" fillId="0" borderId="0" xfId="7" applyNumberFormat="1" applyFont="1" applyBorder="1" applyAlignment="1">
      <alignment horizontal="right"/>
    </xf>
    <xf numFmtId="3" fontId="26" fillId="0" borderId="0" xfId="7" applyNumberFormat="1" applyFont="1" applyFill="1" applyBorder="1" applyAlignment="1">
      <alignment horizontal="right"/>
    </xf>
    <xf numFmtId="187" fontId="25" fillId="0" borderId="0" xfId="13" applyNumberFormat="1" applyFont="1" applyFill="1" applyBorder="1" applyAlignment="1">
      <alignment horizontal="right"/>
    </xf>
    <xf numFmtId="169" fontId="24" fillId="0" borderId="0" xfId="7" applyNumberFormat="1" applyFont="1" applyBorder="1" applyAlignment="1">
      <alignment horizontal="right"/>
    </xf>
    <xf numFmtId="10" fontId="24" fillId="0" borderId="0" xfId="7" applyNumberFormat="1" applyFont="1" applyBorder="1" applyAlignment="1">
      <alignment horizontal="centerContinuous"/>
    </xf>
    <xf numFmtId="10" fontId="25" fillId="0" borderId="0" xfId="7" applyNumberFormat="1" applyFont="1" applyAlignment="1">
      <alignment horizontal="centerContinuous"/>
    </xf>
    <xf numFmtId="0" fontId="25" fillId="0" borderId="0" xfId="7" applyFont="1" applyBorder="1" applyAlignment="1">
      <alignment horizontal="center"/>
    </xf>
    <xf numFmtId="10" fontId="25" fillId="0" borderId="0" xfId="7" applyNumberFormat="1" applyFont="1" applyBorder="1" applyAlignment="1">
      <alignment horizontal="centerContinuous"/>
    </xf>
    <xf numFmtId="188" fontId="25" fillId="0" borderId="0" xfId="14" applyFont="1"/>
    <xf numFmtId="3" fontId="24" fillId="15" borderId="0" xfId="7" applyNumberFormat="1" applyFont="1" applyFill="1" applyBorder="1" applyAlignment="1">
      <alignment horizontal="center"/>
    </xf>
    <xf numFmtId="10" fontId="24" fillId="15" borderId="0" xfId="7" applyNumberFormat="1" applyFont="1" applyFill="1"/>
    <xf numFmtId="0" fontId="25" fillId="15" borderId="0" xfId="7" applyFont="1" applyFill="1"/>
    <xf numFmtId="3" fontId="25" fillId="0" borderId="0" xfId="7" applyNumberFormat="1" applyFont="1" applyFill="1" applyBorder="1"/>
    <xf numFmtId="10" fontId="25" fillId="15" borderId="0" xfId="7" applyNumberFormat="1" applyFont="1" applyFill="1"/>
    <xf numFmtId="0" fontId="6" fillId="15" borderId="0" xfId="7" applyFill="1"/>
    <xf numFmtId="3" fontId="25" fillId="0" borderId="0" xfId="7" applyNumberFormat="1" applyFont="1" applyBorder="1"/>
    <xf numFmtId="3" fontId="26" fillId="0" borderId="8" xfId="7" applyNumberFormat="1" applyFont="1" applyBorder="1"/>
    <xf numFmtId="169" fontId="26" fillId="15" borderId="8" xfId="7" applyNumberFormat="1" applyFont="1" applyFill="1" applyBorder="1" applyAlignment="1">
      <alignment horizontal="right"/>
    </xf>
    <xf numFmtId="10" fontId="26" fillId="0" borderId="0" xfId="7" applyNumberFormat="1" applyFont="1"/>
    <xf numFmtId="0" fontId="26" fillId="0" borderId="0" xfId="7" applyFont="1"/>
    <xf numFmtId="3" fontId="26" fillId="0" borderId="4" xfId="7" applyNumberFormat="1" applyFont="1" applyBorder="1"/>
    <xf numFmtId="169" fontId="26" fillId="15" borderId="4" xfId="7" applyNumberFormat="1" applyFont="1" applyFill="1" applyBorder="1" applyAlignment="1">
      <alignment horizontal="right"/>
    </xf>
    <xf numFmtId="3" fontId="26" fillId="0" borderId="4" xfId="7" applyNumberFormat="1" applyFont="1" applyFill="1" applyBorder="1" applyAlignment="1">
      <alignment horizontal="right"/>
    </xf>
    <xf numFmtId="3" fontId="25" fillId="0" borderId="0" xfId="7" applyNumberFormat="1" applyFont="1" applyFill="1" applyBorder="1" applyAlignment="1">
      <alignment horizontal="left"/>
    </xf>
    <xf numFmtId="10" fontId="25" fillId="0" borderId="0" xfId="7" applyNumberFormat="1" applyFont="1" applyFill="1"/>
    <xf numFmtId="3" fontId="25" fillId="0" borderId="19" xfId="7" applyNumberFormat="1" applyFont="1" applyFill="1" applyBorder="1" applyAlignment="1">
      <alignment horizontal="left"/>
    </xf>
    <xf numFmtId="3" fontId="26" fillId="0" borderId="9" xfId="7" applyNumberFormat="1" applyFont="1" applyFill="1" applyBorder="1"/>
    <xf numFmtId="169" fontId="26" fillId="15" borderId="9" xfId="7" applyNumberFormat="1" applyFont="1" applyFill="1" applyBorder="1" applyAlignment="1">
      <alignment horizontal="right"/>
    </xf>
    <xf numFmtId="10" fontId="26" fillId="0" borderId="0" xfId="7" applyNumberFormat="1" applyFont="1" applyFill="1"/>
    <xf numFmtId="0" fontId="26" fillId="0" borderId="0" xfId="7" applyFont="1" applyFill="1"/>
    <xf numFmtId="189" fontId="25" fillId="0" borderId="0" xfId="13" applyNumberFormat="1" applyFont="1" applyFill="1"/>
    <xf numFmtId="169" fontId="25" fillId="0" borderId="0" xfId="8" applyNumberFormat="1" applyFont="1" applyFill="1"/>
    <xf numFmtId="0" fontId="24" fillId="0" borderId="0" xfId="7" applyFont="1" applyAlignment="1">
      <alignment horizontal="centerContinuous"/>
    </xf>
    <xf numFmtId="0" fontId="24" fillId="0" borderId="0" xfId="7" applyFont="1" applyBorder="1"/>
    <xf numFmtId="3" fontId="24" fillId="0" borderId="0" xfId="7" applyNumberFormat="1" applyFont="1" applyAlignment="1">
      <alignment horizontal="center"/>
    </xf>
    <xf numFmtId="3" fontId="24" fillId="0" borderId="0" xfId="7" applyNumberFormat="1" applyFont="1" applyFill="1" applyAlignment="1">
      <alignment horizontal="center"/>
    </xf>
    <xf numFmtId="37" fontId="25" fillId="0" borderId="0" xfId="7" applyNumberFormat="1" applyFont="1" applyAlignment="1"/>
    <xf numFmtId="169" fontId="25" fillId="15" borderId="0" xfId="8" applyNumberFormat="1" applyFont="1" applyFill="1" applyAlignment="1">
      <alignment horizontal="right"/>
    </xf>
    <xf numFmtId="37" fontId="25" fillId="0" borderId="0" xfId="7" applyNumberFormat="1" applyFont="1" applyFill="1" applyAlignment="1"/>
    <xf numFmtId="10" fontId="25" fillId="15" borderId="0" xfId="7" applyNumberFormat="1" applyFont="1" applyFill="1" applyAlignment="1">
      <alignment horizontal="right"/>
    </xf>
    <xf numFmtId="0" fontId="24" fillId="0" borderId="25" xfId="7" applyFont="1" applyBorder="1"/>
    <xf numFmtId="37" fontId="24" fillId="0" borderId="25" xfId="7" applyNumberFormat="1" applyFont="1" applyBorder="1" applyAlignment="1"/>
    <xf numFmtId="169" fontId="25" fillId="15" borderId="25" xfId="8" applyNumberFormat="1" applyFont="1" applyFill="1" applyBorder="1" applyAlignment="1">
      <alignment horizontal="right"/>
    </xf>
    <xf numFmtId="37" fontId="24" fillId="0" borderId="25" xfId="7" applyNumberFormat="1" applyFont="1" applyFill="1" applyBorder="1" applyAlignment="1"/>
    <xf numFmtId="10" fontId="25" fillId="15" borderId="25" xfId="7" applyNumberFormat="1" applyFont="1" applyFill="1" applyBorder="1" applyAlignment="1">
      <alignment horizontal="right"/>
    </xf>
    <xf numFmtId="37" fontId="25" fillId="0" borderId="25" xfId="7" applyNumberFormat="1" applyFont="1" applyBorder="1" applyAlignment="1"/>
    <xf numFmtId="37" fontId="25" fillId="0" borderId="25" xfId="7" applyNumberFormat="1" applyFont="1" applyFill="1" applyBorder="1" applyAlignment="1"/>
    <xf numFmtId="10" fontId="25" fillId="0" borderId="0" xfId="7" applyNumberFormat="1" applyFont="1" applyFill="1" applyBorder="1" applyAlignment="1">
      <alignment horizontal="right"/>
    </xf>
    <xf numFmtId="10" fontId="26" fillId="0" borderId="0" xfId="7" applyNumberFormat="1" applyFont="1" applyFill="1" applyBorder="1" applyAlignment="1">
      <alignment horizontal="right"/>
    </xf>
    <xf numFmtId="37" fontId="25" fillId="0" borderId="0" xfId="7" applyNumberFormat="1" applyFont="1"/>
    <xf numFmtId="37" fontId="25" fillId="0" borderId="0" xfId="7" applyNumberFormat="1" applyFont="1" applyFill="1"/>
    <xf numFmtId="169" fontId="27" fillId="15" borderId="0" xfId="8" applyNumberFormat="1" applyFont="1" applyFill="1" applyAlignment="1">
      <alignment horizontal="right"/>
    </xf>
    <xf numFmtId="10" fontId="27" fillId="15" borderId="0" xfId="7" applyNumberFormat="1" applyFont="1" applyFill="1" applyAlignment="1">
      <alignment horizontal="right"/>
    </xf>
    <xf numFmtId="169" fontId="27" fillId="15" borderId="25" xfId="8" applyNumberFormat="1" applyFont="1" applyFill="1" applyBorder="1" applyAlignment="1">
      <alignment horizontal="right"/>
    </xf>
    <xf numFmtId="10" fontId="27" fillId="15" borderId="25" xfId="7" applyNumberFormat="1" applyFont="1" applyFill="1" applyBorder="1" applyAlignment="1">
      <alignment horizontal="right"/>
    </xf>
    <xf numFmtId="0" fontId="24" fillId="0" borderId="28" xfId="7" applyFont="1" applyBorder="1"/>
    <xf numFmtId="39" fontId="25" fillId="0" borderId="25" xfId="7" applyNumberFormat="1" applyFont="1" applyBorder="1" applyAlignment="1"/>
    <xf numFmtId="169" fontId="26" fillId="15" borderId="25" xfId="8" applyNumberFormat="1" applyFont="1" applyFill="1" applyBorder="1" applyAlignment="1">
      <alignment horizontal="right"/>
    </xf>
    <xf numFmtId="39" fontId="25" fillId="0" borderId="25" xfId="7" applyNumberFormat="1" applyFont="1" applyFill="1" applyBorder="1" applyAlignment="1"/>
    <xf numFmtId="10" fontId="25" fillId="15" borderId="25" xfId="7" applyNumberFormat="1" applyFont="1" applyFill="1" applyBorder="1"/>
    <xf numFmtId="190" fontId="6" fillId="0" borderId="0" xfId="14" applyNumberFormat="1" applyFont="1" applyFill="1" applyBorder="1" applyAlignment="1">
      <alignment horizontal="right"/>
    </xf>
    <xf numFmtId="3" fontId="25" fillId="0" borderId="0" xfId="7" applyNumberFormat="1" applyFont="1"/>
    <xf numFmtId="190" fontId="6" fillId="0" borderId="0" xfId="7" applyNumberFormat="1" applyFont="1" applyFill="1" applyBorder="1" applyAlignment="1">
      <alignment horizontal="right"/>
    </xf>
    <xf numFmtId="190" fontId="25" fillId="0" borderId="0" xfId="7" applyNumberFormat="1" applyFont="1" applyFill="1"/>
    <xf numFmtId="10" fontId="25" fillId="15" borderId="0" xfId="8" applyNumberFormat="1" applyFont="1" applyFill="1" applyAlignment="1">
      <alignment horizontal="right"/>
    </xf>
    <xf numFmtId="10" fontId="24" fillId="0" borderId="0" xfId="7" applyNumberFormat="1" applyFont="1" applyFill="1"/>
    <xf numFmtId="169" fontId="25" fillId="0" borderId="0" xfId="8" applyNumberFormat="1" applyFont="1" applyFill="1" applyAlignment="1">
      <alignment horizontal="right"/>
    </xf>
    <xf numFmtId="169" fontId="25" fillId="0" borderId="25" xfId="8" applyNumberFormat="1" applyFont="1" applyFill="1" applyBorder="1" applyAlignment="1">
      <alignment horizontal="right"/>
    </xf>
    <xf numFmtId="169" fontId="27" fillId="0" borderId="0" xfId="8" applyNumberFormat="1" applyFont="1" applyFill="1" applyAlignment="1">
      <alignment horizontal="right"/>
    </xf>
    <xf numFmtId="169" fontId="27" fillId="0" borderId="25" xfId="8" applyNumberFormat="1" applyFont="1" applyFill="1" applyBorder="1" applyAlignment="1">
      <alignment horizontal="right"/>
    </xf>
    <xf numFmtId="169" fontId="26" fillId="0" borderId="25" xfId="8" applyNumberFormat="1" applyFont="1" applyFill="1" applyBorder="1" applyAlignment="1">
      <alignment horizontal="right"/>
    </xf>
    <xf numFmtId="10" fontId="27" fillId="15" borderId="0" xfId="7" applyNumberFormat="1" applyFont="1" applyFill="1" applyBorder="1" applyAlignment="1">
      <alignment horizontal="right"/>
    </xf>
    <xf numFmtId="10" fontId="27" fillId="15" borderId="19" xfId="7" applyNumberFormat="1" applyFont="1" applyFill="1" applyBorder="1" applyAlignment="1">
      <alignment horizontal="right"/>
    </xf>
    <xf numFmtId="10" fontId="24" fillId="0" borderId="0" xfId="7" applyNumberFormat="1" applyFont="1" applyFill="1" applyBorder="1" applyAlignment="1">
      <alignment horizontal="center"/>
    </xf>
    <xf numFmtId="169" fontId="25" fillId="0" borderId="19" xfId="7" applyNumberFormat="1" applyFont="1" applyFill="1" applyBorder="1" applyAlignment="1">
      <alignment horizontal="right"/>
    </xf>
    <xf numFmtId="169" fontId="24" fillId="0" borderId="8" xfId="7" applyNumberFormat="1" applyFont="1" applyFill="1" applyBorder="1" applyAlignment="1">
      <alignment horizontal="right"/>
    </xf>
    <xf numFmtId="169" fontId="24" fillId="0" borderId="9" xfId="7" applyNumberFormat="1" applyFont="1" applyFill="1" applyBorder="1" applyAlignment="1">
      <alignment horizontal="right"/>
    </xf>
    <xf numFmtId="169" fontId="26" fillId="0" borderId="8" xfId="7" applyNumberFormat="1" applyFont="1" applyFill="1" applyBorder="1" applyAlignment="1">
      <alignment horizontal="right"/>
    </xf>
    <xf numFmtId="169" fontId="26" fillId="0" borderId="4" xfId="7" applyNumberFormat="1" applyFont="1" applyFill="1" applyBorder="1" applyAlignment="1">
      <alignment horizontal="right"/>
    </xf>
    <xf numFmtId="169" fontId="26" fillId="0" borderId="9" xfId="7" applyNumberFormat="1" applyFont="1" applyFill="1" applyBorder="1" applyAlignment="1">
      <alignment horizontal="right"/>
    </xf>
    <xf numFmtId="41" fontId="8" fillId="0" borderId="0" xfId="1" applyFont="1" applyAlignment="1">
      <alignment horizontal="center" vertical="center"/>
    </xf>
    <xf numFmtId="0" fontId="29" fillId="0" borderId="0" xfId="0" applyNumberFormat="1" applyFont="1" applyFill="1" applyBorder="1" applyAlignment="1" applyProtection="1">
      <alignment horizontal="centerContinuous"/>
    </xf>
    <xf numFmtId="0" fontId="29" fillId="0" borderId="29" xfId="0" applyNumberFormat="1" applyFont="1" applyFill="1" applyBorder="1" applyAlignment="1" applyProtection="1">
      <alignment horizontal="center"/>
    </xf>
    <xf numFmtId="0" fontId="29" fillId="0" borderId="0" xfId="0" applyNumberFormat="1" applyFont="1" applyFill="1" applyBorder="1" applyAlignment="1" applyProtection="1">
      <alignment horizontal="center"/>
    </xf>
    <xf numFmtId="192" fontId="0" fillId="0" borderId="0" xfId="15" applyNumberFormat="1" applyFont="1" applyFill="1"/>
    <xf numFmtId="192" fontId="2" fillId="0" borderId="0" xfId="15" applyNumberFormat="1" applyFont="1" applyFill="1"/>
    <xf numFmtId="192" fontId="0" fillId="0" borderId="0" xfId="0" applyNumberFormat="1"/>
    <xf numFmtId="0" fontId="30" fillId="0" borderId="0" xfId="0" applyNumberFormat="1" applyFont="1" applyFill="1" applyBorder="1" applyAlignment="1" applyProtection="1"/>
    <xf numFmtId="192" fontId="30" fillId="0" borderId="0" xfId="15" applyNumberFormat="1" applyFont="1" applyFill="1" applyBorder="1" applyAlignment="1" applyProtection="1"/>
    <xf numFmtId="0" fontId="31" fillId="0" borderId="3" xfId="0" applyNumberFormat="1" applyFont="1" applyFill="1" applyBorder="1" applyAlignment="1" applyProtection="1">
      <alignment horizontal="center"/>
    </xf>
    <xf numFmtId="0" fontId="31" fillId="0" borderId="4" xfId="0" applyNumberFormat="1" applyFont="1" applyFill="1" applyBorder="1" applyAlignment="1" applyProtection="1">
      <alignment horizontal="center"/>
    </xf>
    <xf numFmtId="9" fontId="30" fillId="0" borderId="4" xfId="3" applyFont="1" applyFill="1" applyBorder="1" applyAlignment="1" applyProtection="1">
      <alignment horizontal="center"/>
    </xf>
    <xf numFmtId="192" fontId="0" fillId="0" borderId="0" xfId="15" applyNumberFormat="1" applyFont="1"/>
    <xf numFmtId="0" fontId="0" fillId="0" borderId="0" xfId="0" applyFont="1"/>
    <xf numFmtId="192" fontId="2" fillId="0" borderId="0" xfId="0" applyNumberFormat="1" applyFont="1" applyFill="1"/>
    <xf numFmtId="0" fontId="32" fillId="0" borderId="0" xfId="0" applyNumberFormat="1" applyFont="1" applyFill="1" applyBorder="1" applyAlignment="1" applyProtection="1">
      <alignment horizontal="centerContinuous"/>
    </xf>
    <xf numFmtId="0" fontId="14" fillId="0" borderId="0" xfId="0" applyFont="1"/>
    <xf numFmtId="0" fontId="29" fillId="2" borderId="0" xfId="0" applyNumberFormat="1" applyFont="1" applyFill="1" applyBorder="1" applyAlignment="1" applyProtection="1">
      <alignment horizontal="center"/>
    </xf>
    <xf numFmtId="0" fontId="33" fillId="0" borderId="0" xfId="0" applyNumberFormat="1" applyFont="1" applyFill="1" applyBorder="1" applyAlignment="1" applyProtection="1">
      <alignment horizontal="center"/>
    </xf>
    <xf numFmtId="0" fontId="28" fillId="0" borderId="0" xfId="0" applyFont="1"/>
    <xf numFmtId="0" fontId="28" fillId="0" borderId="0" xfId="0" applyFont="1" applyFill="1"/>
    <xf numFmtId="192" fontId="14" fillId="0" borderId="0" xfId="0" applyNumberFormat="1" applyFont="1" applyFill="1"/>
    <xf numFmtId="192" fontId="34" fillId="0" borderId="0" xfId="0" applyNumberFormat="1" applyFont="1" applyFill="1"/>
    <xf numFmtId="192" fontId="7" fillId="0" borderId="0" xfId="0" applyNumberFormat="1" applyFont="1"/>
    <xf numFmtId="192" fontId="7" fillId="0" borderId="0" xfId="0" applyNumberFormat="1" applyFont="1" applyFill="1"/>
    <xf numFmtId="0" fontId="14" fillId="0" borderId="0" xfId="0" applyFont="1" applyFill="1"/>
    <xf numFmtId="192" fontId="35" fillId="0" borderId="0" xfId="0" applyNumberFormat="1" applyFont="1" applyFill="1" applyAlignment="1">
      <alignment horizontal="centerContinuous"/>
    </xf>
    <xf numFmtId="192" fontId="28" fillId="0" borderId="0" xfId="0" applyNumberFormat="1" applyFont="1"/>
    <xf numFmtId="0" fontId="7" fillId="0" borderId="0" xfId="0" applyFont="1"/>
    <xf numFmtId="0" fontId="36" fillId="0" borderId="29" xfId="0" applyNumberFormat="1" applyFont="1" applyFill="1" applyBorder="1" applyAlignment="1" applyProtection="1"/>
    <xf numFmtId="0" fontId="12" fillId="0" borderId="29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/>
    <xf numFmtId="192" fontId="8" fillId="0" borderId="0" xfId="0" applyNumberFormat="1" applyFont="1"/>
    <xf numFmtId="192" fontId="8" fillId="0" borderId="0" xfId="0" applyNumberFormat="1" applyFont="1" applyFill="1"/>
    <xf numFmtId="10" fontId="7" fillId="0" borderId="0" xfId="3" applyNumberFormat="1" applyFont="1" applyFill="1"/>
    <xf numFmtId="0" fontId="37" fillId="11" borderId="0" xfId="0" applyFont="1" applyFill="1" applyAlignment="1">
      <alignment horizontal="centerContinuous"/>
    </xf>
    <xf numFmtId="0" fontId="37" fillId="0" borderId="0" xfId="0" applyFont="1" applyFill="1" applyAlignment="1">
      <alignment horizontal="centerContinuous"/>
    </xf>
    <xf numFmtId="0" fontId="12" fillId="0" borderId="0" xfId="0" applyNumberFormat="1" applyFont="1" applyFill="1" applyBorder="1" applyAlignment="1" applyProtection="1">
      <alignment horizontal="center"/>
    </xf>
    <xf numFmtId="0" fontId="12" fillId="2" borderId="0" xfId="0" applyNumberFormat="1" applyFont="1" applyFill="1" applyBorder="1" applyAlignment="1" applyProtection="1">
      <alignment horizontal="center"/>
    </xf>
    <xf numFmtId="169" fontId="7" fillId="0" borderId="0" xfId="3" applyNumberFormat="1" applyFont="1" applyFill="1"/>
    <xf numFmtId="0" fontId="7" fillId="0" borderId="0" xfId="0" applyFont="1" applyFill="1"/>
    <xf numFmtId="0" fontId="38" fillId="0" borderId="0" xfId="0" applyNumberFormat="1" applyFont="1" applyFill="1" applyBorder="1" applyAlignment="1" applyProtection="1"/>
    <xf numFmtId="38" fontId="0" fillId="0" borderId="0" xfId="0" applyNumberFormat="1"/>
    <xf numFmtId="10" fontId="2" fillId="0" borderId="1" xfId="3" applyNumberFormat="1" applyFont="1" applyBorder="1" applyAlignment="1">
      <alignment horizontal="center"/>
    </xf>
    <xf numFmtId="38" fontId="0" fillId="0" borderId="0" xfId="0" applyNumberFormat="1" applyFill="1" applyAlignment="1">
      <alignment horizontal="right"/>
    </xf>
    <xf numFmtId="192" fontId="2" fillId="0" borderId="0" xfId="15" applyNumberFormat="1" applyFont="1" applyFill="1" applyAlignment="1">
      <alignment horizontal="right"/>
    </xf>
    <xf numFmtId="0" fontId="0" fillId="0" borderId="0" xfId="0" applyAlignment="1">
      <alignment horizontal="right"/>
    </xf>
    <xf numFmtId="192" fontId="0" fillId="3" borderId="0" xfId="0" applyNumberFormat="1" applyFill="1"/>
    <xf numFmtId="191" fontId="0" fillId="0" borderId="0" xfId="0" applyNumberFormat="1"/>
    <xf numFmtId="43" fontId="0" fillId="0" borderId="0" xfId="0" applyNumberFormat="1"/>
    <xf numFmtId="0" fontId="8" fillId="0" borderId="0" xfId="0" applyFont="1"/>
    <xf numFmtId="0" fontId="7" fillId="0" borderId="0" xfId="0" applyFont="1" applyAlignment="1">
      <alignment horizontal="left" indent="2"/>
    </xf>
    <xf numFmtId="38" fontId="7" fillId="0" borderId="0" xfId="0" applyNumberFormat="1" applyFont="1" applyFill="1" applyAlignment="1">
      <alignment horizontal="right"/>
    </xf>
    <xf numFmtId="0" fontId="8" fillId="0" borderId="0" xfId="0" applyFont="1" applyAlignment="1"/>
    <xf numFmtId="0" fontId="8" fillId="0" borderId="0" xfId="0" applyFont="1" applyAlignment="1">
      <alignment horizontal="left" indent="2"/>
    </xf>
    <xf numFmtId="0" fontId="36" fillId="13" borderId="20" xfId="0" applyNumberFormat="1" applyFont="1" applyFill="1" applyBorder="1" applyAlignment="1" applyProtection="1"/>
    <xf numFmtId="0" fontId="0" fillId="13" borderId="21" xfId="0" applyFill="1" applyBorder="1"/>
    <xf numFmtId="0" fontId="36" fillId="13" borderId="27" xfId="0" applyNumberFormat="1" applyFont="1" applyFill="1" applyBorder="1" applyAlignment="1" applyProtection="1"/>
    <xf numFmtId="0" fontId="0" fillId="13" borderId="25" xfId="0" applyFill="1" applyBorder="1"/>
    <xf numFmtId="0" fontId="0" fillId="13" borderId="26" xfId="0" applyFill="1" applyBorder="1"/>
    <xf numFmtId="0" fontId="36" fillId="0" borderId="29" xfId="0" applyNumberFormat="1" applyFont="1" applyFill="1" applyBorder="1" applyAlignment="1" applyProtection="1">
      <alignment horizontal="left"/>
    </xf>
    <xf numFmtId="0" fontId="36" fillId="0" borderId="0" xfId="0" applyNumberFormat="1" applyFont="1" applyFill="1" applyBorder="1" applyAlignment="1" applyProtection="1">
      <alignment horizontal="left"/>
    </xf>
    <xf numFmtId="0" fontId="36" fillId="2" borderId="29" xfId="0" applyNumberFormat="1" applyFont="1" applyFill="1" applyBorder="1" applyAlignment="1" applyProtection="1">
      <alignment horizontal="left"/>
    </xf>
    <xf numFmtId="10" fontId="7" fillId="2" borderId="0" xfId="3" applyNumberFormat="1" applyFont="1" applyFill="1"/>
    <xf numFmtId="10" fontId="0" fillId="2" borderId="0" xfId="0" applyNumberFormat="1" applyFill="1"/>
    <xf numFmtId="0" fontId="2" fillId="2" borderId="0" xfId="0" applyFont="1" applyFill="1"/>
    <xf numFmtId="41" fontId="0" fillId="2" borderId="0" xfId="1" applyFont="1" applyFill="1"/>
    <xf numFmtId="41" fontId="2" fillId="2" borderId="0" xfId="1" applyFont="1" applyFill="1"/>
    <xf numFmtId="41" fontId="2" fillId="2" borderId="0" xfId="1" applyFont="1" applyFill="1" applyAlignment="1">
      <alignment horizontal="right"/>
    </xf>
    <xf numFmtId="180" fontId="2" fillId="3" borderId="1" xfId="1" applyNumberFormat="1" applyFont="1" applyFill="1" applyBorder="1"/>
    <xf numFmtId="0" fontId="2" fillId="3" borderId="1" xfId="0" applyFont="1" applyFill="1" applyBorder="1" applyAlignment="1">
      <alignment horizontal="left"/>
    </xf>
    <xf numFmtId="10" fontId="2" fillId="2" borderId="1" xfId="3" applyNumberFormat="1" applyFont="1" applyFill="1" applyBorder="1"/>
    <xf numFmtId="167" fontId="2" fillId="2" borderId="1" xfId="3" applyNumberFormat="1" applyFont="1" applyFill="1" applyBorder="1"/>
    <xf numFmtId="182" fontId="2" fillId="2" borderId="1" xfId="11" applyNumberFormat="1" applyFont="1" applyFill="1" applyBorder="1"/>
    <xf numFmtId="180" fontId="2" fillId="2" borderId="1" xfId="11" applyNumberFormat="1" applyFont="1" applyFill="1" applyBorder="1"/>
    <xf numFmtId="0" fontId="2" fillId="0" borderId="6" xfId="0" applyFont="1" applyFill="1" applyBorder="1"/>
    <xf numFmtId="193" fontId="2" fillId="2" borderId="1" xfId="11" applyNumberFormat="1" applyFont="1" applyFill="1" applyBorder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7" fontId="0" fillId="0" borderId="1" xfId="11" applyNumberFormat="1" applyFont="1" applyBorder="1"/>
    <xf numFmtId="10" fontId="7" fillId="0" borderId="25" xfId="3" applyNumberFormat="1" applyFont="1" applyBorder="1" applyAlignment="1">
      <alignment horizontal="center" vertical="center"/>
    </xf>
    <xf numFmtId="0" fontId="36" fillId="13" borderId="30" xfId="0" applyNumberFormat="1" applyFont="1" applyFill="1" applyBorder="1" applyAlignment="1" applyProtection="1"/>
    <xf numFmtId="0" fontId="36" fillId="13" borderId="28" xfId="0" applyNumberFormat="1" applyFont="1" applyFill="1" applyBorder="1" applyAlignment="1" applyProtection="1"/>
    <xf numFmtId="192" fontId="37" fillId="0" borderId="0" xfId="0" applyNumberFormat="1" applyFont="1" applyFill="1" applyAlignment="1">
      <alignment horizontal="centerContinuous"/>
    </xf>
    <xf numFmtId="0" fontId="0" fillId="0" borderId="0" xfId="0" applyFont="1" applyFill="1"/>
    <xf numFmtId="41" fontId="2" fillId="13" borderId="22" xfId="1" applyNumberFormat="1" applyFont="1" applyFill="1" applyBorder="1"/>
    <xf numFmtId="41" fontId="36" fillId="13" borderId="31" xfId="1" applyNumberFormat="1" applyFont="1" applyFill="1" applyBorder="1" applyAlignment="1" applyProtection="1"/>
    <xf numFmtId="192" fontId="0" fillId="2" borderId="0" xfId="0" applyNumberFormat="1" applyFill="1"/>
    <xf numFmtId="0" fontId="24" fillId="0" borderId="0" xfId="7" applyFont="1" applyBorder="1" applyAlignment="1"/>
    <xf numFmtId="8" fontId="0" fillId="0" borderId="1" xfId="1" applyNumberFormat="1" applyFont="1" applyBorder="1"/>
    <xf numFmtId="180" fontId="0" fillId="0" borderId="1" xfId="0" applyNumberFormat="1" applyBorder="1"/>
    <xf numFmtId="9" fontId="0" fillId="0" borderId="1" xfId="3" applyFont="1" applyFill="1" applyBorder="1"/>
    <xf numFmtId="1" fontId="0" fillId="0" borderId="0" xfId="0" applyNumberFormat="1" applyFill="1" applyBorder="1"/>
    <xf numFmtId="167" fontId="2" fillId="0" borderId="1" xfId="0" applyNumberFormat="1" applyFont="1" applyBorder="1"/>
    <xf numFmtId="41" fontId="2" fillId="2" borderId="1" xfId="1" applyFont="1" applyFill="1" applyBorder="1"/>
    <xf numFmtId="10" fontId="2" fillId="2" borderId="1" xfId="0" applyNumberFormat="1" applyFont="1" applyFill="1" applyBorder="1"/>
    <xf numFmtId="0" fontId="2" fillId="0" borderId="32" xfId="0" applyFont="1" applyBorder="1" applyAlignment="1">
      <alignment horizontal="center"/>
    </xf>
    <xf numFmtId="0" fontId="0" fillId="0" borderId="33" xfId="0" applyFill="1" applyBorder="1"/>
    <xf numFmtId="194" fontId="0" fillId="0" borderId="32" xfId="0" applyNumberFormat="1" applyBorder="1"/>
    <xf numFmtId="194" fontId="0" fillId="0" borderId="33" xfId="0" applyNumberFormat="1" applyBorder="1"/>
    <xf numFmtId="0" fontId="0" fillId="0" borderId="34" xfId="0" applyFill="1" applyBorder="1"/>
    <xf numFmtId="0" fontId="0" fillId="0" borderId="34" xfId="0" applyBorder="1"/>
    <xf numFmtId="41" fontId="36" fillId="13" borderId="35" xfId="1" applyFont="1" applyFill="1" applyBorder="1" applyAlignment="1" applyProtection="1"/>
    <xf numFmtId="192" fontId="0" fillId="0" borderId="0" xfId="0" applyNumberFormat="1" applyFill="1"/>
    <xf numFmtId="0" fontId="36" fillId="0" borderId="29" xfId="0" applyNumberFormat="1" applyFont="1" applyFill="1" applyBorder="1" applyAlignment="1" applyProtection="1">
      <alignment horizontal="center"/>
    </xf>
    <xf numFmtId="0" fontId="36" fillId="10" borderId="29" xfId="0" applyNumberFormat="1" applyFont="1" applyFill="1" applyBorder="1" applyAlignment="1" applyProtection="1"/>
    <xf numFmtId="192" fontId="0" fillId="10" borderId="0" xfId="0" applyNumberFormat="1" applyFill="1"/>
    <xf numFmtId="9" fontId="0" fillId="0" borderId="0" xfId="0" applyNumberFormat="1" applyFill="1"/>
    <xf numFmtId="0" fontId="36" fillId="10" borderId="29" xfId="0" applyNumberFormat="1" applyFont="1" applyFill="1" applyBorder="1" applyAlignment="1" applyProtection="1">
      <alignment horizontal="center"/>
    </xf>
    <xf numFmtId="0" fontId="0" fillId="0" borderId="20" xfId="0" applyBorder="1"/>
    <xf numFmtId="0" fontId="0" fillId="0" borderId="23" xfId="0" applyBorder="1"/>
    <xf numFmtId="0" fontId="0" fillId="0" borderId="24" xfId="0" applyBorder="1"/>
    <xf numFmtId="0" fontId="0" fillId="0" borderId="27" xfId="0" applyBorder="1"/>
    <xf numFmtId="0" fontId="0" fillId="0" borderId="32" xfId="0" applyBorder="1"/>
    <xf numFmtId="0" fontId="0" fillId="0" borderId="33" xfId="0" applyBorder="1"/>
    <xf numFmtId="41" fontId="0" fillId="0" borderId="23" xfId="0" applyNumberFormat="1" applyBorder="1"/>
    <xf numFmtId="38" fontId="0" fillId="0" borderId="33" xfId="0" applyNumberFormat="1" applyBorder="1"/>
    <xf numFmtId="0" fontId="2" fillId="0" borderId="23" xfId="0" applyFont="1" applyBorder="1"/>
    <xf numFmtId="0" fontId="2" fillId="0" borderId="2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20" xfId="0" applyFont="1" applyBorder="1"/>
    <xf numFmtId="41" fontId="0" fillId="0" borderId="21" xfId="1" applyFont="1" applyBorder="1"/>
    <xf numFmtId="10" fontId="0" fillId="0" borderId="22" xfId="3" applyNumberFormat="1" applyFont="1" applyBorder="1"/>
    <xf numFmtId="10" fontId="0" fillId="0" borderId="24" xfId="3" applyNumberFormat="1" applyFont="1" applyBorder="1"/>
    <xf numFmtId="41" fontId="0" fillId="0" borderId="0" xfId="0" applyNumberFormat="1" applyBorder="1"/>
    <xf numFmtId="0" fontId="2" fillId="0" borderId="27" xfId="0" applyFont="1" applyBorder="1"/>
    <xf numFmtId="41" fontId="0" fillId="0" borderId="25" xfId="0" applyNumberFormat="1" applyBorder="1"/>
    <xf numFmtId="10" fontId="0" fillId="0" borderId="26" xfId="0" applyNumberFormat="1" applyBorder="1"/>
    <xf numFmtId="170" fontId="8" fillId="7" borderId="5" xfId="5" applyFont="1" applyFill="1" applyBorder="1" applyAlignment="1">
      <alignment vertical="center" wrapText="1"/>
    </xf>
    <xf numFmtId="0" fontId="2" fillId="0" borderId="1" xfId="0" applyFont="1" applyBorder="1" applyAlignment="1">
      <alignment horizontal="center"/>
    </xf>
    <xf numFmtId="0" fontId="0" fillId="2" borderId="0" xfId="0" applyFill="1"/>
    <xf numFmtId="10" fontId="2" fillId="2" borderId="1" xfId="3" applyNumberFormat="1" applyFont="1" applyFill="1" applyBorder="1" applyAlignment="1">
      <alignment horizontal="center"/>
    </xf>
    <xf numFmtId="10" fontId="0" fillId="2" borderId="1" xfId="3" applyNumberFormat="1" applyFont="1" applyFill="1" applyBorder="1"/>
    <xf numFmtId="10" fontId="0" fillId="2" borderId="1" xfId="0" applyNumberFormat="1" applyFill="1" applyBorder="1"/>
    <xf numFmtId="176" fontId="0" fillId="2" borderId="1" xfId="0" applyNumberFormat="1" applyFill="1" applyBorder="1"/>
    <xf numFmtId="42" fontId="2" fillId="2" borderId="1" xfId="2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167" fontId="10" fillId="3" borderId="1" xfId="3" applyNumberFormat="1" applyFont="1" applyFill="1" applyBorder="1"/>
    <xf numFmtId="167" fontId="0" fillId="0" borderId="0" xfId="0" applyNumberFormat="1"/>
    <xf numFmtId="0" fontId="34" fillId="0" borderId="0" xfId="0" applyFont="1" applyFill="1"/>
    <xf numFmtId="0" fontId="14" fillId="0" borderId="1" xfId="0" applyFont="1" applyFill="1" applyBorder="1"/>
    <xf numFmtId="180" fontId="14" fillId="0" borderId="1" xfId="1" applyNumberFormat="1" applyFont="1" applyFill="1" applyBorder="1"/>
    <xf numFmtId="180" fontId="0" fillId="0" borderId="1" xfId="1" applyNumberFormat="1" applyFont="1" applyFill="1" applyBorder="1"/>
    <xf numFmtId="180" fontId="2" fillId="0" borderId="1" xfId="1" applyNumberFormat="1" applyFont="1" applyFill="1" applyBorder="1"/>
    <xf numFmtId="10" fontId="0" fillId="0" borderId="0" xfId="0" applyNumberFormat="1" applyFill="1"/>
    <xf numFmtId="41" fontId="0" fillId="0" borderId="0" xfId="0" applyNumberFormat="1" applyFill="1"/>
    <xf numFmtId="0" fontId="2" fillId="10" borderId="3" xfId="0" applyFont="1" applyFill="1" applyBorder="1" applyAlignment="1">
      <alignment horizontal="center"/>
    </xf>
    <xf numFmtId="0" fontId="2" fillId="10" borderId="4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42" fontId="2" fillId="2" borderId="3" xfId="0" applyNumberFormat="1" applyFont="1" applyFill="1" applyBorder="1" applyAlignment="1"/>
    <xf numFmtId="0" fontId="2" fillId="2" borderId="4" xfId="0" applyFont="1" applyFill="1" applyBorder="1" applyAlignment="1"/>
    <xf numFmtId="0" fontId="2" fillId="2" borderId="5" xfId="0" applyFont="1" applyFill="1" applyBorder="1" applyAlignment="1"/>
    <xf numFmtId="41" fontId="2" fillId="10" borderId="3" xfId="1" applyFont="1" applyFill="1" applyBorder="1" applyAlignment="1">
      <alignment horizontal="center"/>
    </xf>
    <xf numFmtId="41" fontId="2" fillId="10" borderId="5" xfId="1" applyFont="1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left"/>
    </xf>
    <xf numFmtId="0" fontId="0" fillId="6" borderId="2" xfId="0" applyFill="1" applyBorder="1" applyAlignment="1">
      <alignment horizontal="center"/>
    </xf>
    <xf numFmtId="0" fontId="2" fillId="8" borderId="0" xfId="0" applyFont="1" applyFill="1" applyBorder="1" applyAlignment="1">
      <alignment horizontal="center"/>
    </xf>
    <xf numFmtId="176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2" fillId="6" borderId="0" xfId="0" applyFont="1" applyFill="1" applyBorder="1" applyAlignment="1">
      <alignment horizontal="center"/>
    </xf>
    <xf numFmtId="10" fontId="2" fillId="2" borderId="1" xfId="3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0" fontId="2" fillId="0" borderId="1" xfId="3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70" fontId="8" fillId="7" borderId="3" xfId="5" applyFont="1" applyFill="1" applyBorder="1" applyAlignment="1">
      <alignment horizontal="center" vertical="center" wrapText="1"/>
    </xf>
    <xf numFmtId="170" fontId="8" fillId="7" borderId="5" xfId="5" applyFont="1" applyFill="1" applyBorder="1" applyAlignment="1">
      <alignment horizontal="center" vertical="center" wrapText="1"/>
    </xf>
    <xf numFmtId="170" fontId="8" fillId="7" borderId="4" xfId="5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41" fontId="0" fillId="0" borderId="6" xfId="1" applyFont="1" applyFill="1" applyBorder="1" applyAlignment="1">
      <alignment horizontal="center" vertical="center" wrapText="1"/>
    </xf>
    <xf numFmtId="41" fontId="0" fillId="0" borderId="2" xfId="1" applyFont="1" applyFill="1" applyBorder="1" applyAlignment="1">
      <alignment horizontal="center" vertical="center" wrapText="1"/>
    </xf>
    <xf numFmtId="41" fontId="0" fillId="0" borderId="7" xfId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left" vertical="center" wrapText="1"/>
    </xf>
    <xf numFmtId="0" fontId="0" fillId="0" borderId="0" xfId="0" applyAlignment="1">
      <alignment horizontal="left"/>
    </xf>
    <xf numFmtId="41" fontId="0" fillId="0" borderId="1" xfId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10" fillId="6" borderId="17" xfId="0" applyFont="1" applyFill="1" applyBorder="1" applyAlignment="1">
      <alignment horizontal="center" vertical="center" wrapText="1"/>
    </xf>
    <xf numFmtId="0" fontId="10" fillId="6" borderId="18" xfId="0" applyFont="1" applyFill="1" applyBorder="1" applyAlignment="1">
      <alignment horizontal="center" vertical="center" wrapText="1"/>
    </xf>
    <xf numFmtId="41" fontId="8" fillId="0" borderId="19" xfId="1" applyFont="1" applyFill="1" applyBorder="1" applyAlignment="1">
      <alignment horizontal="center" vertical="center"/>
    </xf>
    <xf numFmtId="41" fontId="8" fillId="0" borderId="23" xfId="1" applyFont="1" applyBorder="1" applyAlignment="1">
      <alignment horizontal="center" vertical="center"/>
    </xf>
    <xf numFmtId="41" fontId="8" fillId="0" borderId="0" xfId="1" applyFont="1" applyBorder="1" applyAlignment="1">
      <alignment horizontal="center" vertical="center"/>
    </xf>
    <xf numFmtId="41" fontId="8" fillId="0" borderId="24" xfId="1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9" fontId="2" fillId="0" borderId="1" xfId="0" applyNumberFormat="1" applyFont="1" applyBorder="1" applyAlignment="1">
      <alignment horizontal="center"/>
    </xf>
    <xf numFmtId="0" fontId="11" fillId="11" borderId="8" xfId="7" applyFont="1" applyFill="1" applyBorder="1" applyAlignment="1">
      <alignment horizontal="center" vertical="center" wrapText="1"/>
    </xf>
    <xf numFmtId="170" fontId="8" fillId="7" borderId="0" xfId="5" applyFont="1" applyFill="1" applyBorder="1" applyAlignment="1">
      <alignment horizontal="center" vertical="center" wrapText="1"/>
    </xf>
    <xf numFmtId="0" fontId="32" fillId="16" borderId="0" xfId="0" applyNumberFormat="1" applyFont="1" applyFill="1" applyBorder="1" applyAlignment="1" applyProtection="1">
      <alignment horizontal="center"/>
    </xf>
    <xf numFmtId="0" fontId="37" fillId="11" borderId="0" xfId="0" applyFont="1" applyFill="1" applyAlignment="1">
      <alignment horizontal="center"/>
    </xf>
    <xf numFmtId="0" fontId="29" fillId="16" borderId="0" xfId="0" applyNumberFormat="1" applyFont="1" applyFill="1" applyBorder="1" applyAlignment="1" applyProtection="1">
      <alignment horizontal="center"/>
    </xf>
    <xf numFmtId="0" fontId="24" fillId="0" borderId="0" xfId="7" applyFont="1" applyBorder="1" applyAlignment="1">
      <alignment horizontal="center"/>
    </xf>
    <xf numFmtId="0" fontId="25" fillId="0" borderId="0" xfId="7" applyFont="1" applyBorder="1" applyAlignment="1">
      <alignment horizontal="center"/>
    </xf>
    <xf numFmtId="0" fontId="24" fillId="0" borderId="0" xfId="7" applyFont="1" applyAlignment="1">
      <alignment horizontal="center"/>
    </xf>
    <xf numFmtId="0" fontId="25" fillId="0" borderId="0" xfId="7" applyFont="1" applyAlignment="1">
      <alignment horizontal="center"/>
    </xf>
    <xf numFmtId="0" fontId="10" fillId="8" borderId="0" xfId="0" applyFont="1" applyFill="1" applyBorder="1" applyAlignment="1">
      <alignment horizontal="center"/>
    </xf>
    <xf numFmtId="179" fontId="23" fillId="11" borderId="8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center"/>
    </xf>
  </cellXfs>
  <cellStyles count="16">
    <cellStyle name="Hipervínculo" xfId="4" builtinId="8"/>
    <cellStyle name="Millares" xfId="9" builtinId="3"/>
    <cellStyle name="Millares [0]" xfId="1" builtinId="6"/>
    <cellStyle name="Millares [0] 2" xfId="6"/>
    <cellStyle name="Millares 2" xfId="11"/>
    <cellStyle name="Millares 3" xfId="13"/>
    <cellStyle name="Millares 4" xfId="15"/>
    <cellStyle name="Moneda [0]" xfId="2" builtinId="7"/>
    <cellStyle name="Moneda [0] 2" xfId="5"/>
    <cellStyle name="Moneda 2" xfId="10"/>
    <cellStyle name="Moneda 3" xfId="12"/>
    <cellStyle name="Moneda 4" xfId="14"/>
    <cellStyle name="Normal" xfId="0" builtinId="0"/>
    <cellStyle name="Normal 2" xfId="7"/>
    <cellStyle name="Porcentaje" xfId="3" builtinId="5"/>
    <cellStyle name="Porcentaje 2" xfId="8"/>
  </cellStyles>
  <dxfs count="0"/>
  <tableStyles count="0" defaultTableStyle="TableStyleMedium2" defaultPivotStyle="PivotStyleLight16"/>
  <colors>
    <mruColors>
      <color rgb="FF2CDC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VAN</a:t>
            </a:r>
            <a:r>
              <a:rPr lang="en-US" baseline="0"/>
              <a:t> frente a tasa de descuento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'Balance '!$D$176:$D$188</c:f>
              <c:numCache>
                <c:formatCode>0%</c:formatCode>
                <c:ptCount val="13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</c:numCache>
            </c:numRef>
          </c:xVal>
          <c:yVal>
            <c:numRef>
              <c:f>'Balance '!$E$176:$E$188</c:f>
              <c:numCache>
                <c:formatCode>"$"#,##0.00_);[Red]\("$"#,##0.00\)</c:formatCode>
                <c:ptCount val="13"/>
                <c:pt idx="0">
                  <c:v>2205247536.9822826</c:v>
                </c:pt>
                <c:pt idx="1">
                  <c:v>1129432864.170001</c:v>
                </c:pt>
                <c:pt idx="2">
                  <c:v>283235817.88932228</c:v>
                </c:pt>
                <c:pt idx="3">
                  <c:v>-391408488.53233528</c:v>
                </c:pt>
                <c:pt idx="4">
                  <c:v>-935963137.93231344</c:v>
                </c:pt>
                <c:pt idx="5">
                  <c:v>-1380519142.8938065</c:v>
                </c:pt>
                <c:pt idx="6">
                  <c:v>-1747240677.724133</c:v>
                </c:pt>
                <c:pt idx="7">
                  <c:v>-2052677417.998476</c:v>
                </c:pt>
                <c:pt idx="8">
                  <c:v>-2309343310.8348913</c:v>
                </c:pt>
                <c:pt idx="9">
                  <c:v>-2526811637.0902805</c:v>
                </c:pt>
                <c:pt idx="10">
                  <c:v>-2712485729.8579435</c:v>
                </c:pt>
                <c:pt idx="11">
                  <c:v>-2872148807.85396</c:v>
                </c:pt>
                <c:pt idx="12">
                  <c:v>-3010361198.4635072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2-4CC5-806C-B13BAEA21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951640"/>
        <c:axId val="457952952"/>
      </c:scatterChart>
      <c:valAx>
        <c:axId val="457951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7952952"/>
        <c:crosses val="autoZero"/>
        <c:crossBetween val="midCat"/>
      </c:valAx>
      <c:valAx>
        <c:axId val="45795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7951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VPN Acumulado por año</c:v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'flujo de caja del inversionista'!$C$75:$H$75</c:f>
              <c:numCache>
                <c:formatCode>#,##0_ ;[Red]\-#,##0\ </c:formatCode>
                <c:ptCount val="6"/>
                <c:pt idx="0">
                  <c:v>-4556636707</c:v>
                </c:pt>
                <c:pt idx="1">
                  <c:v>-3905646133.766046</c:v>
                </c:pt>
                <c:pt idx="2">
                  <c:v>-3182723926.5235462</c:v>
                </c:pt>
                <c:pt idx="3">
                  <c:v>-2427633787.8175535</c:v>
                </c:pt>
                <c:pt idx="4">
                  <c:v>-1062639315.8337395</c:v>
                </c:pt>
                <c:pt idx="5">
                  <c:v>283235817.88932276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4-4F66-85AD-B6857470B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394176"/>
        <c:axId val="90850048"/>
      </c:lineChart>
      <c:catAx>
        <c:axId val="89394176"/>
        <c:scaling>
          <c:orientation val="minMax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90850048"/>
        <c:crosses val="autoZero"/>
        <c:auto val="1"/>
        <c:lblAlgn val="ctr"/>
        <c:lblOffset val="100"/>
        <c:noMultiLvlLbl val="0"/>
      </c:catAx>
      <c:valAx>
        <c:axId val="90850048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9394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png"/><Relationship Id="rId21" Type="http://schemas.openxmlformats.org/officeDocument/2006/relationships/image" Target="../media/image23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63" Type="http://schemas.openxmlformats.org/officeDocument/2006/relationships/image" Target="../media/image65.png"/><Relationship Id="rId68" Type="http://schemas.openxmlformats.org/officeDocument/2006/relationships/image" Target="../media/image70.png"/><Relationship Id="rId84" Type="http://schemas.openxmlformats.org/officeDocument/2006/relationships/image" Target="../media/image86.png"/><Relationship Id="rId89" Type="http://schemas.openxmlformats.org/officeDocument/2006/relationships/image" Target="../media/image91.png"/><Relationship Id="rId7" Type="http://schemas.openxmlformats.org/officeDocument/2006/relationships/image" Target="../media/image9.jpeg"/><Relationship Id="rId71" Type="http://schemas.openxmlformats.org/officeDocument/2006/relationships/image" Target="../media/image73.png"/><Relationship Id="rId92" Type="http://schemas.openxmlformats.org/officeDocument/2006/relationships/image" Target="../media/image94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32" Type="http://schemas.openxmlformats.org/officeDocument/2006/relationships/image" Target="../media/image34.jpe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66" Type="http://schemas.openxmlformats.org/officeDocument/2006/relationships/image" Target="../media/image68.png"/><Relationship Id="rId74" Type="http://schemas.openxmlformats.org/officeDocument/2006/relationships/image" Target="../media/image76.png"/><Relationship Id="rId79" Type="http://schemas.openxmlformats.org/officeDocument/2006/relationships/image" Target="../media/image81.png"/><Relationship Id="rId87" Type="http://schemas.openxmlformats.org/officeDocument/2006/relationships/image" Target="../media/image89.png"/><Relationship Id="rId102" Type="http://schemas.openxmlformats.org/officeDocument/2006/relationships/image" Target="../media/image104.png"/><Relationship Id="rId5" Type="http://schemas.openxmlformats.org/officeDocument/2006/relationships/image" Target="../media/image7.png"/><Relationship Id="rId61" Type="http://schemas.openxmlformats.org/officeDocument/2006/relationships/image" Target="../media/image63.png"/><Relationship Id="rId82" Type="http://schemas.openxmlformats.org/officeDocument/2006/relationships/image" Target="../media/image84.png"/><Relationship Id="rId90" Type="http://schemas.openxmlformats.org/officeDocument/2006/relationships/image" Target="../media/image92.png"/><Relationship Id="rId95" Type="http://schemas.openxmlformats.org/officeDocument/2006/relationships/image" Target="../media/image97.png"/><Relationship Id="rId19" Type="http://schemas.openxmlformats.org/officeDocument/2006/relationships/image" Target="../media/image2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64" Type="http://schemas.openxmlformats.org/officeDocument/2006/relationships/image" Target="../media/image66.png"/><Relationship Id="rId69" Type="http://schemas.openxmlformats.org/officeDocument/2006/relationships/image" Target="../media/image71.png"/><Relationship Id="rId77" Type="http://schemas.openxmlformats.org/officeDocument/2006/relationships/image" Target="../media/image79.png"/><Relationship Id="rId100" Type="http://schemas.openxmlformats.org/officeDocument/2006/relationships/image" Target="../media/image102.jpeg"/><Relationship Id="rId105" Type="http://schemas.openxmlformats.org/officeDocument/2006/relationships/image" Target="../media/image107.jpeg"/><Relationship Id="rId8" Type="http://schemas.openxmlformats.org/officeDocument/2006/relationships/image" Target="../media/image10.jpeg"/><Relationship Id="rId51" Type="http://schemas.openxmlformats.org/officeDocument/2006/relationships/image" Target="../media/image53.png"/><Relationship Id="rId72" Type="http://schemas.openxmlformats.org/officeDocument/2006/relationships/image" Target="../media/image74.png"/><Relationship Id="rId80" Type="http://schemas.openxmlformats.org/officeDocument/2006/relationships/image" Target="../media/image82.png"/><Relationship Id="rId85" Type="http://schemas.openxmlformats.org/officeDocument/2006/relationships/image" Target="../media/image87.png"/><Relationship Id="rId93" Type="http://schemas.openxmlformats.org/officeDocument/2006/relationships/image" Target="../media/image95.png"/><Relationship Id="rId98" Type="http://schemas.openxmlformats.org/officeDocument/2006/relationships/image" Target="../media/image100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jpe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61.png"/><Relationship Id="rId67" Type="http://schemas.openxmlformats.org/officeDocument/2006/relationships/image" Target="../media/image69.png"/><Relationship Id="rId103" Type="http://schemas.openxmlformats.org/officeDocument/2006/relationships/image" Target="../media/image105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62" Type="http://schemas.openxmlformats.org/officeDocument/2006/relationships/image" Target="../media/image64.png"/><Relationship Id="rId70" Type="http://schemas.openxmlformats.org/officeDocument/2006/relationships/image" Target="../media/image72.png"/><Relationship Id="rId75" Type="http://schemas.openxmlformats.org/officeDocument/2006/relationships/image" Target="../media/image77.png"/><Relationship Id="rId83" Type="http://schemas.openxmlformats.org/officeDocument/2006/relationships/image" Target="../media/image85.png"/><Relationship Id="rId88" Type="http://schemas.openxmlformats.org/officeDocument/2006/relationships/image" Target="../media/image90.png"/><Relationship Id="rId91" Type="http://schemas.openxmlformats.org/officeDocument/2006/relationships/image" Target="../media/image93.png"/><Relationship Id="rId96" Type="http://schemas.openxmlformats.org/officeDocument/2006/relationships/image" Target="../media/image98.pn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jpe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jpe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65" Type="http://schemas.openxmlformats.org/officeDocument/2006/relationships/image" Target="../media/image67.png"/><Relationship Id="rId73" Type="http://schemas.openxmlformats.org/officeDocument/2006/relationships/image" Target="../media/image75.png"/><Relationship Id="rId78" Type="http://schemas.openxmlformats.org/officeDocument/2006/relationships/image" Target="../media/image80.png"/><Relationship Id="rId81" Type="http://schemas.openxmlformats.org/officeDocument/2006/relationships/image" Target="../media/image83.png"/><Relationship Id="rId86" Type="http://schemas.openxmlformats.org/officeDocument/2006/relationships/image" Target="../media/image88.jpeg"/><Relationship Id="rId94" Type="http://schemas.openxmlformats.org/officeDocument/2006/relationships/image" Target="../media/image96.jpeg"/><Relationship Id="rId99" Type="http://schemas.openxmlformats.org/officeDocument/2006/relationships/image" Target="../media/image101.png"/><Relationship Id="rId101" Type="http://schemas.openxmlformats.org/officeDocument/2006/relationships/image" Target="../media/image103.jpe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9" Type="http://schemas.openxmlformats.org/officeDocument/2006/relationships/image" Target="../media/image41.jpeg"/><Relationship Id="rId34" Type="http://schemas.openxmlformats.org/officeDocument/2006/relationships/image" Target="../media/image36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6" Type="http://schemas.openxmlformats.org/officeDocument/2006/relationships/image" Target="../media/image78.png"/><Relationship Id="rId97" Type="http://schemas.openxmlformats.org/officeDocument/2006/relationships/image" Target="../media/image99.png"/><Relationship Id="rId104" Type="http://schemas.openxmlformats.org/officeDocument/2006/relationships/image" Target="../media/image10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32</xdr:row>
      <xdr:rowOff>38100</xdr:rowOff>
    </xdr:from>
    <xdr:to>
      <xdr:col>5</xdr:col>
      <xdr:colOff>323850</xdr:colOff>
      <xdr:row>34</xdr:row>
      <xdr:rowOff>47625</xdr:rowOff>
    </xdr:to>
    <xdr:sp macro="" textlink="">
      <xdr:nvSpPr>
        <xdr:cNvPr id="2" name="Flecha arriba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239000" y="5753100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152400</xdr:colOff>
      <xdr:row>35</xdr:row>
      <xdr:rowOff>28575</xdr:rowOff>
    </xdr:from>
    <xdr:to>
      <xdr:col>5</xdr:col>
      <xdr:colOff>333375</xdr:colOff>
      <xdr:row>37</xdr:row>
      <xdr:rowOff>38100</xdr:rowOff>
    </xdr:to>
    <xdr:sp macro="" textlink="">
      <xdr:nvSpPr>
        <xdr:cNvPr id="3" name="Flecha arriba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7248525" y="6315075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152400</xdr:colOff>
      <xdr:row>24</xdr:row>
      <xdr:rowOff>9525</xdr:rowOff>
    </xdr:from>
    <xdr:to>
      <xdr:col>5</xdr:col>
      <xdr:colOff>333375</xdr:colOff>
      <xdr:row>26</xdr:row>
      <xdr:rowOff>19050</xdr:rowOff>
    </xdr:to>
    <xdr:sp macro="" textlink="">
      <xdr:nvSpPr>
        <xdr:cNvPr id="4" name="Flecha arriba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248525" y="4200525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152401</xdr:colOff>
      <xdr:row>20</xdr:row>
      <xdr:rowOff>171450</xdr:rowOff>
    </xdr:from>
    <xdr:to>
      <xdr:col>5</xdr:col>
      <xdr:colOff>342901</xdr:colOff>
      <xdr:row>22</xdr:row>
      <xdr:rowOff>180975</xdr:rowOff>
    </xdr:to>
    <xdr:sp macro="" textlink="">
      <xdr:nvSpPr>
        <xdr:cNvPr id="5" name="Flecha arriba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248526" y="3600450"/>
          <a:ext cx="190500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133350</xdr:colOff>
      <xdr:row>15</xdr:row>
      <xdr:rowOff>104775</xdr:rowOff>
    </xdr:from>
    <xdr:to>
      <xdr:col>5</xdr:col>
      <xdr:colOff>295275</xdr:colOff>
      <xdr:row>17</xdr:row>
      <xdr:rowOff>114300</xdr:rowOff>
    </xdr:to>
    <xdr:sp macro="" textlink="">
      <xdr:nvSpPr>
        <xdr:cNvPr id="6" name="Flecha arriba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7229475" y="2581275"/>
          <a:ext cx="16192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133351</xdr:colOff>
      <xdr:row>12</xdr:row>
      <xdr:rowOff>57150</xdr:rowOff>
    </xdr:from>
    <xdr:to>
      <xdr:col>5</xdr:col>
      <xdr:colOff>285751</xdr:colOff>
      <xdr:row>14</xdr:row>
      <xdr:rowOff>66675</xdr:rowOff>
    </xdr:to>
    <xdr:sp macro="" textlink="">
      <xdr:nvSpPr>
        <xdr:cNvPr id="7" name="Flecha arriba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7229476" y="1962150"/>
          <a:ext cx="152400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142876</xdr:colOff>
      <xdr:row>40</xdr:row>
      <xdr:rowOff>171450</xdr:rowOff>
    </xdr:from>
    <xdr:to>
      <xdr:col>5</xdr:col>
      <xdr:colOff>352426</xdr:colOff>
      <xdr:row>42</xdr:row>
      <xdr:rowOff>180975</xdr:rowOff>
    </xdr:to>
    <xdr:sp macro="" textlink="">
      <xdr:nvSpPr>
        <xdr:cNvPr id="8" name="Flecha arriba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7239001" y="7410450"/>
          <a:ext cx="209550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161925</xdr:colOff>
      <xdr:row>43</xdr:row>
      <xdr:rowOff>180975</xdr:rowOff>
    </xdr:from>
    <xdr:to>
      <xdr:col>5</xdr:col>
      <xdr:colOff>342900</xdr:colOff>
      <xdr:row>46</xdr:row>
      <xdr:rowOff>0</xdr:rowOff>
    </xdr:to>
    <xdr:sp macro="" textlink="">
      <xdr:nvSpPr>
        <xdr:cNvPr id="9" name="Flecha arriba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258050" y="7991475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171450</xdr:colOff>
      <xdr:row>72</xdr:row>
      <xdr:rowOff>28575</xdr:rowOff>
    </xdr:from>
    <xdr:to>
      <xdr:col>5</xdr:col>
      <xdr:colOff>352425</xdr:colOff>
      <xdr:row>74</xdr:row>
      <xdr:rowOff>38100</xdr:rowOff>
    </xdr:to>
    <xdr:sp macro="" textlink="">
      <xdr:nvSpPr>
        <xdr:cNvPr id="10" name="Flecha arriba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7267575" y="13744575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161925</xdr:colOff>
      <xdr:row>77</xdr:row>
      <xdr:rowOff>38100</xdr:rowOff>
    </xdr:from>
    <xdr:to>
      <xdr:col>5</xdr:col>
      <xdr:colOff>342900</xdr:colOff>
      <xdr:row>79</xdr:row>
      <xdr:rowOff>47625</xdr:rowOff>
    </xdr:to>
    <xdr:sp macro="" textlink="">
      <xdr:nvSpPr>
        <xdr:cNvPr id="11" name="Flecha arriba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58050" y="14706600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161925</xdr:colOff>
      <xdr:row>82</xdr:row>
      <xdr:rowOff>76200</xdr:rowOff>
    </xdr:from>
    <xdr:to>
      <xdr:col>5</xdr:col>
      <xdr:colOff>342900</xdr:colOff>
      <xdr:row>84</xdr:row>
      <xdr:rowOff>85725</xdr:rowOff>
    </xdr:to>
    <xdr:sp macro="" textlink="">
      <xdr:nvSpPr>
        <xdr:cNvPr id="12" name="Flecha arriba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7362825" y="15697200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190500</xdr:colOff>
      <xdr:row>87</xdr:row>
      <xdr:rowOff>19050</xdr:rowOff>
    </xdr:from>
    <xdr:to>
      <xdr:col>5</xdr:col>
      <xdr:colOff>371475</xdr:colOff>
      <xdr:row>89</xdr:row>
      <xdr:rowOff>28575</xdr:rowOff>
    </xdr:to>
    <xdr:sp macro="" textlink="">
      <xdr:nvSpPr>
        <xdr:cNvPr id="13" name="Flecha arriba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7391400" y="16592550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123825</xdr:colOff>
      <xdr:row>103</xdr:row>
      <xdr:rowOff>28575</xdr:rowOff>
    </xdr:from>
    <xdr:to>
      <xdr:col>5</xdr:col>
      <xdr:colOff>304800</xdr:colOff>
      <xdr:row>105</xdr:row>
      <xdr:rowOff>38100</xdr:rowOff>
    </xdr:to>
    <xdr:sp macro="" textlink="">
      <xdr:nvSpPr>
        <xdr:cNvPr id="14" name="Flecha arriba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7324725" y="19459575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32</xdr:row>
      <xdr:rowOff>38100</xdr:rowOff>
    </xdr:from>
    <xdr:to>
      <xdr:col>5</xdr:col>
      <xdr:colOff>323850</xdr:colOff>
      <xdr:row>34</xdr:row>
      <xdr:rowOff>47625</xdr:rowOff>
    </xdr:to>
    <xdr:sp macro="" textlink="">
      <xdr:nvSpPr>
        <xdr:cNvPr id="2" name="Flecha arriba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7496175" y="6134100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152400</xdr:colOff>
      <xdr:row>35</xdr:row>
      <xdr:rowOff>28575</xdr:rowOff>
    </xdr:from>
    <xdr:to>
      <xdr:col>5</xdr:col>
      <xdr:colOff>333375</xdr:colOff>
      <xdr:row>37</xdr:row>
      <xdr:rowOff>38100</xdr:rowOff>
    </xdr:to>
    <xdr:sp macro="" textlink="">
      <xdr:nvSpPr>
        <xdr:cNvPr id="3" name="Flecha arrib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7505700" y="6696075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152400</xdr:colOff>
      <xdr:row>24</xdr:row>
      <xdr:rowOff>9525</xdr:rowOff>
    </xdr:from>
    <xdr:to>
      <xdr:col>5</xdr:col>
      <xdr:colOff>333375</xdr:colOff>
      <xdr:row>26</xdr:row>
      <xdr:rowOff>19050</xdr:rowOff>
    </xdr:to>
    <xdr:sp macro="" textlink="">
      <xdr:nvSpPr>
        <xdr:cNvPr id="4" name="Flecha arriba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505700" y="4581525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152401</xdr:colOff>
      <xdr:row>20</xdr:row>
      <xdr:rowOff>171450</xdr:rowOff>
    </xdr:from>
    <xdr:to>
      <xdr:col>5</xdr:col>
      <xdr:colOff>342901</xdr:colOff>
      <xdr:row>22</xdr:row>
      <xdr:rowOff>180975</xdr:rowOff>
    </xdr:to>
    <xdr:sp macro="" textlink="">
      <xdr:nvSpPr>
        <xdr:cNvPr id="5" name="Flecha arriba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505701" y="3981450"/>
          <a:ext cx="190500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133350</xdr:colOff>
      <xdr:row>15</xdr:row>
      <xdr:rowOff>104775</xdr:rowOff>
    </xdr:from>
    <xdr:to>
      <xdr:col>5</xdr:col>
      <xdr:colOff>295275</xdr:colOff>
      <xdr:row>17</xdr:row>
      <xdr:rowOff>114300</xdr:rowOff>
    </xdr:to>
    <xdr:sp macro="" textlink="">
      <xdr:nvSpPr>
        <xdr:cNvPr id="6" name="Flecha arriba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7486650" y="2962275"/>
          <a:ext cx="16192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133351</xdr:colOff>
      <xdr:row>12</xdr:row>
      <xdr:rowOff>57150</xdr:rowOff>
    </xdr:from>
    <xdr:to>
      <xdr:col>5</xdr:col>
      <xdr:colOff>285751</xdr:colOff>
      <xdr:row>14</xdr:row>
      <xdr:rowOff>66675</xdr:rowOff>
    </xdr:to>
    <xdr:sp macro="" textlink="">
      <xdr:nvSpPr>
        <xdr:cNvPr id="7" name="Flecha arriba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7486651" y="2343150"/>
          <a:ext cx="152400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142876</xdr:colOff>
      <xdr:row>40</xdr:row>
      <xdr:rowOff>171450</xdr:rowOff>
    </xdr:from>
    <xdr:to>
      <xdr:col>5</xdr:col>
      <xdr:colOff>352426</xdr:colOff>
      <xdr:row>42</xdr:row>
      <xdr:rowOff>180975</xdr:rowOff>
    </xdr:to>
    <xdr:sp macro="" textlink="">
      <xdr:nvSpPr>
        <xdr:cNvPr id="8" name="Flecha arriba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7496176" y="7791450"/>
          <a:ext cx="209550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161925</xdr:colOff>
      <xdr:row>43</xdr:row>
      <xdr:rowOff>180975</xdr:rowOff>
    </xdr:from>
    <xdr:to>
      <xdr:col>5</xdr:col>
      <xdr:colOff>342900</xdr:colOff>
      <xdr:row>46</xdr:row>
      <xdr:rowOff>0</xdr:rowOff>
    </xdr:to>
    <xdr:sp macro="" textlink="">
      <xdr:nvSpPr>
        <xdr:cNvPr id="9" name="Flecha arriba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7515225" y="8372475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171450</xdr:colOff>
      <xdr:row>70</xdr:row>
      <xdr:rowOff>28575</xdr:rowOff>
    </xdr:from>
    <xdr:to>
      <xdr:col>5</xdr:col>
      <xdr:colOff>352425</xdr:colOff>
      <xdr:row>72</xdr:row>
      <xdr:rowOff>38100</xdr:rowOff>
    </xdr:to>
    <xdr:sp macro="" textlink="">
      <xdr:nvSpPr>
        <xdr:cNvPr id="10" name="Flecha arriba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7524750" y="13744575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161925</xdr:colOff>
      <xdr:row>75</xdr:row>
      <xdr:rowOff>38100</xdr:rowOff>
    </xdr:from>
    <xdr:to>
      <xdr:col>5</xdr:col>
      <xdr:colOff>342900</xdr:colOff>
      <xdr:row>77</xdr:row>
      <xdr:rowOff>47625</xdr:rowOff>
    </xdr:to>
    <xdr:sp macro="" textlink="">
      <xdr:nvSpPr>
        <xdr:cNvPr id="11" name="Flecha arriba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7515225" y="14706600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123825</xdr:colOff>
      <xdr:row>101</xdr:row>
      <xdr:rowOff>28575</xdr:rowOff>
    </xdr:from>
    <xdr:to>
      <xdr:col>5</xdr:col>
      <xdr:colOff>304800</xdr:colOff>
      <xdr:row>103</xdr:row>
      <xdr:rowOff>38100</xdr:rowOff>
    </xdr:to>
    <xdr:sp macro="" textlink="">
      <xdr:nvSpPr>
        <xdr:cNvPr id="14" name="Flecha arriba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7477125" y="19650075"/>
          <a:ext cx="180975" cy="3905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190500</xdr:colOff>
      <xdr:row>80</xdr:row>
      <xdr:rowOff>57150</xdr:rowOff>
    </xdr:from>
    <xdr:to>
      <xdr:col>5</xdr:col>
      <xdr:colOff>390525</xdr:colOff>
      <xdr:row>82</xdr:row>
      <xdr:rowOff>95250</xdr:rowOff>
    </xdr:to>
    <xdr:sp macro="" textlink="">
      <xdr:nvSpPr>
        <xdr:cNvPr id="15" name="Flecha abajo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7543800" y="15297150"/>
          <a:ext cx="200025" cy="419100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200025</xdr:colOff>
      <xdr:row>85</xdr:row>
      <xdr:rowOff>9525</xdr:rowOff>
    </xdr:from>
    <xdr:to>
      <xdr:col>5</xdr:col>
      <xdr:colOff>400050</xdr:colOff>
      <xdr:row>87</xdr:row>
      <xdr:rowOff>47625</xdr:rowOff>
    </xdr:to>
    <xdr:sp macro="" textlink="">
      <xdr:nvSpPr>
        <xdr:cNvPr id="16" name="Flecha abajo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7553325" y="16202025"/>
          <a:ext cx="200025" cy="419100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2107407</xdr:colOff>
      <xdr:row>228</xdr:row>
      <xdr:rowOff>178593</xdr:rowOff>
    </xdr:from>
    <xdr:to>
      <xdr:col>5</xdr:col>
      <xdr:colOff>387271</xdr:colOff>
      <xdr:row>252</xdr:row>
      <xdr:rowOff>107156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9407" y="43076812"/>
          <a:ext cx="7531020" cy="450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2155030</xdr:colOff>
      <xdr:row>253</xdr:row>
      <xdr:rowOff>23810</xdr:rowOff>
    </xdr:from>
    <xdr:to>
      <xdr:col>5</xdr:col>
      <xdr:colOff>381000</xdr:colOff>
      <xdr:row>279</xdr:row>
      <xdr:rowOff>137446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030" y="47684529"/>
          <a:ext cx="7477126" cy="5066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8</xdr:row>
      <xdr:rowOff>123825</xdr:rowOff>
    </xdr:from>
    <xdr:to>
      <xdr:col>2</xdr:col>
      <xdr:colOff>1268369</xdr:colOff>
      <xdr:row>8</xdr:row>
      <xdr:rowOff>714375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076325"/>
          <a:ext cx="1173119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1352550</xdr:colOff>
      <xdr:row>8</xdr:row>
      <xdr:rowOff>76200</xdr:rowOff>
    </xdr:from>
    <xdr:to>
      <xdr:col>2</xdr:col>
      <xdr:colOff>2183151</xdr:colOff>
      <xdr:row>8</xdr:row>
      <xdr:rowOff>828675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028700"/>
          <a:ext cx="830601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2486026</xdr:colOff>
      <xdr:row>8</xdr:row>
      <xdr:rowOff>161926</xdr:rowOff>
    </xdr:from>
    <xdr:to>
      <xdr:col>2</xdr:col>
      <xdr:colOff>3224730</xdr:colOff>
      <xdr:row>8</xdr:row>
      <xdr:rowOff>904876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1" y="1114426"/>
          <a:ext cx="73870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9</xdr:row>
      <xdr:rowOff>171450</xdr:rowOff>
    </xdr:from>
    <xdr:to>
      <xdr:col>2</xdr:col>
      <xdr:colOff>2054380</xdr:colOff>
      <xdr:row>9</xdr:row>
      <xdr:rowOff>1162050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2286000"/>
          <a:ext cx="185435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10</xdr:row>
      <xdr:rowOff>133350</xdr:rowOff>
    </xdr:from>
    <xdr:to>
      <xdr:col>2</xdr:col>
      <xdr:colOff>1872569</xdr:colOff>
      <xdr:row>10</xdr:row>
      <xdr:rowOff>1076325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638550"/>
          <a:ext cx="1624919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533400</xdr:colOff>
      <xdr:row>11</xdr:row>
      <xdr:rowOff>152401</xdr:rowOff>
    </xdr:from>
    <xdr:to>
      <xdr:col>2</xdr:col>
      <xdr:colOff>3124200</xdr:colOff>
      <xdr:row>11</xdr:row>
      <xdr:rowOff>2079548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6315076"/>
          <a:ext cx="2590800" cy="1927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12</xdr:row>
      <xdr:rowOff>76200</xdr:rowOff>
    </xdr:from>
    <xdr:to>
      <xdr:col>2</xdr:col>
      <xdr:colOff>2143125</xdr:colOff>
      <xdr:row>12</xdr:row>
      <xdr:rowOff>1085850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8648700"/>
          <a:ext cx="201930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13</xdr:row>
      <xdr:rowOff>152400</xdr:rowOff>
    </xdr:from>
    <xdr:to>
      <xdr:col>2</xdr:col>
      <xdr:colOff>2492632</xdr:colOff>
      <xdr:row>13</xdr:row>
      <xdr:rowOff>1476375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10344150"/>
          <a:ext cx="2349757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2667000</xdr:colOff>
      <xdr:row>13</xdr:row>
      <xdr:rowOff>133350</xdr:rowOff>
    </xdr:from>
    <xdr:to>
      <xdr:col>3</xdr:col>
      <xdr:colOff>232460</xdr:colOff>
      <xdr:row>13</xdr:row>
      <xdr:rowOff>1743075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10325100"/>
          <a:ext cx="1870761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2228850</xdr:colOff>
      <xdr:row>12</xdr:row>
      <xdr:rowOff>104776</xdr:rowOff>
    </xdr:from>
    <xdr:to>
      <xdr:col>2</xdr:col>
      <xdr:colOff>3928695</xdr:colOff>
      <xdr:row>12</xdr:row>
      <xdr:rowOff>1209675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8677276"/>
          <a:ext cx="1699845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504825</xdr:colOff>
      <xdr:row>14</xdr:row>
      <xdr:rowOff>0</xdr:rowOff>
    </xdr:from>
    <xdr:to>
      <xdr:col>2</xdr:col>
      <xdr:colOff>2152650</xdr:colOff>
      <xdr:row>14</xdr:row>
      <xdr:rowOff>1388733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2163425"/>
          <a:ext cx="1647825" cy="138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20</xdr:row>
      <xdr:rowOff>95250</xdr:rowOff>
    </xdr:from>
    <xdr:to>
      <xdr:col>2</xdr:col>
      <xdr:colOff>2284506</xdr:colOff>
      <xdr:row>20</xdr:row>
      <xdr:rowOff>1819275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15554325"/>
          <a:ext cx="1960656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352426</xdr:colOff>
      <xdr:row>24</xdr:row>
      <xdr:rowOff>276225</xdr:rowOff>
    </xdr:from>
    <xdr:to>
      <xdr:col>2</xdr:col>
      <xdr:colOff>1679472</xdr:colOff>
      <xdr:row>24</xdr:row>
      <xdr:rowOff>1257300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1" y="18335625"/>
          <a:ext cx="1327046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25</xdr:row>
      <xdr:rowOff>209550</xdr:rowOff>
    </xdr:from>
    <xdr:to>
      <xdr:col>2</xdr:col>
      <xdr:colOff>1527421</xdr:colOff>
      <xdr:row>25</xdr:row>
      <xdr:rowOff>1381125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9726275"/>
          <a:ext cx="1184521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314326</xdr:colOff>
      <xdr:row>26</xdr:row>
      <xdr:rowOff>104775</xdr:rowOff>
    </xdr:from>
    <xdr:to>
      <xdr:col>2</xdr:col>
      <xdr:colOff>1752600</xdr:colOff>
      <xdr:row>26</xdr:row>
      <xdr:rowOff>1090310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1" y="21069300"/>
          <a:ext cx="1438274" cy="985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30</xdr:row>
      <xdr:rowOff>219075</xdr:rowOff>
    </xdr:from>
    <xdr:to>
      <xdr:col>2</xdr:col>
      <xdr:colOff>1625351</xdr:colOff>
      <xdr:row>30</xdr:row>
      <xdr:rowOff>1266825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6" y="22450425"/>
          <a:ext cx="14539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1476375</xdr:colOff>
      <xdr:row>147</xdr:row>
      <xdr:rowOff>114301</xdr:rowOff>
    </xdr:from>
    <xdr:to>
      <xdr:col>2</xdr:col>
      <xdr:colOff>2686050</xdr:colOff>
      <xdr:row>147</xdr:row>
      <xdr:rowOff>1443661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25139451"/>
          <a:ext cx="1209675" cy="13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1209675</xdr:colOff>
      <xdr:row>176</xdr:row>
      <xdr:rowOff>95250</xdr:rowOff>
    </xdr:from>
    <xdr:to>
      <xdr:col>2</xdr:col>
      <xdr:colOff>2419350</xdr:colOff>
      <xdr:row>176</xdr:row>
      <xdr:rowOff>1424610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48418550"/>
          <a:ext cx="1209675" cy="13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590549</xdr:colOff>
      <xdr:row>229</xdr:row>
      <xdr:rowOff>152400</xdr:rowOff>
    </xdr:from>
    <xdr:to>
      <xdr:col>2</xdr:col>
      <xdr:colOff>1776254</xdr:colOff>
      <xdr:row>229</xdr:row>
      <xdr:rowOff>1276350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4" y="183775350"/>
          <a:ext cx="118570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1562100</xdr:colOff>
      <xdr:row>273</xdr:row>
      <xdr:rowOff>152400</xdr:rowOff>
    </xdr:from>
    <xdr:to>
      <xdr:col>2</xdr:col>
      <xdr:colOff>2476500</xdr:colOff>
      <xdr:row>273</xdr:row>
      <xdr:rowOff>1019175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203454000"/>
          <a:ext cx="9144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600075</xdr:colOff>
      <xdr:row>216</xdr:row>
      <xdr:rowOff>76200</xdr:rowOff>
    </xdr:from>
    <xdr:to>
      <xdr:col>2</xdr:col>
      <xdr:colOff>1514475</xdr:colOff>
      <xdr:row>216</xdr:row>
      <xdr:rowOff>1081071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180270150"/>
          <a:ext cx="914400" cy="1004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31</xdr:row>
      <xdr:rowOff>95251</xdr:rowOff>
    </xdr:from>
    <xdr:to>
      <xdr:col>2</xdr:col>
      <xdr:colOff>1714500</xdr:colOff>
      <xdr:row>31</xdr:row>
      <xdr:rowOff>1219201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3717251"/>
          <a:ext cx="148590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238126</xdr:colOff>
      <xdr:row>33</xdr:row>
      <xdr:rowOff>38101</xdr:rowOff>
    </xdr:from>
    <xdr:to>
      <xdr:col>2</xdr:col>
      <xdr:colOff>1381124</xdr:colOff>
      <xdr:row>33</xdr:row>
      <xdr:rowOff>1323975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25241251"/>
          <a:ext cx="1142998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34</xdr:row>
      <xdr:rowOff>114300</xdr:rowOff>
    </xdr:from>
    <xdr:to>
      <xdr:col>2</xdr:col>
      <xdr:colOff>1381125</xdr:colOff>
      <xdr:row>34</xdr:row>
      <xdr:rowOff>1333500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26765250"/>
          <a:ext cx="11811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35</xdr:row>
      <xdr:rowOff>114301</xdr:rowOff>
    </xdr:from>
    <xdr:to>
      <xdr:col>2</xdr:col>
      <xdr:colOff>1864490</xdr:colOff>
      <xdr:row>35</xdr:row>
      <xdr:rowOff>1181100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28136851"/>
          <a:ext cx="1626365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36</xdr:row>
      <xdr:rowOff>76200</xdr:rowOff>
    </xdr:from>
    <xdr:to>
      <xdr:col>2</xdr:col>
      <xdr:colOff>2590799</xdr:colOff>
      <xdr:row>36</xdr:row>
      <xdr:rowOff>2028825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29356050"/>
          <a:ext cx="2324099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533400</xdr:colOff>
      <xdr:row>16</xdr:row>
      <xdr:rowOff>123825</xdr:rowOff>
    </xdr:from>
    <xdr:to>
      <xdr:col>2</xdr:col>
      <xdr:colOff>1670797</xdr:colOff>
      <xdr:row>16</xdr:row>
      <xdr:rowOff>1990725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4363700"/>
          <a:ext cx="1137397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381001</xdr:colOff>
      <xdr:row>37</xdr:row>
      <xdr:rowOff>85725</xdr:rowOff>
    </xdr:from>
    <xdr:to>
      <xdr:col>2</xdr:col>
      <xdr:colOff>1742098</xdr:colOff>
      <xdr:row>37</xdr:row>
      <xdr:rowOff>1390650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6" y="33528000"/>
          <a:ext cx="1361097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466725</xdr:colOff>
      <xdr:row>38</xdr:row>
      <xdr:rowOff>171451</xdr:rowOff>
    </xdr:from>
    <xdr:to>
      <xdr:col>2</xdr:col>
      <xdr:colOff>2371725</xdr:colOff>
      <xdr:row>38</xdr:row>
      <xdr:rowOff>1152815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35194876"/>
          <a:ext cx="190500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533400</xdr:colOff>
      <xdr:row>39</xdr:row>
      <xdr:rowOff>66675</xdr:rowOff>
    </xdr:from>
    <xdr:to>
      <xdr:col>2</xdr:col>
      <xdr:colOff>1752600</xdr:colOff>
      <xdr:row>39</xdr:row>
      <xdr:rowOff>1039644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36337875"/>
          <a:ext cx="1219200" cy="972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409575</xdr:colOff>
      <xdr:row>47</xdr:row>
      <xdr:rowOff>161927</xdr:rowOff>
    </xdr:from>
    <xdr:to>
      <xdr:col>2</xdr:col>
      <xdr:colOff>2114550</xdr:colOff>
      <xdr:row>47</xdr:row>
      <xdr:rowOff>1667155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39557327"/>
          <a:ext cx="1704975" cy="150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1323976</xdr:colOff>
      <xdr:row>138</xdr:row>
      <xdr:rowOff>76200</xdr:rowOff>
    </xdr:from>
    <xdr:to>
      <xdr:col>2</xdr:col>
      <xdr:colOff>2457450</xdr:colOff>
      <xdr:row>138</xdr:row>
      <xdr:rowOff>1460712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110880525"/>
          <a:ext cx="1133474" cy="1384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361950</xdr:colOff>
      <xdr:row>50</xdr:row>
      <xdr:rowOff>47625</xdr:rowOff>
    </xdr:from>
    <xdr:to>
      <xdr:col>2</xdr:col>
      <xdr:colOff>2895600</xdr:colOff>
      <xdr:row>50</xdr:row>
      <xdr:rowOff>1400825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41128950"/>
          <a:ext cx="2533650" cy="13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51</xdr:row>
      <xdr:rowOff>76201</xdr:rowOff>
    </xdr:from>
    <xdr:to>
      <xdr:col>2</xdr:col>
      <xdr:colOff>2301478</xdr:colOff>
      <xdr:row>51</xdr:row>
      <xdr:rowOff>1466851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42633901"/>
          <a:ext cx="1825228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1019176</xdr:colOff>
      <xdr:row>58</xdr:row>
      <xdr:rowOff>95251</xdr:rowOff>
    </xdr:from>
    <xdr:to>
      <xdr:col>2</xdr:col>
      <xdr:colOff>2562226</xdr:colOff>
      <xdr:row>60</xdr:row>
      <xdr:rowOff>278725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1" y="45186601"/>
          <a:ext cx="1543050" cy="101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809625</xdr:colOff>
      <xdr:row>61</xdr:row>
      <xdr:rowOff>95250</xdr:rowOff>
    </xdr:from>
    <xdr:to>
      <xdr:col>2</xdr:col>
      <xdr:colOff>2476500</xdr:colOff>
      <xdr:row>61</xdr:row>
      <xdr:rowOff>1693334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46348650"/>
          <a:ext cx="1666875" cy="1598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781050</xdr:colOff>
      <xdr:row>62</xdr:row>
      <xdr:rowOff>133350</xdr:rowOff>
    </xdr:from>
    <xdr:to>
      <xdr:col>2</xdr:col>
      <xdr:colOff>1924048</xdr:colOff>
      <xdr:row>62</xdr:row>
      <xdr:rowOff>1419224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48177450"/>
          <a:ext cx="1142998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457200</xdr:colOff>
      <xdr:row>63</xdr:row>
      <xdr:rowOff>47625</xdr:rowOff>
    </xdr:from>
    <xdr:to>
      <xdr:col>2</xdr:col>
      <xdr:colOff>2362200</xdr:colOff>
      <xdr:row>63</xdr:row>
      <xdr:rowOff>1028989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49615725"/>
          <a:ext cx="190500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542926</xdr:colOff>
      <xdr:row>64</xdr:row>
      <xdr:rowOff>95251</xdr:rowOff>
    </xdr:from>
    <xdr:to>
      <xdr:col>2</xdr:col>
      <xdr:colOff>1866900</xdr:colOff>
      <xdr:row>64</xdr:row>
      <xdr:rowOff>1082086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50815876"/>
          <a:ext cx="1323974" cy="986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1114425</xdr:colOff>
      <xdr:row>68</xdr:row>
      <xdr:rowOff>76200</xdr:rowOff>
    </xdr:from>
    <xdr:to>
      <xdr:col>2</xdr:col>
      <xdr:colOff>2733675</xdr:colOff>
      <xdr:row>70</xdr:row>
      <xdr:rowOff>476250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52539900"/>
          <a:ext cx="16192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1209675</xdr:colOff>
      <xdr:row>74</xdr:row>
      <xdr:rowOff>28575</xdr:rowOff>
    </xdr:from>
    <xdr:to>
      <xdr:col>2</xdr:col>
      <xdr:colOff>2428875</xdr:colOff>
      <xdr:row>74</xdr:row>
      <xdr:rowOff>1001544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3854350"/>
          <a:ext cx="1219200" cy="972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1047749</xdr:colOff>
      <xdr:row>77</xdr:row>
      <xdr:rowOff>114301</xdr:rowOff>
    </xdr:from>
    <xdr:to>
      <xdr:col>2</xdr:col>
      <xdr:colOff>2124074</xdr:colOff>
      <xdr:row>77</xdr:row>
      <xdr:rowOff>1273144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4" y="55578376"/>
          <a:ext cx="1076325" cy="115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704851</xdr:colOff>
      <xdr:row>84</xdr:row>
      <xdr:rowOff>152400</xdr:rowOff>
    </xdr:from>
    <xdr:to>
      <xdr:col>2</xdr:col>
      <xdr:colOff>1706357</xdr:colOff>
      <xdr:row>84</xdr:row>
      <xdr:rowOff>2000250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6" y="58159650"/>
          <a:ext cx="1001506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457200</xdr:colOff>
      <xdr:row>85</xdr:row>
      <xdr:rowOff>57150</xdr:rowOff>
    </xdr:from>
    <xdr:to>
      <xdr:col>2</xdr:col>
      <xdr:colOff>2388682</xdr:colOff>
      <xdr:row>85</xdr:row>
      <xdr:rowOff>1323975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0198000"/>
          <a:ext cx="1931482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91</xdr:row>
      <xdr:rowOff>152400</xdr:rowOff>
    </xdr:from>
    <xdr:to>
      <xdr:col>2</xdr:col>
      <xdr:colOff>1723757</xdr:colOff>
      <xdr:row>91</xdr:row>
      <xdr:rowOff>1562100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62664975"/>
          <a:ext cx="1438007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71</xdr:row>
      <xdr:rowOff>152400</xdr:rowOff>
    </xdr:from>
    <xdr:to>
      <xdr:col>2</xdr:col>
      <xdr:colOff>1639033</xdr:colOff>
      <xdr:row>71</xdr:row>
      <xdr:rowOff>1419225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53978175"/>
          <a:ext cx="877033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819152</xdr:colOff>
      <xdr:row>103</xdr:row>
      <xdr:rowOff>38100</xdr:rowOff>
    </xdr:from>
    <xdr:to>
      <xdr:col>2</xdr:col>
      <xdr:colOff>1850229</xdr:colOff>
      <xdr:row>103</xdr:row>
      <xdr:rowOff>904875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7" y="68313300"/>
          <a:ext cx="1031077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1133476</xdr:colOff>
      <xdr:row>110</xdr:row>
      <xdr:rowOff>190501</xdr:rowOff>
    </xdr:from>
    <xdr:to>
      <xdr:col>2</xdr:col>
      <xdr:colOff>3356014</xdr:colOff>
      <xdr:row>112</xdr:row>
      <xdr:rowOff>276224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1" y="71275576"/>
          <a:ext cx="2222538" cy="1314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114</xdr:row>
      <xdr:rowOff>161925</xdr:rowOff>
    </xdr:from>
    <xdr:to>
      <xdr:col>2</xdr:col>
      <xdr:colOff>2781300</xdr:colOff>
      <xdr:row>114</xdr:row>
      <xdr:rowOff>1295960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73294875"/>
          <a:ext cx="1447800" cy="1134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1504950</xdr:colOff>
      <xdr:row>115</xdr:row>
      <xdr:rowOff>85726</xdr:rowOff>
    </xdr:from>
    <xdr:to>
      <xdr:col>2</xdr:col>
      <xdr:colOff>2714625</xdr:colOff>
      <xdr:row>115</xdr:row>
      <xdr:rowOff>1334507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74752201"/>
          <a:ext cx="1209675" cy="1248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1514475</xdr:colOff>
      <xdr:row>116</xdr:row>
      <xdr:rowOff>76201</xdr:rowOff>
    </xdr:from>
    <xdr:to>
      <xdr:col>2</xdr:col>
      <xdr:colOff>2614100</xdr:colOff>
      <xdr:row>116</xdr:row>
      <xdr:rowOff>1143001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76152376"/>
          <a:ext cx="10996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1143000</xdr:colOff>
      <xdr:row>117</xdr:row>
      <xdr:rowOff>95250</xdr:rowOff>
    </xdr:from>
    <xdr:to>
      <xdr:col>2</xdr:col>
      <xdr:colOff>2302073</xdr:colOff>
      <xdr:row>117</xdr:row>
      <xdr:rowOff>1219200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77495400"/>
          <a:ext cx="115907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1209675</xdr:colOff>
      <xdr:row>119</xdr:row>
      <xdr:rowOff>171450</xdr:rowOff>
    </xdr:from>
    <xdr:to>
      <xdr:col>2</xdr:col>
      <xdr:colOff>2581275</xdr:colOff>
      <xdr:row>119</xdr:row>
      <xdr:rowOff>960820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80048100"/>
          <a:ext cx="1371600" cy="789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1019176</xdr:colOff>
      <xdr:row>118</xdr:row>
      <xdr:rowOff>28575</xdr:rowOff>
    </xdr:from>
    <xdr:to>
      <xdr:col>2</xdr:col>
      <xdr:colOff>2152290</xdr:colOff>
      <xdr:row>118</xdr:row>
      <xdr:rowOff>809625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1" y="78752700"/>
          <a:ext cx="113311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742950</xdr:colOff>
      <xdr:row>72</xdr:row>
      <xdr:rowOff>152400</xdr:rowOff>
    </xdr:from>
    <xdr:to>
      <xdr:col>2</xdr:col>
      <xdr:colOff>1619983</xdr:colOff>
      <xdr:row>72</xdr:row>
      <xdr:rowOff>1419225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55473600"/>
          <a:ext cx="877033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809625</xdr:colOff>
      <xdr:row>73</xdr:row>
      <xdr:rowOff>66675</xdr:rowOff>
    </xdr:from>
    <xdr:to>
      <xdr:col>2</xdr:col>
      <xdr:colOff>1686658</xdr:colOff>
      <xdr:row>73</xdr:row>
      <xdr:rowOff>1333500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56940450"/>
          <a:ext cx="877033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1057275</xdr:colOff>
      <xdr:row>123</xdr:row>
      <xdr:rowOff>104775</xdr:rowOff>
    </xdr:from>
    <xdr:to>
      <xdr:col>2</xdr:col>
      <xdr:colOff>2201871</xdr:colOff>
      <xdr:row>123</xdr:row>
      <xdr:rowOff>1209675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84724875"/>
          <a:ext cx="114459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923925</xdr:colOff>
      <xdr:row>125</xdr:row>
      <xdr:rowOff>152400</xdr:rowOff>
    </xdr:from>
    <xdr:to>
      <xdr:col>2</xdr:col>
      <xdr:colOff>1838324</xdr:colOff>
      <xdr:row>125</xdr:row>
      <xdr:rowOff>1302640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87268050"/>
          <a:ext cx="914399" cy="1150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1104901</xdr:colOff>
      <xdr:row>124</xdr:row>
      <xdr:rowOff>95250</xdr:rowOff>
    </xdr:from>
    <xdr:to>
      <xdr:col>2</xdr:col>
      <xdr:colOff>2266807</xdr:colOff>
      <xdr:row>124</xdr:row>
      <xdr:rowOff>1323975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6" y="86144100"/>
          <a:ext cx="1161906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1190625</xdr:colOff>
      <xdr:row>92</xdr:row>
      <xdr:rowOff>228601</xdr:rowOff>
    </xdr:from>
    <xdr:to>
      <xdr:col>2</xdr:col>
      <xdr:colOff>2942957</xdr:colOff>
      <xdr:row>94</xdr:row>
      <xdr:rowOff>552449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68980051"/>
          <a:ext cx="1752332" cy="1571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1247775</xdr:colOff>
      <xdr:row>94</xdr:row>
      <xdr:rowOff>723900</xdr:rowOff>
    </xdr:from>
    <xdr:to>
      <xdr:col>2</xdr:col>
      <xdr:colOff>3190874</xdr:colOff>
      <xdr:row>97</xdr:row>
      <xdr:rowOff>642189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70723125"/>
          <a:ext cx="1943099" cy="211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1238251</xdr:colOff>
      <xdr:row>98</xdr:row>
      <xdr:rowOff>161925</xdr:rowOff>
    </xdr:from>
    <xdr:to>
      <xdr:col>2</xdr:col>
      <xdr:colOff>2952751</xdr:colOff>
      <xdr:row>100</xdr:row>
      <xdr:rowOff>567737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6" y="73094850"/>
          <a:ext cx="1714500" cy="1872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866775</xdr:colOff>
      <xdr:row>102</xdr:row>
      <xdr:rowOff>171450</xdr:rowOff>
    </xdr:from>
    <xdr:to>
      <xdr:col>2</xdr:col>
      <xdr:colOff>2857500</xdr:colOff>
      <xdr:row>102</xdr:row>
      <xdr:rowOff>1470899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76590525"/>
          <a:ext cx="1990725" cy="1299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101</xdr:row>
      <xdr:rowOff>133350</xdr:rowOff>
    </xdr:from>
    <xdr:to>
      <xdr:col>2</xdr:col>
      <xdr:colOff>2933700</xdr:colOff>
      <xdr:row>101</xdr:row>
      <xdr:rowOff>1499496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75266550"/>
          <a:ext cx="1714500" cy="1366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552450</xdr:colOff>
      <xdr:row>126</xdr:row>
      <xdr:rowOff>200025</xdr:rowOff>
    </xdr:from>
    <xdr:to>
      <xdr:col>2</xdr:col>
      <xdr:colOff>3811565</xdr:colOff>
      <xdr:row>126</xdr:row>
      <xdr:rowOff>1152525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96240600"/>
          <a:ext cx="325911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895350</xdr:colOff>
      <xdr:row>127</xdr:row>
      <xdr:rowOff>19049</xdr:rowOff>
    </xdr:from>
    <xdr:to>
      <xdr:col>2</xdr:col>
      <xdr:colOff>2428875</xdr:colOff>
      <xdr:row>127</xdr:row>
      <xdr:rowOff>1366208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97564574"/>
          <a:ext cx="1533525" cy="13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809626</xdr:colOff>
      <xdr:row>131</xdr:row>
      <xdr:rowOff>57151</xdr:rowOff>
    </xdr:from>
    <xdr:to>
      <xdr:col>2</xdr:col>
      <xdr:colOff>2457450</xdr:colOff>
      <xdr:row>131</xdr:row>
      <xdr:rowOff>1622839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100641151"/>
          <a:ext cx="1647824" cy="1565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1085851</xdr:colOff>
      <xdr:row>132</xdr:row>
      <xdr:rowOff>66675</xdr:rowOff>
    </xdr:from>
    <xdr:to>
      <xdr:col>2</xdr:col>
      <xdr:colOff>2638425</xdr:colOff>
      <xdr:row>132</xdr:row>
      <xdr:rowOff>1580058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6" y="102336600"/>
          <a:ext cx="1552574" cy="1513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1104899</xdr:colOff>
      <xdr:row>133</xdr:row>
      <xdr:rowOff>276225</xdr:rowOff>
    </xdr:from>
    <xdr:to>
      <xdr:col>2</xdr:col>
      <xdr:colOff>3190874</xdr:colOff>
      <xdr:row>133</xdr:row>
      <xdr:rowOff>1652969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4" y="104308275"/>
          <a:ext cx="2085975" cy="1376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1143001</xdr:colOff>
      <xdr:row>133</xdr:row>
      <xdr:rowOff>1790701</xdr:rowOff>
    </xdr:from>
    <xdr:to>
      <xdr:col>2</xdr:col>
      <xdr:colOff>2495551</xdr:colOff>
      <xdr:row>134</xdr:row>
      <xdr:rowOff>749928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105822751"/>
          <a:ext cx="1352550" cy="835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1466850</xdr:colOff>
      <xdr:row>135</xdr:row>
      <xdr:rowOff>114300</xdr:rowOff>
    </xdr:from>
    <xdr:to>
      <xdr:col>2</xdr:col>
      <xdr:colOff>2305050</xdr:colOff>
      <xdr:row>135</xdr:row>
      <xdr:rowOff>1088950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106927650"/>
          <a:ext cx="838200" cy="97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1447800</xdr:colOff>
      <xdr:row>136</xdr:row>
      <xdr:rowOff>85725</xdr:rowOff>
    </xdr:from>
    <xdr:to>
      <xdr:col>2</xdr:col>
      <xdr:colOff>2486025</xdr:colOff>
      <xdr:row>136</xdr:row>
      <xdr:rowOff>1153826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08099225"/>
          <a:ext cx="1038225" cy="1068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1390650</xdr:colOff>
      <xdr:row>137</xdr:row>
      <xdr:rowOff>104774</xdr:rowOff>
    </xdr:from>
    <xdr:to>
      <xdr:col>2</xdr:col>
      <xdr:colOff>2495550</xdr:colOff>
      <xdr:row>137</xdr:row>
      <xdr:rowOff>1180131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09461299"/>
          <a:ext cx="1104900" cy="107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1076325</xdr:colOff>
      <xdr:row>139</xdr:row>
      <xdr:rowOff>19050</xdr:rowOff>
    </xdr:from>
    <xdr:to>
      <xdr:col>2</xdr:col>
      <xdr:colOff>1933575</xdr:colOff>
      <xdr:row>139</xdr:row>
      <xdr:rowOff>1208485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12433100"/>
          <a:ext cx="857250" cy="1189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1104900</xdr:colOff>
      <xdr:row>140</xdr:row>
      <xdr:rowOff>152400</xdr:rowOff>
    </xdr:from>
    <xdr:to>
      <xdr:col>2</xdr:col>
      <xdr:colOff>2060863</xdr:colOff>
      <xdr:row>140</xdr:row>
      <xdr:rowOff>1352550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13909475"/>
          <a:ext cx="955963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1171576</xdr:colOff>
      <xdr:row>141</xdr:row>
      <xdr:rowOff>266699</xdr:rowOff>
    </xdr:from>
    <xdr:to>
      <xdr:col>2</xdr:col>
      <xdr:colOff>2114550</xdr:colOff>
      <xdr:row>141</xdr:row>
      <xdr:rowOff>1439046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1" y="115404899"/>
          <a:ext cx="942974" cy="1172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1095375</xdr:colOff>
      <xdr:row>142</xdr:row>
      <xdr:rowOff>47625</xdr:rowOff>
    </xdr:from>
    <xdr:to>
      <xdr:col>2</xdr:col>
      <xdr:colOff>2415056</xdr:colOff>
      <xdr:row>142</xdr:row>
      <xdr:rowOff>1381125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116719350"/>
          <a:ext cx="1319681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1228725</xdr:colOff>
      <xdr:row>143</xdr:row>
      <xdr:rowOff>95250</xdr:rowOff>
    </xdr:from>
    <xdr:to>
      <xdr:col>2</xdr:col>
      <xdr:colOff>2227803</xdr:colOff>
      <xdr:row>143</xdr:row>
      <xdr:rowOff>1171575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18214775"/>
          <a:ext cx="999078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1238250</xdr:colOff>
      <xdr:row>144</xdr:row>
      <xdr:rowOff>85725</xdr:rowOff>
    </xdr:from>
    <xdr:to>
      <xdr:col>2</xdr:col>
      <xdr:colOff>2324100</xdr:colOff>
      <xdr:row>144</xdr:row>
      <xdr:rowOff>1429860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19624475"/>
          <a:ext cx="1085850" cy="134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1209674</xdr:colOff>
      <xdr:row>145</xdr:row>
      <xdr:rowOff>142874</xdr:rowOff>
    </xdr:from>
    <xdr:to>
      <xdr:col>2</xdr:col>
      <xdr:colOff>2476499</xdr:colOff>
      <xdr:row>145</xdr:row>
      <xdr:rowOff>1319211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49" y="121215149"/>
          <a:ext cx="1266825" cy="1176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1266824</xdr:colOff>
      <xdr:row>146</xdr:row>
      <xdr:rowOff>152401</xdr:rowOff>
    </xdr:from>
    <xdr:to>
      <xdr:col>2</xdr:col>
      <xdr:colOff>2933699</xdr:colOff>
      <xdr:row>146</xdr:row>
      <xdr:rowOff>1370159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199" y="122672476"/>
          <a:ext cx="1666875" cy="1217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1028700</xdr:colOff>
      <xdr:row>160</xdr:row>
      <xdr:rowOff>47625</xdr:rowOff>
    </xdr:from>
    <xdr:to>
      <xdr:col>2</xdr:col>
      <xdr:colOff>2466975</xdr:colOff>
      <xdr:row>160</xdr:row>
      <xdr:rowOff>1382305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27949325"/>
          <a:ext cx="1438275" cy="1334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1085851</xdr:colOff>
      <xdr:row>161</xdr:row>
      <xdr:rowOff>228600</xdr:rowOff>
    </xdr:from>
    <xdr:to>
      <xdr:col>2</xdr:col>
      <xdr:colOff>2333625</xdr:colOff>
      <xdr:row>161</xdr:row>
      <xdr:rowOff>1502698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6" y="129616200"/>
          <a:ext cx="1247774" cy="127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1371601</xdr:colOff>
      <xdr:row>162</xdr:row>
      <xdr:rowOff>142875</xdr:rowOff>
    </xdr:from>
    <xdr:to>
      <xdr:col>2</xdr:col>
      <xdr:colOff>2555585</xdr:colOff>
      <xdr:row>162</xdr:row>
      <xdr:rowOff>1571625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131235450"/>
          <a:ext cx="1183984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1409700</xdr:colOff>
      <xdr:row>162</xdr:row>
      <xdr:rowOff>1666876</xdr:rowOff>
    </xdr:from>
    <xdr:to>
      <xdr:col>2</xdr:col>
      <xdr:colOff>2552988</xdr:colOff>
      <xdr:row>163</xdr:row>
      <xdr:rowOff>1123949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132759451"/>
          <a:ext cx="1143288" cy="113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1209675</xdr:colOff>
      <xdr:row>166</xdr:row>
      <xdr:rowOff>57150</xdr:rowOff>
    </xdr:from>
    <xdr:to>
      <xdr:col>2</xdr:col>
      <xdr:colOff>2705100</xdr:colOff>
      <xdr:row>166</xdr:row>
      <xdr:rowOff>1006947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36407525"/>
          <a:ext cx="1495425" cy="94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1276351</xdr:colOff>
      <xdr:row>165</xdr:row>
      <xdr:rowOff>161925</xdr:rowOff>
    </xdr:from>
    <xdr:to>
      <xdr:col>2</xdr:col>
      <xdr:colOff>2676525</xdr:colOff>
      <xdr:row>165</xdr:row>
      <xdr:rowOff>1688812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6" y="135597900"/>
          <a:ext cx="1400174" cy="1526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1266825</xdr:colOff>
      <xdr:row>167</xdr:row>
      <xdr:rowOff>66675</xdr:rowOff>
    </xdr:from>
    <xdr:to>
      <xdr:col>2</xdr:col>
      <xdr:colOff>2752725</xdr:colOff>
      <xdr:row>167</xdr:row>
      <xdr:rowOff>1169670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38455400"/>
          <a:ext cx="1485900" cy="110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1543050</xdr:colOff>
      <xdr:row>163</xdr:row>
      <xdr:rowOff>1228725</xdr:rowOff>
    </xdr:from>
    <xdr:to>
      <xdr:col>2</xdr:col>
      <xdr:colOff>2838450</xdr:colOff>
      <xdr:row>164</xdr:row>
      <xdr:rowOff>1287146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33997700"/>
          <a:ext cx="1295400" cy="1306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1143000</xdr:colOff>
      <xdr:row>168</xdr:row>
      <xdr:rowOff>104775</xdr:rowOff>
    </xdr:from>
    <xdr:to>
      <xdr:col>2</xdr:col>
      <xdr:colOff>2447925</xdr:colOff>
      <xdr:row>168</xdr:row>
      <xdr:rowOff>1605970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39779375"/>
          <a:ext cx="1304925" cy="1501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1076325</xdr:colOff>
      <xdr:row>169</xdr:row>
      <xdr:rowOff>95250</xdr:rowOff>
    </xdr:from>
    <xdr:to>
      <xdr:col>2</xdr:col>
      <xdr:colOff>2638425</xdr:colOff>
      <xdr:row>169</xdr:row>
      <xdr:rowOff>1228882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41551025"/>
          <a:ext cx="1562100" cy="1133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885825</xdr:colOff>
      <xdr:row>170</xdr:row>
      <xdr:rowOff>142875</xdr:rowOff>
    </xdr:from>
    <xdr:to>
      <xdr:col>2</xdr:col>
      <xdr:colOff>2524125</xdr:colOff>
      <xdr:row>170</xdr:row>
      <xdr:rowOff>1993480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2970250"/>
          <a:ext cx="1638300" cy="1850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1143000</xdr:colOff>
      <xdr:row>172</xdr:row>
      <xdr:rowOff>95250</xdr:rowOff>
    </xdr:from>
    <xdr:ext cx="1159073" cy="1123950"/>
    <xdr:pic>
      <xdr:nvPicPr>
        <xdr:cNvPr id="102" name="Imagen 101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87944325"/>
          <a:ext cx="115907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1209675</xdr:colOff>
      <xdr:row>54</xdr:row>
      <xdr:rowOff>28575</xdr:rowOff>
    </xdr:from>
    <xdr:ext cx="1159073" cy="1123950"/>
    <xdr:pic>
      <xdr:nvPicPr>
        <xdr:cNvPr id="103" name="Imagen 102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4548425"/>
          <a:ext cx="115907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1476375</xdr:colOff>
      <xdr:row>197</xdr:row>
      <xdr:rowOff>104776</xdr:rowOff>
    </xdr:from>
    <xdr:ext cx="1209675" cy="1329360"/>
    <xdr:pic>
      <xdr:nvPicPr>
        <xdr:cNvPr id="104" name="Imagen 103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69373551"/>
          <a:ext cx="1209675" cy="13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1123949</xdr:colOff>
      <xdr:row>177</xdr:row>
      <xdr:rowOff>200025</xdr:rowOff>
    </xdr:from>
    <xdr:to>
      <xdr:col>2</xdr:col>
      <xdr:colOff>2657474</xdr:colOff>
      <xdr:row>177</xdr:row>
      <xdr:rowOff>1284571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4" y="150028275"/>
          <a:ext cx="1533525" cy="1084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1143000</xdr:colOff>
      <xdr:row>178</xdr:row>
      <xdr:rowOff>95250</xdr:rowOff>
    </xdr:from>
    <xdr:ext cx="1159073" cy="1123950"/>
    <xdr:pic>
      <xdr:nvPicPr>
        <xdr:cNvPr id="107" name="Imagen 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46313525"/>
          <a:ext cx="115907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1133476</xdr:colOff>
      <xdr:row>179</xdr:row>
      <xdr:rowOff>190501</xdr:rowOff>
    </xdr:from>
    <xdr:ext cx="2222538" cy="1314449"/>
    <xdr:pic>
      <xdr:nvPicPr>
        <xdr:cNvPr id="108" name="Imagen 107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1" y="82934176"/>
          <a:ext cx="2222538" cy="1314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1209675</xdr:colOff>
      <xdr:row>181</xdr:row>
      <xdr:rowOff>28575</xdr:rowOff>
    </xdr:from>
    <xdr:ext cx="1447800" cy="1134035"/>
    <xdr:pic>
      <xdr:nvPicPr>
        <xdr:cNvPr id="109" name="Imagen 10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55133675"/>
          <a:ext cx="1447800" cy="1134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1200150</xdr:colOff>
      <xdr:row>186</xdr:row>
      <xdr:rowOff>133350</xdr:rowOff>
    </xdr:from>
    <xdr:ext cx="1159073" cy="1123950"/>
    <xdr:pic>
      <xdr:nvPicPr>
        <xdr:cNvPr id="110" name="Imagen 10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57353000"/>
          <a:ext cx="115907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990600</xdr:colOff>
      <xdr:row>185</xdr:row>
      <xdr:rowOff>180975</xdr:rowOff>
    </xdr:from>
    <xdr:to>
      <xdr:col>2</xdr:col>
      <xdr:colOff>2857500</xdr:colOff>
      <xdr:row>185</xdr:row>
      <xdr:rowOff>1566678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57019625"/>
          <a:ext cx="1866900" cy="138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933450</xdr:colOff>
      <xdr:row>192</xdr:row>
      <xdr:rowOff>66676</xdr:rowOff>
    </xdr:from>
    <xdr:to>
      <xdr:col>2</xdr:col>
      <xdr:colOff>3019425</xdr:colOff>
      <xdr:row>192</xdr:row>
      <xdr:rowOff>1028700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60810576"/>
          <a:ext cx="208597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193</xdr:row>
      <xdr:rowOff>104776</xdr:rowOff>
    </xdr:from>
    <xdr:to>
      <xdr:col>2</xdr:col>
      <xdr:colOff>2876550</xdr:colOff>
      <xdr:row>193</xdr:row>
      <xdr:rowOff>1367298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161982151"/>
          <a:ext cx="1695450" cy="1262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1143000</xdr:colOff>
      <xdr:row>194</xdr:row>
      <xdr:rowOff>161925</xdr:rowOff>
    </xdr:from>
    <xdr:to>
      <xdr:col>2</xdr:col>
      <xdr:colOff>2705100</xdr:colOff>
      <xdr:row>194</xdr:row>
      <xdr:rowOff>1505332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63753800"/>
          <a:ext cx="1562100" cy="1343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1162050</xdr:colOff>
      <xdr:row>195</xdr:row>
      <xdr:rowOff>142875</xdr:rowOff>
    </xdr:from>
    <xdr:to>
      <xdr:col>2</xdr:col>
      <xdr:colOff>2781300</xdr:colOff>
      <xdr:row>195</xdr:row>
      <xdr:rowOff>1797715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165449250"/>
          <a:ext cx="1619250" cy="1654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914399</xdr:colOff>
      <xdr:row>196</xdr:row>
      <xdr:rowOff>190500</xdr:rowOff>
    </xdr:from>
    <xdr:to>
      <xdr:col>2</xdr:col>
      <xdr:colOff>3190874</xdr:colOff>
      <xdr:row>196</xdr:row>
      <xdr:rowOff>1782019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4" y="167478075"/>
          <a:ext cx="2276475" cy="1591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1200150</xdr:colOff>
      <xdr:row>198</xdr:row>
      <xdr:rowOff>133350</xdr:rowOff>
    </xdr:from>
    <xdr:ext cx="1159073" cy="1123950"/>
    <xdr:pic>
      <xdr:nvPicPr>
        <xdr:cNvPr id="118" name="Imagen 117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58591250"/>
          <a:ext cx="115907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962025</xdr:colOff>
      <xdr:row>171</xdr:row>
      <xdr:rowOff>85725</xdr:rowOff>
    </xdr:from>
    <xdr:to>
      <xdr:col>2</xdr:col>
      <xdr:colOff>2495550</xdr:colOff>
      <xdr:row>171</xdr:row>
      <xdr:rowOff>2152650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46304000"/>
          <a:ext cx="1533525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1076325</xdr:colOff>
      <xdr:row>204</xdr:row>
      <xdr:rowOff>133350</xdr:rowOff>
    </xdr:from>
    <xdr:to>
      <xdr:col>2</xdr:col>
      <xdr:colOff>2647950</xdr:colOff>
      <xdr:row>204</xdr:row>
      <xdr:rowOff>1181100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75479075"/>
          <a:ext cx="15716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215</xdr:row>
      <xdr:rowOff>133350</xdr:rowOff>
    </xdr:from>
    <xdr:to>
      <xdr:col>2</xdr:col>
      <xdr:colOff>1978790</xdr:colOff>
      <xdr:row>215</xdr:row>
      <xdr:rowOff>1200149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78822350"/>
          <a:ext cx="1626365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552451</xdr:colOff>
      <xdr:row>227</xdr:row>
      <xdr:rowOff>133350</xdr:rowOff>
    </xdr:from>
    <xdr:to>
      <xdr:col>2</xdr:col>
      <xdr:colOff>2279405</xdr:colOff>
      <xdr:row>227</xdr:row>
      <xdr:rowOff>1819275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6" y="183375300"/>
          <a:ext cx="1726954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771524</xdr:colOff>
      <xdr:row>230</xdr:row>
      <xdr:rowOff>104775</xdr:rowOff>
    </xdr:from>
    <xdr:to>
      <xdr:col>2</xdr:col>
      <xdr:colOff>1857375</xdr:colOff>
      <xdr:row>230</xdr:row>
      <xdr:rowOff>1195076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899" y="186937650"/>
          <a:ext cx="1085851" cy="1090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981075</xdr:colOff>
      <xdr:row>231</xdr:row>
      <xdr:rowOff>76200</xdr:rowOff>
    </xdr:from>
    <xdr:to>
      <xdr:col>2</xdr:col>
      <xdr:colOff>2238375</xdr:colOff>
      <xdr:row>231</xdr:row>
      <xdr:rowOff>1234941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188261625"/>
          <a:ext cx="1257300" cy="1158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1143000</xdr:colOff>
      <xdr:row>232</xdr:row>
      <xdr:rowOff>28575</xdr:rowOff>
    </xdr:from>
    <xdr:to>
      <xdr:col>2</xdr:col>
      <xdr:colOff>2333625</xdr:colOff>
      <xdr:row>232</xdr:row>
      <xdr:rowOff>1600200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89633225"/>
          <a:ext cx="11906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1323976</xdr:colOff>
      <xdr:row>233</xdr:row>
      <xdr:rowOff>7946</xdr:rowOff>
    </xdr:from>
    <xdr:to>
      <xdr:col>2</xdr:col>
      <xdr:colOff>2286000</xdr:colOff>
      <xdr:row>233</xdr:row>
      <xdr:rowOff>1332190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191241371"/>
          <a:ext cx="962024" cy="1324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809625</xdr:colOff>
      <xdr:row>251</xdr:row>
      <xdr:rowOff>104774</xdr:rowOff>
    </xdr:from>
    <xdr:to>
      <xdr:col>2</xdr:col>
      <xdr:colOff>2962275</xdr:colOff>
      <xdr:row>251</xdr:row>
      <xdr:rowOff>1821205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96119749"/>
          <a:ext cx="2152650" cy="1716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847725</xdr:colOff>
      <xdr:row>264</xdr:row>
      <xdr:rowOff>171450</xdr:rowOff>
    </xdr:from>
    <xdr:to>
      <xdr:col>2</xdr:col>
      <xdr:colOff>3076575</xdr:colOff>
      <xdr:row>264</xdr:row>
      <xdr:rowOff>1679639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200386950"/>
          <a:ext cx="2228850" cy="150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1152525</xdr:colOff>
      <xdr:row>281</xdr:row>
      <xdr:rowOff>0</xdr:rowOff>
    </xdr:from>
    <xdr:to>
      <xdr:col>2</xdr:col>
      <xdr:colOff>2943225</xdr:colOff>
      <xdr:row>282</xdr:row>
      <xdr:rowOff>160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05797150"/>
          <a:ext cx="1790700" cy="1333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1362075</xdr:colOff>
      <xdr:row>282</xdr:row>
      <xdr:rowOff>152400</xdr:rowOff>
    </xdr:from>
    <xdr:to>
      <xdr:col>2</xdr:col>
      <xdr:colOff>2305050</xdr:colOff>
      <xdr:row>282</xdr:row>
      <xdr:rowOff>1095375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207283050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1276350</xdr:colOff>
      <xdr:row>148</xdr:row>
      <xdr:rowOff>28575</xdr:rowOff>
    </xdr:from>
    <xdr:to>
      <xdr:col>2</xdr:col>
      <xdr:colOff>2781300</xdr:colOff>
      <xdr:row>148</xdr:row>
      <xdr:rowOff>1234405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26844425"/>
          <a:ext cx="1504950" cy="120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771525</xdr:colOff>
      <xdr:row>286</xdr:row>
      <xdr:rowOff>85724</xdr:rowOff>
    </xdr:from>
    <xdr:to>
      <xdr:col>2</xdr:col>
      <xdr:colOff>2695575</xdr:colOff>
      <xdr:row>286</xdr:row>
      <xdr:rowOff>2153055</xdr:rowOff>
    </xdr:to>
    <xdr:pic>
      <xdr:nvPicPr>
        <xdr:cNvPr id="134" name="Picture 8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211474049"/>
          <a:ext cx="1924050" cy="2067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287</xdr:row>
      <xdr:rowOff>85725</xdr:rowOff>
    </xdr:from>
    <xdr:to>
      <xdr:col>2</xdr:col>
      <xdr:colOff>2369632</xdr:colOff>
      <xdr:row>287</xdr:row>
      <xdr:rowOff>1352550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213712425"/>
          <a:ext cx="1931482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714375</xdr:colOff>
      <xdr:row>288</xdr:row>
      <xdr:rowOff>142875</xdr:rowOff>
    </xdr:from>
    <xdr:to>
      <xdr:col>2</xdr:col>
      <xdr:colOff>2861227</xdr:colOff>
      <xdr:row>288</xdr:row>
      <xdr:rowOff>1171575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15484075"/>
          <a:ext cx="214685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1185333</xdr:colOff>
      <xdr:row>152</xdr:row>
      <xdr:rowOff>84666</xdr:rowOff>
    </xdr:from>
    <xdr:to>
      <xdr:col>2</xdr:col>
      <xdr:colOff>2344406</xdr:colOff>
      <xdr:row>152</xdr:row>
      <xdr:rowOff>1208616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7211666"/>
          <a:ext cx="115907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730250</xdr:colOff>
      <xdr:row>265</xdr:row>
      <xdr:rowOff>42333</xdr:rowOff>
    </xdr:from>
    <xdr:to>
      <xdr:col>2</xdr:col>
      <xdr:colOff>2882900</xdr:colOff>
      <xdr:row>266</xdr:row>
      <xdr:rowOff>1931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6083" y="204004333"/>
          <a:ext cx="2152650" cy="1716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702468</xdr:colOff>
      <xdr:row>172</xdr:row>
      <xdr:rowOff>164307</xdr:rowOff>
    </xdr:from>
    <xdr:to>
      <xdr:col>11</xdr:col>
      <xdr:colOff>214312</xdr:colOff>
      <xdr:row>194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25</xdr:row>
      <xdr:rowOff>57151</xdr:rowOff>
    </xdr:from>
    <xdr:to>
      <xdr:col>15</xdr:col>
      <xdr:colOff>409574</xdr:colOff>
      <xdr:row>46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163376</xdr:colOff>
      <xdr:row>61</xdr:row>
      <xdr:rowOff>152377</xdr:rowOff>
    </xdr:from>
    <xdr:to>
      <xdr:col>16</xdr:col>
      <xdr:colOff>0</xdr:colOff>
      <xdr:row>101</xdr:row>
      <xdr:rowOff>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63376" y="9191602"/>
          <a:ext cx="10618924" cy="63341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36635</xdr:colOff>
      <xdr:row>39</xdr:row>
      <xdr:rowOff>131885</xdr:rowOff>
    </xdr:from>
    <xdr:to>
      <xdr:col>16</xdr:col>
      <xdr:colOff>14654</xdr:colOff>
      <xdr:row>54</xdr:row>
      <xdr:rowOff>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36635" y="5542085"/>
          <a:ext cx="11179419" cy="20683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/Desktop/TESIS-GERENICIA%20DE%20PROYECTOS/TRABAJO%20FINAL%20TESIS/PRUEBAS%20Y%20ERR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s oferta -demanda 2"/>
      <sheetName val="Servicios complementarios"/>
      <sheetName val="Informe cotelco 2019"/>
      <sheetName val="Informe cotelco 2020"/>
      <sheetName val="Matriz de perfil competitivo "/>
      <sheetName val="Inversión del Proyecto "/>
      <sheetName val="Estudios del proyecto "/>
      <sheetName val="Inmobiliario, equipos, varios"/>
      <sheetName val="Costo nómina"/>
      <sheetName val="Costos-gastos de mantenimiento"/>
      <sheetName val="Balance "/>
      <sheetName val="Estados de resultados"/>
      <sheetName val="Flujo de caja libre "/>
      <sheetName val="AH-V Bce"/>
      <sheetName val="AH-V PyG"/>
      <sheetName val="Cálculo WACC"/>
      <sheetName val="Prestamo Créditos"/>
      <sheetName val="Capacidad Instalada Habitacione"/>
      <sheetName val="Requerrimientos espaciales"/>
      <sheetName val="Etapas de construcción "/>
      <sheetName val="notas import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4">
          <cell r="D54">
            <v>50000000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www.hosteltur.com/lat/133336_la-ocupacion-hotelera-colombiana-bate-su-record-historico-en-2019.html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calendariodecolombia.com/calendario-2022.html" TargetMode="External"/><Relationship Id="rId1" Type="http://schemas.openxmlformats.org/officeDocument/2006/relationships/hyperlink" Target="https://www.cotelco.org/estadisticas/indicadoresdic2019" TargetMode="External"/><Relationship Id="rId6" Type="http://schemas.openxmlformats.org/officeDocument/2006/relationships/hyperlink" Target="https://www.calendariodecolombia.com/calendario-2023.html" TargetMode="External"/><Relationship Id="rId5" Type="http://schemas.openxmlformats.org/officeDocument/2006/relationships/hyperlink" Target="https://www.dane.gov.co/index.php/estadisticas-por-tema/servicios/muestra-mensual-de-hoteles-mmh/mmh-historicos" TargetMode="External"/><Relationship Id="rId4" Type="http://schemas.openxmlformats.org/officeDocument/2006/relationships/hyperlink" Target="http://www.citur.gov.co/estadisticas/df_ocupacion_hotelera/var_anual/31" TargetMode="External"/><Relationship Id="rId9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hyperlink" Target="https://www.gerencie.com/vida-util-de-los-activos-fijos.html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s://www.youtube.com/watch?v=-W1Gm2nFGx4" TargetMode="External"/><Relationship Id="rId1" Type="http://schemas.openxmlformats.org/officeDocument/2006/relationships/hyperlink" Target="http://zusideroldan.blogspot.com/2017/11/tir-vpn-tio-y-costo-promedio-de-capital.html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nvestigaciones.corficolombiana.com/documents/38211/0/Separata%20Version%20Web%20(1).pdf/0c116f63-44f0-deca-26b7-ce09d46762b1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hyperlink" Target="https://www.youtube.com/watch?v=CXhT2tCJPPI" TargetMode="External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mments" Target="../comments7.xml"/><Relationship Id="rId3" Type="http://schemas.openxmlformats.org/officeDocument/2006/relationships/hyperlink" Target="https://www.youtube.com/watch?v=BCeu6k1UnEs&amp;feature=youtu.be" TargetMode="External"/><Relationship Id="rId7" Type="http://schemas.openxmlformats.org/officeDocument/2006/relationships/vmlDrawing" Target="../drawings/vmlDrawing7.vml"/><Relationship Id="rId2" Type="http://schemas.openxmlformats.org/officeDocument/2006/relationships/hyperlink" Target="https://www.youtube.com/watch?v=J8zNScbarsE" TargetMode="External"/><Relationship Id="rId1" Type="http://schemas.openxmlformats.org/officeDocument/2006/relationships/hyperlink" Target="https://www.youtube.com/watch?v=BCeu6k1UnEs&amp;feature=youtu.be" TargetMode="External"/><Relationship Id="rId6" Type="http://schemas.openxmlformats.org/officeDocument/2006/relationships/hyperlink" Target="https://www.youtube.com/watch?v=CXhT2tCJPPI&amp;t=1753s" TargetMode="External"/><Relationship Id="rId5" Type="http://schemas.openxmlformats.org/officeDocument/2006/relationships/hyperlink" Target="https://www.youtube.com/watch?v=CXhT2tCJPPI&amp;t=1753s" TargetMode="External"/><Relationship Id="rId4" Type="http://schemas.openxmlformats.org/officeDocument/2006/relationships/hyperlink" Target="https://www.youtube.com/watch?v=J8zNScbarsE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http://www.normalux.com/intranet/uploads/descargas/guia_basica_2018.pdf" TargetMode="External"/><Relationship Id="rId7" Type="http://schemas.openxmlformats.org/officeDocument/2006/relationships/hyperlink" Target="https://www.neocenter.com/Hoteleria/" TargetMode="External"/><Relationship Id="rId2" Type="http://schemas.openxmlformats.org/officeDocument/2006/relationships/hyperlink" Target="https://www.pinterest.es/alessoriano/se%C3%B1al%C3%A9tica-hotel/" TargetMode="External"/><Relationship Id="rId1" Type="http://schemas.openxmlformats.org/officeDocument/2006/relationships/hyperlink" Target="https://visualgraf.com.co/senales-de-evacuacion/" TargetMode="External"/><Relationship Id="rId6" Type="http://schemas.openxmlformats.org/officeDocument/2006/relationships/hyperlink" Target="https://articulo.mercadolibre.com.co/MCO-532121169-lampara-led-solar-de-alumbrado-publico-150w-control-remo-_JM?matt_tool=68802118&amp;matt_word&amp;gclid=CjwKCAjwssD0BRBIEiwA-JP5rDvgBKI6Mo-Pe1_bH6R59qJ2GWXsHu1eTB289Cbup3cQH1bDQpkAMBoCLrQQAvD_BwE&amp;quantity=1&amp;variation=43557147072" TargetMode="External"/><Relationship Id="rId11" Type="http://schemas.openxmlformats.org/officeDocument/2006/relationships/comments" Target="../comments2.xml"/><Relationship Id="rId5" Type="http://schemas.openxmlformats.org/officeDocument/2006/relationships/hyperlink" Target="https://es.perco.com/productos/cerraduras-electromecanicas/" TargetMode="External"/><Relationship Id="rId10" Type="http://schemas.openxmlformats.org/officeDocument/2006/relationships/vmlDrawing" Target="../drawings/vmlDrawing2.vml"/><Relationship Id="rId4" Type="http://schemas.openxmlformats.org/officeDocument/2006/relationships/hyperlink" Target="https://es.perco.com/productos/torniquetes-puertas-cercas/" TargetMode="External"/><Relationship Id="rId9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CDC14"/>
  </sheetPr>
  <dimension ref="B2:AB465"/>
  <sheetViews>
    <sheetView tabSelected="1" zoomScale="77" zoomScaleNormal="100" workbookViewId="0">
      <selection activeCell="I25" sqref="I25"/>
    </sheetView>
  </sheetViews>
  <sheetFormatPr baseColWidth="10" defaultRowHeight="15" x14ac:dyDescent="0.25"/>
  <cols>
    <col min="3" max="3" width="29.140625" bestFit="1" customWidth="1"/>
    <col min="4" max="4" width="20.42578125" customWidth="1"/>
    <col min="5" max="5" width="65.140625" customWidth="1"/>
    <col min="6" max="6" width="47.140625" style="15" customWidth="1"/>
    <col min="7" max="7" width="30.140625" customWidth="1"/>
    <col min="8" max="8" width="23.7109375" customWidth="1"/>
    <col min="9" max="9" width="42.5703125" bestFit="1" customWidth="1"/>
    <col min="10" max="10" width="40.85546875" bestFit="1" customWidth="1"/>
    <col min="11" max="11" width="50.140625" bestFit="1" customWidth="1"/>
    <col min="12" max="12" width="46.28515625" bestFit="1" customWidth="1"/>
    <col min="13" max="13" width="52.140625" customWidth="1"/>
    <col min="14" max="14" width="35.5703125" bestFit="1" customWidth="1"/>
    <col min="15" max="15" width="19.140625" bestFit="1" customWidth="1"/>
    <col min="16" max="16" width="21" customWidth="1"/>
    <col min="18" max="18" width="15.5703125" bestFit="1" customWidth="1"/>
    <col min="19" max="19" width="24.42578125" bestFit="1" customWidth="1"/>
    <col min="20" max="20" width="34.85546875" bestFit="1" customWidth="1"/>
    <col min="21" max="21" width="55" bestFit="1" customWidth="1"/>
    <col min="22" max="22" width="47.5703125" bestFit="1" customWidth="1"/>
  </cols>
  <sheetData>
    <row r="2" spans="4:10" x14ac:dyDescent="0.25">
      <c r="H2" s="3" t="s">
        <v>65</v>
      </c>
      <c r="I2" s="3" t="s">
        <v>68</v>
      </c>
    </row>
    <row r="3" spans="4:10" x14ac:dyDescent="0.25">
      <c r="D3" s="721" t="s">
        <v>454</v>
      </c>
      <c r="E3" s="721"/>
      <c r="F3" s="721"/>
      <c r="H3" s="3" t="s">
        <v>66</v>
      </c>
      <c r="I3" s="3" t="s">
        <v>69</v>
      </c>
    </row>
    <row r="4" spans="4:10" x14ac:dyDescent="0.25">
      <c r="D4" s="1"/>
      <c r="E4" s="6" t="s">
        <v>498</v>
      </c>
      <c r="F4" s="175"/>
      <c r="H4" s="3" t="s">
        <v>67</v>
      </c>
      <c r="I4" s="3" t="s">
        <v>70</v>
      </c>
    </row>
    <row r="5" spans="4:10" x14ac:dyDescent="0.25">
      <c r="D5" s="722" t="s">
        <v>52</v>
      </c>
      <c r="E5" s="135" t="s">
        <v>53</v>
      </c>
      <c r="F5" s="136"/>
    </row>
    <row r="6" spans="4:10" x14ac:dyDescent="0.25">
      <c r="D6" s="723"/>
      <c r="E6" s="725" t="s">
        <v>55</v>
      </c>
      <c r="F6" s="726"/>
    </row>
    <row r="7" spans="4:10" x14ac:dyDescent="0.25">
      <c r="D7" s="723"/>
      <c r="E7" s="1" t="s">
        <v>456</v>
      </c>
      <c r="F7" s="175">
        <v>52</v>
      </c>
      <c r="H7" s="714" t="s">
        <v>1471</v>
      </c>
      <c r="I7" s="715"/>
    </row>
    <row r="8" spans="4:10" x14ac:dyDescent="0.25">
      <c r="D8" s="723"/>
      <c r="E8" s="1" t="s">
        <v>457</v>
      </c>
      <c r="F8" s="16">
        <f>+I13</f>
        <v>16.600000000000001</v>
      </c>
      <c r="H8" s="4" t="s">
        <v>1197</v>
      </c>
      <c r="I8" s="199">
        <v>15</v>
      </c>
    </row>
    <row r="9" spans="4:10" x14ac:dyDescent="0.25">
      <c r="D9" s="723"/>
      <c r="E9" s="1" t="s">
        <v>458</v>
      </c>
      <c r="F9" s="175">
        <v>3</v>
      </c>
      <c r="H9" s="4" t="s">
        <v>1198</v>
      </c>
      <c r="I9" s="199">
        <v>17</v>
      </c>
      <c r="J9" s="181" t="s">
        <v>1202</v>
      </c>
    </row>
    <row r="10" spans="4:10" x14ac:dyDescent="0.25">
      <c r="D10" s="723"/>
      <c r="E10" s="1" t="s">
        <v>459</v>
      </c>
      <c r="F10" s="175">
        <v>10</v>
      </c>
      <c r="H10" s="4" t="s">
        <v>1199</v>
      </c>
      <c r="I10" s="199">
        <v>17</v>
      </c>
    </row>
    <row r="11" spans="4:10" x14ac:dyDescent="0.25">
      <c r="D11" s="723"/>
      <c r="E11" s="1" t="s">
        <v>460</v>
      </c>
      <c r="F11" s="175">
        <v>25</v>
      </c>
      <c r="H11" s="4" t="s">
        <v>1200</v>
      </c>
      <c r="I11" s="199">
        <v>16</v>
      </c>
    </row>
    <row r="12" spans="4:10" x14ac:dyDescent="0.25">
      <c r="D12" s="723"/>
      <c r="E12" s="1" t="s">
        <v>56</v>
      </c>
      <c r="F12" s="16">
        <f>+SUM(F7:F11)</f>
        <v>106.6</v>
      </c>
      <c r="H12" s="198" t="s">
        <v>1201</v>
      </c>
      <c r="I12" s="199">
        <v>18</v>
      </c>
    </row>
    <row r="13" spans="4:10" x14ac:dyDescent="0.25">
      <c r="D13" s="724"/>
      <c r="E13" s="1" t="s">
        <v>461</v>
      </c>
      <c r="F13" s="17">
        <v>0.9</v>
      </c>
      <c r="H13" s="190" t="s">
        <v>1203</v>
      </c>
      <c r="I13" s="339">
        <f>+AVERAGE(I8:I12)</f>
        <v>16.600000000000001</v>
      </c>
    </row>
    <row r="14" spans="4:10" x14ac:dyDescent="0.25">
      <c r="D14" s="1"/>
      <c r="E14" s="1"/>
      <c r="F14" s="175"/>
    </row>
    <row r="15" spans="4:10" x14ac:dyDescent="0.25">
      <c r="D15" s="722" t="s">
        <v>455</v>
      </c>
      <c r="E15" s="725" t="s">
        <v>58</v>
      </c>
      <c r="F15" s="726"/>
      <c r="H15" s="340">
        <f>+F22+F17+F12</f>
        <v>364.6</v>
      </c>
      <c r="I15" t="s">
        <v>1472</v>
      </c>
    </row>
    <row r="16" spans="4:10" x14ac:dyDescent="0.25">
      <c r="D16" s="723"/>
      <c r="E16" s="725" t="s">
        <v>55</v>
      </c>
      <c r="F16" s="726"/>
      <c r="H16" s="340">
        <f>+H15-F29</f>
        <v>131.5175356</v>
      </c>
      <c r="I16" t="s">
        <v>1473</v>
      </c>
    </row>
    <row r="17" spans="4:10" x14ac:dyDescent="0.25">
      <c r="D17" s="723"/>
      <c r="E17" s="1" t="s">
        <v>59</v>
      </c>
      <c r="F17" s="175">
        <v>90</v>
      </c>
      <c r="G17" s="18"/>
      <c r="J17" s="26"/>
    </row>
    <row r="18" spans="4:10" x14ac:dyDescent="0.25">
      <c r="D18" s="723"/>
      <c r="E18" s="1" t="s">
        <v>1015</v>
      </c>
      <c r="F18" s="17">
        <v>0.3</v>
      </c>
      <c r="J18" s="10"/>
    </row>
    <row r="19" spans="4:10" x14ac:dyDescent="0.25">
      <c r="D19" s="1"/>
      <c r="E19" s="1"/>
      <c r="F19" s="175"/>
      <c r="J19" s="26"/>
    </row>
    <row r="20" spans="4:10" x14ac:dyDescent="0.25">
      <c r="D20" s="722" t="s">
        <v>57</v>
      </c>
      <c r="E20" s="725" t="s">
        <v>57</v>
      </c>
      <c r="F20" s="726"/>
    </row>
    <row r="21" spans="4:10" x14ac:dyDescent="0.25">
      <c r="D21" s="723"/>
      <c r="E21" s="725" t="s">
        <v>55</v>
      </c>
      <c r="F21" s="726"/>
    </row>
    <row r="22" spans="4:10" x14ac:dyDescent="0.25">
      <c r="D22" s="723"/>
      <c r="E22" s="1" t="s">
        <v>60</v>
      </c>
      <c r="F22" s="175">
        <v>168</v>
      </c>
      <c r="G22" s="18"/>
      <c r="H22" s="18"/>
      <c r="I22" s="18"/>
    </row>
    <row r="23" spans="4:10" x14ac:dyDescent="0.25">
      <c r="D23" s="723"/>
      <c r="E23" s="1" t="s">
        <v>462</v>
      </c>
      <c r="F23" s="17">
        <v>0.15</v>
      </c>
      <c r="I23" s="18"/>
    </row>
    <row r="24" spans="4:10" x14ac:dyDescent="0.25">
      <c r="D24" s="1"/>
      <c r="E24" s="1"/>
      <c r="F24" s="175"/>
    </row>
    <row r="25" spans="4:10" x14ac:dyDescent="0.25">
      <c r="D25" s="718" t="s">
        <v>522</v>
      </c>
      <c r="E25" s="719"/>
      <c r="F25" s="720"/>
    </row>
    <row r="26" spans="4:10" x14ac:dyDescent="0.25">
      <c r="D26" s="716"/>
      <c r="E26" s="1" t="s">
        <v>61</v>
      </c>
      <c r="F26" s="16">
        <f>+F163+F165+F166</f>
        <v>62.491258799999997</v>
      </c>
    </row>
    <row r="27" spans="4:10" x14ac:dyDescent="0.25">
      <c r="D27" s="727"/>
      <c r="E27" s="1" t="s">
        <v>62</v>
      </c>
      <c r="F27" s="16">
        <f>+F156+F157+F158+F160+F161+F162+F164+F167</f>
        <v>152.53163640000002</v>
      </c>
    </row>
    <row r="28" spans="4:10" x14ac:dyDescent="0.25">
      <c r="D28" s="727"/>
      <c r="E28" s="1" t="s">
        <v>63</v>
      </c>
      <c r="F28" s="16">
        <f>+F159</f>
        <v>18.059569199999999</v>
      </c>
    </row>
    <row r="29" spans="4:10" x14ac:dyDescent="0.25">
      <c r="D29" s="727"/>
      <c r="E29" s="1" t="s">
        <v>501</v>
      </c>
      <c r="F29" s="16">
        <f>+SUM(F26:F28)</f>
        <v>233.08246440000002</v>
      </c>
    </row>
    <row r="30" spans="4:10" x14ac:dyDescent="0.25">
      <c r="D30" s="718" t="s">
        <v>64</v>
      </c>
      <c r="E30" s="719"/>
      <c r="F30" s="720"/>
    </row>
    <row r="31" spans="4:10" x14ac:dyDescent="0.25">
      <c r="D31" s="716"/>
      <c r="E31" s="1" t="s">
        <v>502</v>
      </c>
      <c r="F31" s="175">
        <f>+'Capacidad Instalada Habitacione'!D64</f>
        <v>36</v>
      </c>
    </row>
    <row r="32" spans="4:10" x14ac:dyDescent="0.25">
      <c r="D32" s="717"/>
      <c r="E32" s="1" t="s">
        <v>503</v>
      </c>
      <c r="F32" s="180">
        <f>+'Capacidad Instalada Habitacione'!I66</f>
        <v>2.7222222222222223</v>
      </c>
    </row>
    <row r="34" spans="4:11" x14ac:dyDescent="0.25">
      <c r="D34" t="s">
        <v>1469</v>
      </c>
    </row>
    <row r="35" spans="4:11" x14ac:dyDescent="0.25">
      <c r="D35" t="s">
        <v>1400</v>
      </c>
    </row>
    <row r="36" spans="4:11" x14ac:dyDescent="0.25">
      <c r="D36" t="s">
        <v>1470</v>
      </c>
    </row>
    <row r="39" spans="4:11" x14ac:dyDescent="0.25">
      <c r="D39" s="728" t="s">
        <v>495</v>
      </c>
      <c r="E39" s="728"/>
      <c r="F39" s="728"/>
      <c r="G39" s="728"/>
      <c r="H39" s="728"/>
      <c r="I39" s="728"/>
      <c r="J39" s="728"/>
      <c r="K39" s="323"/>
    </row>
    <row r="41" spans="4:11" x14ac:dyDescent="0.25">
      <c r="E41" s="4"/>
      <c r="F41" s="6" t="s">
        <v>1289</v>
      </c>
      <c r="G41" s="6" t="s">
        <v>0</v>
      </c>
      <c r="H41" s="6" t="s">
        <v>1</v>
      </c>
      <c r="I41" s="6" t="s">
        <v>2</v>
      </c>
      <c r="J41" s="6" t="s">
        <v>496</v>
      </c>
      <c r="K41" s="6" t="s">
        <v>497</v>
      </c>
    </row>
    <row r="42" spans="4:11" x14ac:dyDescent="0.25">
      <c r="E42" s="1"/>
      <c r="F42" s="6">
        <v>2021</v>
      </c>
      <c r="G42" s="6">
        <v>2022</v>
      </c>
      <c r="H42" s="6">
        <v>2023</v>
      </c>
      <c r="I42" s="6">
        <v>2024</v>
      </c>
      <c r="J42" s="6">
        <v>2025</v>
      </c>
      <c r="K42" s="6">
        <v>2026</v>
      </c>
    </row>
    <row r="43" spans="4:11" x14ac:dyDescent="0.25">
      <c r="E43" s="1" t="s">
        <v>523</v>
      </c>
      <c r="F43" s="289"/>
      <c r="G43" s="30">
        <f>+I169</f>
        <v>4795.3121688000001</v>
      </c>
      <c r="H43" s="30">
        <f>+I214</f>
        <v>4942.6061181825607</v>
      </c>
      <c r="I43" s="30">
        <f>+I260</f>
        <v>5058.1725058527463</v>
      </c>
      <c r="J43" s="30">
        <f>+I305</f>
        <v>5112.1526450897745</v>
      </c>
      <c r="K43" s="30">
        <f>+I349</f>
        <v>5245.5307313722551</v>
      </c>
    </row>
    <row r="44" spans="4:11" x14ac:dyDescent="0.25">
      <c r="E44" s="1" t="s">
        <v>499</v>
      </c>
      <c r="F44" s="289"/>
      <c r="G44" s="242">
        <f>+G76</f>
        <v>0.53954274166666671</v>
      </c>
      <c r="H44" s="242">
        <f>+H76</f>
        <v>0.55125081916083341</v>
      </c>
      <c r="I44" s="242">
        <f>+I76</f>
        <v>0.5632129619366234</v>
      </c>
      <c r="J44" s="242">
        <f>+J76</f>
        <v>0.57543468321064817</v>
      </c>
      <c r="K44" s="242">
        <f>+K76</f>
        <v>0.5879216158363193</v>
      </c>
    </row>
    <row r="45" spans="4:11" x14ac:dyDescent="0.25">
      <c r="E45" s="6" t="s">
        <v>544</v>
      </c>
      <c r="F45" s="6" t="s">
        <v>1401</v>
      </c>
      <c r="G45" s="31"/>
      <c r="H45" s="2"/>
      <c r="I45" s="2"/>
      <c r="J45" s="2"/>
      <c r="K45" s="2"/>
    </row>
    <row r="46" spans="4:11" x14ac:dyDescent="0.25">
      <c r="E46" s="4" t="s">
        <v>1017</v>
      </c>
      <c r="F46" s="28">
        <f>+F61*2</f>
        <v>413522</v>
      </c>
      <c r="G46" s="28">
        <f>+(F46*$C$76)+F46</f>
        <v>429649.35800000001</v>
      </c>
      <c r="H46" s="28">
        <f>+(G46*$C$76)+G46</f>
        <v>446405.68296200002</v>
      </c>
      <c r="I46" s="28">
        <f t="shared" ref="I46:K46" si="0">+(H46*$C$76)+H46</f>
        <v>463815.50459751801</v>
      </c>
      <c r="J46" s="28">
        <f t="shared" si="0"/>
        <v>481904.30927682121</v>
      </c>
      <c r="K46" s="28">
        <f t="shared" si="0"/>
        <v>500698.57733861724</v>
      </c>
    </row>
    <row r="47" spans="4:11" x14ac:dyDescent="0.25">
      <c r="E47" s="4" t="s">
        <v>1820</v>
      </c>
      <c r="F47" s="28">
        <f t="shared" ref="F47:F51" si="1">+F62*2</f>
        <v>829122</v>
      </c>
      <c r="G47" s="28">
        <f t="shared" ref="G47:G51" si="2">+(F47*$C$76)+F47</f>
        <v>861457.75800000003</v>
      </c>
      <c r="H47" s="28">
        <f t="shared" ref="H47:H51" si="3">+(G47*$C$76)+G47</f>
        <v>895054.61056200007</v>
      </c>
      <c r="I47" s="28">
        <f t="shared" ref="I47:K51" si="4">+(H47*$C$76)+H47</f>
        <v>929961.74037391809</v>
      </c>
      <c r="J47" s="28">
        <f t="shared" si="4"/>
        <v>966230.24824850087</v>
      </c>
      <c r="K47" s="28">
        <f t="shared" si="4"/>
        <v>1003913.2279301924</v>
      </c>
    </row>
    <row r="48" spans="4:11" x14ac:dyDescent="0.25">
      <c r="E48" s="4" t="s">
        <v>1817</v>
      </c>
      <c r="F48" s="28">
        <f t="shared" si="1"/>
        <v>517422</v>
      </c>
      <c r="G48" s="28">
        <f t="shared" si="2"/>
        <v>537601.45799999998</v>
      </c>
      <c r="H48" s="28">
        <f t="shared" si="3"/>
        <v>558567.91486200003</v>
      </c>
      <c r="I48" s="28">
        <f t="shared" si="4"/>
        <v>580352.06354161806</v>
      </c>
      <c r="J48" s="28">
        <f t="shared" si="4"/>
        <v>602985.79401974112</v>
      </c>
      <c r="K48" s="28">
        <f t="shared" si="4"/>
        <v>626502.23998651106</v>
      </c>
    </row>
    <row r="49" spans="3:11" x14ac:dyDescent="0.25">
      <c r="E49" s="4" t="s">
        <v>1821</v>
      </c>
      <c r="F49" s="28">
        <f t="shared" si="1"/>
        <v>517422</v>
      </c>
      <c r="G49" s="28">
        <f t="shared" si="2"/>
        <v>537601.45799999998</v>
      </c>
      <c r="H49" s="28">
        <f t="shared" si="3"/>
        <v>558567.91486200003</v>
      </c>
      <c r="I49" s="28">
        <f t="shared" si="4"/>
        <v>580352.06354161806</v>
      </c>
      <c r="J49" s="28">
        <f t="shared" si="4"/>
        <v>602985.79401974112</v>
      </c>
      <c r="K49" s="28">
        <f t="shared" si="4"/>
        <v>626502.23998651106</v>
      </c>
    </row>
    <row r="50" spans="3:11" x14ac:dyDescent="0.25">
      <c r="E50" s="317" t="s">
        <v>1819</v>
      </c>
      <c r="F50" s="28">
        <f t="shared" si="1"/>
        <v>517422</v>
      </c>
      <c r="G50" s="28">
        <f t="shared" si="2"/>
        <v>537601.45799999998</v>
      </c>
      <c r="H50" s="28">
        <f t="shared" si="3"/>
        <v>558567.91486200003</v>
      </c>
      <c r="I50" s="28">
        <f t="shared" si="4"/>
        <v>580352.06354161806</v>
      </c>
      <c r="J50" s="28">
        <f t="shared" si="4"/>
        <v>602985.79401974112</v>
      </c>
      <c r="K50" s="28">
        <f t="shared" si="4"/>
        <v>626502.23998651106</v>
      </c>
    </row>
    <row r="51" spans="3:11" x14ac:dyDescent="0.25">
      <c r="E51" s="4" t="s">
        <v>489</v>
      </c>
      <c r="F51" s="28">
        <f t="shared" si="1"/>
        <v>810420</v>
      </c>
      <c r="G51" s="28">
        <f t="shared" si="2"/>
        <v>842026.38</v>
      </c>
      <c r="H51" s="28">
        <f t="shared" si="3"/>
        <v>874865.40882000001</v>
      </c>
      <c r="I51" s="28">
        <f t="shared" si="4"/>
        <v>908985.15976397996</v>
      </c>
      <c r="J51" s="28">
        <f t="shared" si="4"/>
        <v>944435.58099477517</v>
      </c>
      <c r="K51" s="28">
        <f t="shared" si="4"/>
        <v>981268.56865357142</v>
      </c>
    </row>
    <row r="52" spans="3:11" x14ac:dyDescent="0.25">
      <c r="G52" s="15"/>
    </row>
    <row r="53" spans="3:11" x14ac:dyDescent="0.25">
      <c r="F53" s="316"/>
      <c r="G53" s="316"/>
      <c r="H53" s="316"/>
      <c r="I53" s="316"/>
      <c r="J53" s="316"/>
      <c r="K53" s="316"/>
    </row>
    <row r="54" spans="3:11" x14ac:dyDescent="0.25">
      <c r="F54" s="316"/>
      <c r="G54" s="72"/>
      <c r="H54" s="72"/>
      <c r="I54" s="72"/>
      <c r="J54" s="72"/>
      <c r="K54" s="72"/>
    </row>
    <row r="55" spans="3:11" x14ac:dyDescent="0.25">
      <c r="D55" s="137" t="s">
        <v>520</v>
      </c>
      <c r="G55" s="72"/>
      <c r="H55" s="72"/>
      <c r="I55" s="72"/>
      <c r="J55" s="72"/>
      <c r="K55" s="72"/>
    </row>
    <row r="56" spans="3:11" x14ac:dyDescent="0.25">
      <c r="G56" s="15"/>
    </row>
    <row r="57" spans="3:11" x14ac:dyDescent="0.25">
      <c r="D57" s="137" t="s">
        <v>546</v>
      </c>
      <c r="E57" s="4"/>
      <c r="F57" s="6" t="s">
        <v>1289</v>
      </c>
      <c r="G57" s="6" t="s">
        <v>0</v>
      </c>
      <c r="H57" s="6" t="s">
        <v>1</v>
      </c>
      <c r="I57" s="6" t="s">
        <v>2</v>
      </c>
      <c r="J57" s="6" t="s">
        <v>496</v>
      </c>
      <c r="K57" s="6" t="s">
        <v>497</v>
      </c>
    </row>
    <row r="58" spans="3:11" x14ac:dyDescent="0.25">
      <c r="C58" s="21" t="s">
        <v>1474</v>
      </c>
      <c r="E58" s="1"/>
      <c r="F58" s="6">
        <v>2021</v>
      </c>
      <c r="G58" s="6">
        <v>2022</v>
      </c>
      <c r="H58" s="6">
        <v>2023</v>
      </c>
      <c r="I58" s="6">
        <v>2024</v>
      </c>
      <c r="J58" s="6">
        <v>2025</v>
      </c>
      <c r="K58" s="6">
        <v>2026</v>
      </c>
    </row>
    <row r="59" spans="3:11" x14ac:dyDescent="0.25">
      <c r="C59" s="21" t="s">
        <v>504</v>
      </c>
      <c r="E59" s="1" t="s">
        <v>542</v>
      </c>
      <c r="F59" s="289"/>
      <c r="G59" s="34">
        <f>+I93</f>
        <v>7596.9144639850483</v>
      </c>
      <c r="H59" s="34">
        <f>+I94</f>
        <v>7761.7675078535221</v>
      </c>
      <c r="I59" s="34">
        <f>+I95</f>
        <v>7930.1978627739445</v>
      </c>
      <c r="J59" s="34">
        <f>+I96</f>
        <v>8102.2831563961381</v>
      </c>
      <c r="K59" s="34">
        <f>+I97</f>
        <v>8278.1027008899346</v>
      </c>
    </row>
    <row r="60" spans="3:11" x14ac:dyDescent="0.25">
      <c r="C60" s="696">
        <v>199000</v>
      </c>
      <c r="E60" s="6" t="s">
        <v>504</v>
      </c>
      <c r="F60" s="6" t="s">
        <v>1401</v>
      </c>
      <c r="G60" s="31"/>
      <c r="H60" s="2"/>
      <c r="I60" s="2"/>
      <c r="J60" s="2"/>
      <c r="K60" s="2"/>
    </row>
    <row r="61" spans="3:11" x14ac:dyDescent="0.25">
      <c r="C61" s="696">
        <v>399000</v>
      </c>
      <c r="E61" s="4" t="s">
        <v>1016</v>
      </c>
      <c r="F61" s="28">
        <f>+(C60*$C$76)+C60</f>
        <v>206761</v>
      </c>
      <c r="G61" s="28">
        <f>+(F61*$C$76)+F61</f>
        <v>214824.679</v>
      </c>
      <c r="H61" s="28">
        <f>+(G61*$C$76)+G61</f>
        <v>223202.84148100001</v>
      </c>
      <c r="I61" s="28">
        <f t="shared" ref="I61:K66" si="5">+(H61*$C$76)+H61</f>
        <v>231907.75229875901</v>
      </c>
      <c r="J61" s="28">
        <f t="shared" si="5"/>
        <v>240952.1546384106</v>
      </c>
      <c r="K61" s="28">
        <f t="shared" si="5"/>
        <v>250349.28866930862</v>
      </c>
    </row>
    <row r="62" spans="3:11" x14ac:dyDescent="0.25">
      <c r="C62" s="696">
        <v>249000</v>
      </c>
      <c r="E62" s="4" t="s">
        <v>1822</v>
      </c>
      <c r="F62" s="28">
        <f t="shared" ref="F62:F66" si="6">+(C61*$C$76)+C61</f>
        <v>414561</v>
      </c>
      <c r="G62" s="28">
        <f t="shared" ref="G62:G66" si="7">+(F62*$C$76)+F62</f>
        <v>430728.87900000002</v>
      </c>
      <c r="H62" s="28">
        <f t="shared" ref="H62:K66" si="8">+(G62*$C$76)+G62</f>
        <v>447527.30528100004</v>
      </c>
      <c r="I62" s="28">
        <f t="shared" si="5"/>
        <v>464980.87018695904</v>
      </c>
      <c r="J62" s="28">
        <f t="shared" si="8"/>
        <v>483115.12412425043</v>
      </c>
      <c r="K62" s="28">
        <f t="shared" si="8"/>
        <v>501956.61396509618</v>
      </c>
    </row>
    <row r="63" spans="3:11" x14ac:dyDescent="0.25">
      <c r="C63" s="696">
        <v>249000</v>
      </c>
      <c r="E63" s="4" t="s">
        <v>1823</v>
      </c>
      <c r="F63" s="28">
        <f t="shared" si="6"/>
        <v>258711</v>
      </c>
      <c r="G63" s="28">
        <f t="shared" si="7"/>
        <v>268800.72899999999</v>
      </c>
      <c r="H63" s="28">
        <f t="shared" si="8"/>
        <v>279283.95743100002</v>
      </c>
      <c r="I63" s="28">
        <f t="shared" si="5"/>
        <v>290176.03177080903</v>
      </c>
      <c r="J63" s="28">
        <f t="shared" si="8"/>
        <v>301492.89700987056</v>
      </c>
      <c r="K63" s="28">
        <f t="shared" si="8"/>
        <v>313251.11999325553</v>
      </c>
    </row>
    <row r="64" spans="3:11" x14ac:dyDescent="0.25">
      <c r="C64" s="696">
        <v>249000</v>
      </c>
      <c r="E64" s="4" t="s">
        <v>1824</v>
      </c>
      <c r="F64" s="28">
        <f t="shared" si="6"/>
        <v>258711</v>
      </c>
      <c r="G64" s="28">
        <f t="shared" si="7"/>
        <v>268800.72899999999</v>
      </c>
      <c r="H64" s="28">
        <f t="shared" si="8"/>
        <v>279283.95743100002</v>
      </c>
      <c r="I64" s="28">
        <f t="shared" si="5"/>
        <v>290176.03177080903</v>
      </c>
      <c r="J64" s="28">
        <f t="shared" si="8"/>
        <v>301492.89700987056</v>
      </c>
      <c r="K64" s="28">
        <f t="shared" si="8"/>
        <v>313251.11999325553</v>
      </c>
    </row>
    <row r="65" spans="2:11" x14ac:dyDescent="0.25">
      <c r="C65" s="696">
        <v>390000</v>
      </c>
      <c r="E65" s="317" t="s">
        <v>1825</v>
      </c>
      <c r="F65" s="28">
        <f t="shared" si="6"/>
        <v>258711</v>
      </c>
      <c r="G65" s="28">
        <f t="shared" si="7"/>
        <v>268800.72899999999</v>
      </c>
      <c r="H65" s="28">
        <f t="shared" si="8"/>
        <v>279283.95743100002</v>
      </c>
      <c r="I65" s="28">
        <f t="shared" si="5"/>
        <v>290176.03177080903</v>
      </c>
      <c r="J65" s="28">
        <f t="shared" si="8"/>
        <v>301492.89700987056</v>
      </c>
      <c r="K65" s="28">
        <f t="shared" si="8"/>
        <v>313251.11999325553</v>
      </c>
    </row>
    <row r="66" spans="2:11" x14ac:dyDescent="0.25">
      <c r="C66" t="s">
        <v>1798</v>
      </c>
      <c r="E66" s="4" t="s">
        <v>500</v>
      </c>
      <c r="F66" s="28">
        <f t="shared" si="6"/>
        <v>405210</v>
      </c>
      <c r="G66" s="28">
        <f t="shared" si="7"/>
        <v>421013.19</v>
      </c>
      <c r="H66" s="28">
        <f t="shared" si="8"/>
        <v>437432.70441000001</v>
      </c>
      <c r="I66" s="28">
        <f t="shared" si="5"/>
        <v>454492.57988198998</v>
      </c>
      <c r="J66" s="28">
        <f t="shared" si="8"/>
        <v>472217.79049738758</v>
      </c>
      <c r="K66" s="28">
        <f t="shared" si="8"/>
        <v>490634.28432678571</v>
      </c>
    </row>
    <row r="67" spans="2:11" x14ac:dyDescent="0.25">
      <c r="B67" t="s">
        <v>1797</v>
      </c>
      <c r="E67" s="4"/>
      <c r="F67" s="289"/>
      <c r="G67" s="28"/>
      <c r="H67" s="2"/>
      <c r="I67" s="2"/>
      <c r="J67" s="2"/>
      <c r="K67" s="2"/>
    </row>
    <row r="68" spans="2:11" x14ac:dyDescent="0.25">
      <c r="E68" s="318" t="s">
        <v>543</v>
      </c>
      <c r="F68" s="319"/>
      <c r="G68" s="138">
        <f>+AVERAGE(G61:G66)*G59</f>
        <v>2371464132.1493621</v>
      </c>
      <c r="H68" s="138">
        <f t="shared" ref="H68:K68" si="9">+AVERAGE(H61:H66)*H59</f>
        <v>2517418975.0658655</v>
      </c>
      <c r="I68" s="138">
        <f t="shared" si="9"/>
        <v>2672356798.5309625</v>
      </c>
      <c r="J68" s="138">
        <f t="shared" si="9"/>
        <v>2836830471.7603879</v>
      </c>
      <c r="K68" s="138">
        <f t="shared" si="9"/>
        <v>3011426891.0244946</v>
      </c>
    </row>
    <row r="69" spans="2:11" x14ac:dyDescent="0.25">
      <c r="G69" s="27"/>
    </row>
    <row r="70" spans="2:11" x14ac:dyDescent="0.25">
      <c r="E70" s="318" t="s">
        <v>1266</v>
      </c>
      <c r="F70" s="289"/>
      <c r="G70" s="240">
        <f>+P192</f>
        <v>2715435369.6096067</v>
      </c>
      <c r="H70" s="241">
        <f>+P237</f>
        <v>2907998218.2337193</v>
      </c>
      <c r="I70" s="241">
        <f>+P283</f>
        <v>3092055765.2903166</v>
      </c>
      <c r="J70" s="241">
        <f>+P328</f>
        <v>3246930867.1467767</v>
      </c>
      <c r="K70" s="241">
        <f>+P372</f>
        <v>3461578717.4236364</v>
      </c>
    </row>
    <row r="71" spans="2:11" x14ac:dyDescent="0.25">
      <c r="F71" s="27"/>
    </row>
    <row r="72" spans="2:11" x14ac:dyDescent="0.25">
      <c r="F72" s="72"/>
    </row>
    <row r="74" spans="2:11" x14ac:dyDescent="0.25">
      <c r="D74" s="49"/>
      <c r="E74" s="4"/>
      <c r="F74" s="6" t="s">
        <v>1289</v>
      </c>
      <c r="G74" s="6" t="s">
        <v>0</v>
      </c>
      <c r="H74" s="6" t="s">
        <v>1</v>
      </c>
      <c r="I74" s="6" t="s">
        <v>2</v>
      </c>
      <c r="J74" s="6" t="s">
        <v>496</v>
      </c>
      <c r="K74" s="6" t="s">
        <v>497</v>
      </c>
    </row>
    <row r="75" spans="2:11" x14ac:dyDescent="0.25">
      <c r="C75" s="127" t="s">
        <v>1376</v>
      </c>
      <c r="E75" s="1"/>
      <c r="F75" s="6" t="s">
        <v>1399</v>
      </c>
      <c r="G75" s="6">
        <v>2022</v>
      </c>
      <c r="H75" s="6">
        <v>2023</v>
      </c>
      <c r="I75" s="6">
        <v>2024</v>
      </c>
      <c r="J75" s="6">
        <v>2025</v>
      </c>
      <c r="K75" s="6">
        <v>2026</v>
      </c>
    </row>
    <row r="76" spans="2:11" x14ac:dyDescent="0.25">
      <c r="C76" s="236">
        <v>3.9E-2</v>
      </c>
      <c r="E76" s="1" t="s">
        <v>499</v>
      </c>
      <c r="F76" s="6"/>
      <c r="G76" s="201">
        <f>+S124</f>
        <v>0.53954274166666671</v>
      </c>
      <c r="H76" s="201">
        <f>+S129</f>
        <v>0.55125081916083341</v>
      </c>
      <c r="I76" s="201">
        <f>+S135</f>
        <v>0.5632129619366234</v>
      </c>
      <c r="J76" s="201">
        <f>+S141</f>
        <v>0.57543468321064817</v>
      </c>
      <c r="K76" s="201">
        <f>+S146</f>
        <v>0.5879216158363193</v>
      </c>
    </row>
    <row r="77" spans="2:11" x14ac:dyDescent="0.25">
      <c r="E77" s="1" t="s">
        <v>524</v>
      </c>
      <c r="F77" s="6"/>
      <c r="G77" s="30">
        <f>+F31</f>
        <v>36</v>
      </c>
      <c r="H77" s="30">
        <v>36</v>
      </c>
      <c r="I77" s="30">
        <v>36</v>
      </c>
      <c r="J77" s="30">
        <v>36</v>
      </c>
      <c r="K77" s="30">
        <v>36</v>
      </c>
    </row>
    <row r="78" spans="2:11" x14ac:dyDescent="0.25">
      <c r="E78" s="29" t="s">
        <v>525</v>
      </c>
      <c r="F78" s="6"/>
      <c r="G78" s="34">
        <f>+I400</f>
        <v>238</v>
      </c>
      <c r="H78" s="34">
        <f>+G78</f>
        <v>238</v>
      </c>
      <c r="I78" s="34">
        <f>+G78</f>
        <v>238</v>
      </c>
      <c r="J78" s="34">
        <f>+G78</f>
        <v>238</v>
      </c>
      <c r="K78" s="34">
        <f>+G78</f>
        <v>238</v>
      </c>
    </row>
    <row r="79" spans="2:11" x14ac:dyDescent="0.25">
      <c r="E79" s="29" t="s">
        <v>535</v>
      </c>
      <c r="F79" s="6"/>
      <c r="G79" s="43">
        <f>+'Capacidad Instalada Habitacione'!I66</f>
        <v>2.7222222222222223</v>
      </c>
      <c r="H79" s="43">
        <v>2.7222222222222223</v>
      </c>
      <c r="I79" s="43">
        <v>2.7222222222222223</v>
      </c>
      <c r="J79" s="43">
        <v>2.7222222222222223</v>
      </c>
      <c r="K79" s="43">
        <v>2.7222222222222223</v>
      </c>
    </row>
    <row r="80" spans="2:11" x14ac:dyDescent="0.25">
      <c r="E80" s="29" t="s">
        <v>536</v>
      </c>
      <c r="F80" s="6"/>
      <c r="G80" s="42">
        <v>1.72</v>
      </c>
      <c r="H80" s="42">
        <f>+G80</f>
        <v>1.72</v>
      </c>
      <c r="I80" s="42">
        <f>+G80</f>
        <v>1.72</v>
      </c>
      <c r="J80" s="42">
        <f>+G80</f>
        <v>1.72</v>
      </c>
      <c r="K80" s="42">
        <f>+G80</f>
        <v>1.72</v>
      </c>
    </row>
    <row r="81" spans="5:11" x14ac:dyDescent="0.25">
      <c r="E81" s="131" t="s">
        <v>1113</v>
      </c>
      <c r="F81" s="6"/>
      <c r="G81" s="129">
        <f>+(G76*G77*G78*G79)/G80</f>
        <v>7316.4505271124053</v>
      </c>
      <c r="H81" s="129">
        <f t="shared" ref="H81:K81" si="10">+(H76*H77*H78*H79)/H80</f>
        <v>7475.2175035507435</v>
      </c>
      <c r="I81" s="129">
        <f t="shared" si="10"/>
        <v>7637.4297233777952</v>
      </c>
      <c r="J81" s="129">
        <f t="shared" si="10"/>
        <v>7803.1619483750928</v>
      </c>
      <c r="K81" s="129">
        <f t="shared" si="10"/>
        <v>7972.4905626548334</v>
      </c>
    </row>
    <row r="82" spans="5:11" x14ac:dyDescent="0.25">
      <c r="E82" s="29"/>
      <c r="F82" s="6"/>
      <c r="G82" s="42"/>
      <c r="H82" s="38"/>
      <c r="I82" s="38"/>
      <c r="J82" s="38"/>
      <c r="K82" s="38"/>
    </row>
    <row r="83" spans="5:11" x14ac:dyDescent="0.25">
      <c r="F83" s="50"/>
    </row>
    <row r="84" spans="5:11" x14ac:dyDescent="0.25">
      <c r="E84" s="320" t="s">
        <v>537</v>
      </c>
    </row>
    <row r="86" spans="5:11" x14ac:dyDescent="0.25">
      <c r="E86" s="3" t="s">
        <v>548</v>
      </c>
    </row>
    <row r="87" spans="5:11" x14ac:dyDescent="0.25">
      <c r="E87" s="3" t="s">
        <v>549</v>
      </c>
    </row>
    <row r="88" spans="5:11" x14ac:dyDescent="0.25">
      <c r="E88" s="3" t="s">
        <v>550</v>
      </c>
    </row>
    <row r="90" spans="5:11" x14ac:dyDescent="0.25">
      <c r="F90" s="15" t="s">
        <v>1800</v>
      </c>
    </row>
    <row r="91" spans="5:11" x14ac:dyDescent="0.25">
      <c r="E91" s="6" t="s">
        <v>538</v>
      </c>
      <c r="F91" s="21" t="s">
        <v>540</v>
      </c>
      <c r="G91" s="21" t="s">
        <v>539</v>
      </c>
      <c r="H91" s="21" t="s">
        <v>541</v>
      </c>
      <c r="I91" s="6" t="s">
        <v>542</v>
      </c>
      <c r="J91" s="6" t="s">
        <v>547</v>
      </c>
      <c r="K91" s="51"/>
    </row>
    <row r="92" spans="5:11" x14ac:dyDescent="0.25">
      <c r="E92" s="6"/>
      <c r="F92" s="6"/>
      <c r="G92" s="4"/>
      <c r="H92" s="4"/>
      <c r="I92" s="4"/>
      <c r="J92" s="1"/>
      <c r="K92" s="10"/>
    </row>
    <row r="93" spans="5:11" x14ac:dyDescent="0.25">
      <c r="E93" s="6">
        <v>2022</v>
      </c>
      <c r="F93" s="37">
        <f>+(G81*6%)+G81</f>
        <v>7755.4375587391496</v>
      </c>
      <c r="G93" s="36">
        <f>+(G81*4%)+G81</f>
        <v>7609.1085481969012</v>
      </c>
      <c r="H93" s="36">
        <f>+(G81*1%)+G81</f>
        <v>7389.6150323835291</v>
      </c>
      <c r="I93" s="45">
        <f>+(F93+4*G93+H93)/6</f>
        <v>7596.9144639850483</v>
      </c>
      <c r="J93" s="29">
        <f>+I93/12</f>
        <v>633.0762053320874</v>
      </c>
      <c r="K93" s="52"/>
    </row>
    <row r="94" spans="5:11" x14ac:dyDescent="0.25">
      <c r="E94" s="6">
        <v>2023</v>
      </c>
      <c r="F94" s="37">
        <f>+(H81*6%)+H81</f>
        <v>7923.7305537637876</v>
      </c>
      <c r="G94" s="36">
        <f>+(H81*4%)+H81</f>
        <v>7774.2262036927732</v>
      </c>
      <c r="H94" s="36">
        <f>+(H81*1%)+H81</f>
        <v>7549.9696785862507</v>
      </c>
      <c r="I94" s="45">
        <f t="shared" ref="I94:I96" si="11">+(F94+4*G94+H94)/6</f>
        <v>7761.7675078535221</v>
      </c>
      <c r="J94" s="29">
        <f>+I94/12</f>
        <v>646.81395898779351</v>
      </c>
      <c r="K94" s="52"/>
    </row>
    <row r="95" spans="5:11" x14ac:dyDescent="0.25">
      <c r="E95" s="6">
        <v>2024</v>
      </c>
      <c r="F95" s="37">
        <f>+(I81*6%)+I81</f>
        <v>8095.6755067804625</v>
      </c>
      <c r="G95" s="36">
        <f>+(I81*4%)+I81</f>
        <v>7942.926912312907</v>
      </c>
      <c r="H95" s="36">
        <f>+(I81*1%)+I81</f>
        <v>7713.8040206115729</v>
      </c>
      <c r="I95" s="45">
        <f t="shared" si="11"/>
        <v>7930.1978627739445</v>
      </c>
      <c r="J95" s="29">
        <f>+I95/12</f>
        <v>660.84982189782875</v>
      </c>
      <c r="K95" s="52"/>
    </row>
    <row r="96" spans="5:11" x14ac:dyDescent="0.25">
      <c r="E96" s="6">
        <v>2025</v>
      </c>
      <c r="F96" s="37">
        <f>+(J81*6%)+J81</f>
        <v>8271.3516652775979</v>
      </c>
      <c r="G96" s="36">
        <f>+(J81*4%)+J81</f>
        <v>8115.2884263100968</v>
      </c>
      <c r="H96" s="36">
        <f>+(J81*1%)+J81</f>
        <v>7881.1935678588434</v>
      </c>
      <c r="I96" s="45">
        <f t="shared" si="11"/>
        <v>8102.2831563961381</v>
      </c>
      <c r="J96" s="29">
        <f>+I96/12</f>
        <v>675.19026303301155</v>
      </c>
      <c r="K96" s="52"/>
    </row>
    <row r="97" spans="4:22" x14ac:dyDescent="0.25">
      <c r="E97" s="6">
        <v>2026</v>
      </c>
      <c r="F97" s="37">
        <f>+(K81*6%)+K81</f>
        <v>8450.8399964141227</v>
      </c>
      <c r="G97" s="36">
        <f>+(K81*4%)+K81</f>
        <v>8291.3901851610262</v>
      </c>
      <c r="H97" s="36">
        <f>+(K81*1%)+K81</f>
        <v>8052.2154682813816</v>
      </c>
      <c r="I97" s="45">
        <f>+(F97+4*G97+H97)/6</f>
        <v>8278.1027008899346</v>
      </c>
      <c r="J97" s="29">
        <f>+I97/12</f>
        <v>689.84189174082792</v>
      </c>
      <c r="K97" s="52"/>
    </row>
    <row r="98" spans="4:22" x14ac:dyDescent="0.25">
      <c r="K98" s="10"/>
    </row>
    <row r="100" spans="4:22" x14ac:dyDescent="0.25">
      <c r="E100" s="3" t="s">
        <v>1414</v>
      </c>
    </row>
    <row r="103" spans="4:22" x14ac:dyDescent="0.25">
      <c r="E103" s="3"/>
    </row>
    <row r="104" spans="4:22" x14ac:dyDescent="0.25">
      <c r="D104" s="137" t="s">
        <v>521</v>
      </c>
    </row>
    <row r="106" spans="4:22" x14ac:dyDescent="0.25">
      <c r="D106" s="137" t="s">
        <v>1154</v>
      </c>
      <c r="E106" t="s">
        <v>1155</v>
      </c>
    </row>
    <row r="107" spans="4:22" x14ac:dyDescent="0.25">
      <c r="E107" s="181" t="s">
        <v>1156</v>
      </c>
      <c r="F107" s="15" t="s">
        <v>1792</v>
      </c>
    </row>
    <row r="110" spans="4:22" x14ac:dyDescent="0.25">
      <c r="E110" s="128" t="s">
        <v>1193</v>
      </c>
      <c r="U110" s="296" t="s">
        <v>1339</v>
      </c>
      <c r="V110" s="3" t="s">
        <v>1412</v>
      </c>
    </row>
    <row r="111" spans="4:22" x14ac:dyDescent="0.25">
      <c r="E111" s="128" t="s">
        <v>1157</v>
      </c>
      <c r="F111" s="128" t="s">
        <v>1158</v>
      </c>
      <c r="G111" s="128" t="s">
        <v>1159</v>
      </c>
      <c r="H111" s="128" t="s">
        <v>1160</v>
      </c>
      <c r="I111" s="128" t="s">
        <v>1161</v>
      </c>
      <c r="J111" s="128" t="s">
        <v>1162</v>
      </c>
      <c r="K111" s="128" t="s">
        <v>1163</v>
      </c>
      <c r="L111" s="128" t="s">
        <v>1164</v>
      </c>
      <c r="M111" s="128" t="s">
        <v>1165</v>
      </c>
      <c r="N111" s="128" t="s">
        <v>1166</v>
      </c>
      <c r="O111" s="128" t="s">
        <v>1167</v>
      </c>
      <c r="P111" s="128" t="s">
        <v>1168</v>
      </c>
      <c r="Q111" s="128" t="s">
        <v>1169</v>
      </c>
      <c r="S111" s="128" t="s">
        <v>1188</v>
      </c>
      <c r="U111" s="128" t="s">
        <v>1341</v>
      </c>
      <c r="V111" s="128" t="s">
        <v>1356</v>
      </c>
    </row>
    <row r="112" spans="4:22" x14ac:dyDescent="0.25">
      <c r="E112" s="6" t="s">
        <v>1390</v>
      </c>
      <c r="F112" s="183">
        <v>0.48</v>
      </c>
      <c r="G112" s="183">
        <v>0.48899999999999999</v>
      </c>
      <c r="H112" s="183">
        <v>0.49099999999999999</v>
      </c>
      <c r="I112" s="183">
        <v>0.47</v>
      </c>
      <c r="J112" s="183">
        <v>0.45900000000000002</v>
      </c>
      <c r="K112" s="183">
        <v>0.48599999999999999</v>
      </c>
      <c r="L112" s="183">
        <v>0.53500000000000003</v>
      </c>
      <c r="M112" s="183">
        <v>0.52900000000000003</v>
      </c>
      <c r="N112" s="183">
        <v>0.51600000000000001</v>
      </c>
      <c r="O112" s="183">
        <v>0.53800000000000003</v>
      </c>
      <c r="P112" s="183">
        <v>0.56799999999999995</v>
      </c>
      <c r="Q112" s="183">
        <v>0.48299999999999998</v>
      </c>
      <c r="S112" s="185">
        <f>+AVERAGE(F112:Q112)</f>
        <v>0.5036666666666666</v>
      </c>
      <c r="U112" s="305">
        <f>+'Informe cotelco 2019'!D25</f>
        <v>0.49609999999999999</v>
      </c>
      <c r="V112" s="305">
        <f>+'Informe cotelco 2019'!D79</f>
        <v>0.61299999999999999</v>
      </c>
    </row>
    <row r="115" spans="3:23" x14ac:dyDescent="0.25">
      <c r="E115" s="128" t="s">
        <v>1194</v>
      </c>
      <c r="U115" s="296" t="s">
        <v>1340</v>
      </c>
      <c r="V115" s="3" t="s">
        <v>1413</v>
      </c>
    </row>
    <row r="116" spans="3:23" x14ac:dyDescent="0.25">
      <c r="E116" s="128" t="s">
        <v>1157</v>
      </c>
      <c r="F116" s="128" t="s">
        <v>1158</v>
      </c>
      <c r="G116" s="128" t="s">
        <v>1159</v>
      </c>
      <c r="H116" s="128" t="s">
        <v>1160</v>
      </c>
      <c r="I116" s="128" t="s">
        <v>1161</v>
      </c>
      <c r="J116" s="128" t="s">
        <v>1162</v>
      </c>
      <c r="K116" s="128" t="s">
        <v>1163</v>
      </c>
      <c r="L116" s="128" t="s">
        <v>1164</v>
      </c>
      <c r="M116" s="128" t="s">
        <v>1165</v>
      </c>
      <c r="N116" s="128" t="s">
        <v>1166</v>
      </c>
      <c r="O116" s="128" t="s">
        <v>1167</v>
      </c>
      <c r="P116" s="128" t="s">
        <v>1168</v>
      </c>
      <c r="Q116" s="128" t="s">
        <v>1169</v>
      </c>
      <c r="S116" s="128" t="s">
        <v>1188</v>
      </c>
      <c r="U116" s="128" t="s">
        <v>1341</v>
      </c>
      <c r="V116" s="128" t="s">
        <v>1356</v>
      </c>
    </row>
    <row r="117" spans="3:23" x14ac:dyDescent="0.25">
      <c r="E117" s="6" t="s">
        <v>1187</v>
      </c>
      <c r="F117" s="183">
        <v>0.499</v>
      </c>
      <c r="G117" s="183">
        <v>0.498</v>
      </c>
      <c r="H117" s="183">
        <v>0.53</v>
      </c>
      <c r="I117" s="183">
        <v>0.49099999999999999</v>
      </c>
      <c r="J117" s="183">
        <v>0.51500000000000001</v>
      </c>
      <c r="K117" s="183">
        <v>0.505</v>
      </c>
      <c r="L117" s="183">
        <v>0.54500000000000004</v>
      </c>
      <c r="M117" s="183">
        <v>0.57299999999999995</v>
      </c>
      <c r="N117" s="183">
        <v>0.55500000000000005</v>
      </c>
      <c r="O117" s="183">
        <v>0.55800000000000005</v>
      </c>
      <c r="P117" s="183">
        <v>0.56799999999999995</v>
      </c>
      <c r="Q117" s="183">
        <v>0.5</v>
      </c>
      <c r="S117" s="185">
        <f>+AVERAGE(F117:Q117)</f>
        <v>0.52808333333333335</v>
      </c>
      <c r="T117" s="235"/>
      <c r="U117" s="305">
        <f>+'Informe cotelco 2019'!D26</f>
        <v>0.51780000000000004</v>
      </c>
      <c r="V117" s="305">
        <f>+'Informe cotelco 2019'!D80</f>
        <v>0.627</v>
      </c>
    </row>
    <row r="119" spans="3:23" x14ac:dyDescent="0.25">
      <c r="F119" s="193"/>
      <c r="S119" s="235"/>
      <c r="U119" s="296" t="s">
        <v>1381</v>
      </c>
      <c r="V119" s="3" t="s">
        <v>1381</v>
      </c>
    </row>
    <row r="120" spans="3:23" x14ac:dyDescent="0.25">
      <c r="E120" t="s">
        <v>1794</v>
      </c>
      <c r="F120" s="192" t="s">
        <v>1795</v>
      </c>
      <c r="U120" s="128" t="s">
        <v>1341</v>
      </c>
      <c r="V120" s="128" t="s">
        <v>1356</v>
      </c>
    </row>
    <row r="121" spans="3:23" x14ac:dyDescent="0.25">
      <c r="U121" s="305">
        <f>+'Informe cotelco 2020'!D26</f>
        <v>0.54369999999999996</v>
      </c>
      <c r="V121" s="305">
        <f>+'Informe cotelco 2020'!D78</f>
        <v>0.66500000000000004</v>
      </c>
      <c r="W121" t="s">
        <v>1793</v>
      </c>
    </row>
    <row r="122" spans="3:23" x14ac:dyDescent="0.25">
      <c r="E122" s="128" t="s">
        <v>1392</v>
      </c>
    </row>
    <row r="123" spans="3:23" x14ac:dyDescent="0.25">
      <c r="E123" s="128" t="s">
        <v>1157</v>
      </c>
      <c r="F123" s="128" t="s">
        <v>1158</v>
      </c>
      <c r="G123" s="128" t="s">
        <v>1159</v>
      </c>
      <c r="H123" s="128" t="s">
        <v>1160</v>
      </c>
      <c r="I123" s="128" t="s">
        <v>1161</v>
      </c>
      <c r="J123" s="128" t="s">
        <v>1162</v>
      </c>
      <c r="K123" s="128" t="s">
        <v>1163</v>
      </c>
      <c r="L123" s="128" t="s">
        <v>1164</v>
      </c>
      <c r="M123" s="128" t="s">
        <v>1165</v>
      </c>
      <c r="N123" s="128" t="s">
        <v>1166</v>
      </c>
      <c r="O123" s="128" t="s">
        <v>1167</v>
      </c>
      <c r="P123" s="128" t="s">
        <v>1168</v>
      </c>
      <c r="Q123" s="128" t="s">
        <v>1169</v>
      </c>
      <c r="S123" s="128" t="s">
        <v>1188</v>
      </c>
    </row>
    <row r="124" spans="3:23" x14ac:dyDescent="0.25">
      <c r="E124" s="6" t="s">
        <v>1391</v>
      </c>
      <c r="F124" s="183">
        <f>+(F117*$C$128)+F117</f>
        <v>0.50982830000000001</v>
      </c>
      <c r="G124" s="183">
        <f t="shared" ref="G124:Q124" si="12">+(G117*$C$128)+G117</f>
        <v>0.5088066</v>
      </c>
      <c r="H124" s="183">
        <f t="shared" si="12"/>
        <v>0.54150100000000001</v>
      </c>
      <c r="I124" s="183">
        <f t="shared" si="12"/>
        <v>0.50165470000000001</v>
      </c>
      <c r="J124" s="183">
        <f t="shared" si="12"/>
        <v>0.52617550000000002</v>
      </c>
      <c r="K124" s="183">
        <f t="shared" si="12"/>
        <v>0.51595849999999999</v>
      </c>
      <c r="L124" s="183">
        <f t="shared" si="12"/>
        <v>0.55682650000000011</v>
      </c>
      <c r="M124" s="183">
        <f t="shared" si="12"/>
        <v>0.58543409999999996</v>
      </c>
      <c r="N124" s="183">
        <f t="shared" si="12"/>
        <v>0.56704350000000003</v>
      </c>
      <c r="O124" s="183">
        <f t="shared" si="12"/>
        <v>0.57010860000000008</v>
      </c>
      <c r="P124" s="183">
        <f t="shared" si="12"/>
        <v>0.5803256</v>
      </c>
      <c r="Q124" s="183">
        <f t="shared" si="12"/>
        <v>0.51085000000000003</v>
      </c>
      <c r="S124" s="185">
        <f>+AVERAGE(F124:Q124)</f>
        <v>0.53954274166666671</v>
      </c>
      <c r="T124" s="235"/>
    </row>
    <row r="125" spans="3:23" x14ac:dyDescent="0.25">
      <c r="E125" s="75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S125" s="191"/>
    </row>
    <row r="126" spans="3:23" x14ac:dyDescent="0.25">
      <c r="E126" s="75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S126" s="191"/>
    </row>
    <row r="127" spans="3:23" x14ac:dyDescent="0.25">
      <c r="C127" s="127" t="s">
        <v>1259</v>
      </c>
      <c r="E127" s="128" t="s">
        <v>1393</v>
      </c>
    </row>
    <row r="128" spans="3:23" x14ac:dyDescent="0.25">
      <c r="C128" s="200">
        <f>+'Informe cotelco 2019'!E26</f>
        <v>2.1700000000000053E-2</v>
      </c>
      <c r="E128" s="128" t="s">
        <v>1157</v>
      </c>
      <c r="F128" s="128" t="s">
        <v>1158</v>
      </c>
      <c r="G128" s="128" t="s">
        <v>1159</v>
      </c>
      <c r="H128" s="128" t="s">
        <v>1160</v>
      </c>
      <c r="I128" s="128" t="s">
        <v>1161</v>
      </c>
      <c r="J128" s="128" t="s">
        <v>1162</v>
      </c>
      <c r="K128" s="128" t="s">
        <v>1163</v>
      </c>
      <c r="L128" s="128" t="s">
        <v>1164</v>
      </c>
      <c r="M128" s="128" t="s">
        <v>1165</v>
      </c>
      <c r="N128" s="128" t="s">
        <v>1166</v>
      </c>
      <c r="O128" s="128" t="s">
        <v>1167</v>
      </c>
      <c r="P128" s="128" t="s">
        <v>1168</v>
      </c>
      <c r="Q128" s="128" t="s">
        <v>1169</v>
      </c>
      <c r="S128" s="128" t="s">
        <v>1188</v>
      </c>
    </row>
    <row r="129" spans="5:19" x14ac:dyDescent="0.25">
      <c r="E129" s="6" t="s">
        <v>1262</v>
      </c>
      <c r="F129" s="183">
        <f>+(F124*$C$128)+F124</f>
        <v>0.52089157411000009</v>
      </c>
      <c r="G129" s="183">
        <f>+(G124*$C$128)+G124</f>
        <v>0.51984770322000007</v>
      </c>
      <c r="H129" s="183">
        <f t="shared" ref="H129:Q129" si="13">+(H124*$C$128)+H124</f>
        <v>0.55325157170000006</v>
      </c>
      <c r="I129" s="183">
        <f t="shared" si="13"/>
        <v>0.51254060699000004</v>
      </c>
      <c r="J129" s="183">
        <f t="shared" si="13"/>
        <v>0.53759350835000008</v>
      </c>
      <c r="K129" s="183">
        <f t="shared" si="13"/>
        <v>0.52715479944999999</v>
      </c>
      <c r="L129" s="183">
        <f t="shared" si="13"/>
        <v>0.56890963505000014</v>
      </c>
      <c r="M129" s="183">
        <f t="shared" si="13"/>
        <v>0.59813801996999993</v>
      </c>
      <c r="N129" s="183">
        <f t="shared" si="13"/>
        <v>0.57934834395000001</v>
      </c>
      <c r="O129" s="183">
        <f t="shared" si="13"/>
        <v>0.58247995662000007</v>
      </c>
      <c r="P129" s="183">
        <f t="shared" si="13"/>
        <v>0.59291866552000005</v>
      </c>
      <c r="Q129" s="183">
        <f t="shared" si="13"/>
        <v>0.521935445</v>
      </c>
      <c r="S129" s="185">
        <f>+AVERAGE(F129:Q129)</f>
        <v>0.55125081916083341</v>
      </c>
    </row>
    <row r="130" spans="5:19" x14ac:dyDescent="0.25">
      <c r="E130" s="75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P130" s="233"/>
      <c r="Q130" s="233"/>
      <c r="S130" s="234"/>
    </row>
    <row r="131" spans="5:19" x14ac:dyDescent="0.25">
      <c r="E131" s="75"/>
      <c r="F131" s="233"/>
      <c r="G131" s="233"/>
      <c r="H131" s="233"/>
      <c r="I131" s="233"/>
      <c r="J131" s="233"/>
      <c r="K131" s="233"/>
      <c r="L131" s="233"/>
      <c r="M131" s="233"/>
      <c r="N131" s="233"/>
      <c r="O131" s="233"/>
      <c r="P131" s="233"/>
      <c r="Q131" s="233"/>
      <c r="S131" s="234"/>
    </row>
    <row r="132" spans="5:19" x14ac:dyDescent="0.25">
      <c r="E132" s="75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S132" s="191"/>
    </row>
    <row r="133" spans="5:19" x14ac:dyDescent="0.25">
      <c r="E133" s="128" t="s">
        <v>1394</v>
      </c>
    </row>
    <row r="134" spans="5:19" x14ac:dyDescent="0.25">
      <c r="E134" s="128" t="s">
        <v>1157</v>
      </c>
      <c r="F134" s="128" t="s">
        <v>1158</v>
      </c>
      <c r="G134" s="128" t="s">
        <v>1159</v>
      </c>
      <c r="H134" s="128" t="s">
        <v>1160</v>
      </c>
      <c r="I134" s="128" t="s">
        <v>1161</v>
      </c>
      <c r="J134" s="128" t="s">
        <v>1162</v>
      </c>
      <c r="K134" s="128" t="s">
        <v>1163</v>
      </c>
      <c r="L134" s="128" t="s">
        <v>1164</v>
      </c>
      <c r="M134" s="128" t="s">
        <v>1165</v>
      </c>
      <c r="N134" s="128" t="s">
        <v>1166</v>
      </c>
      <c r="O134" s="128" t="s">
        <v>1167</v>
      </c>
      <c r="P134" s="128" t="s">
        <v>1168</v>
      </c>
      <c r="Q134" s="128" t="s">
        <v>1169</v>
      </c>
      <c r="S134" s="128" t="s">
        <v>1188</v>
      </c>
    </row>
    <row r="135" spans="5:19" x14ac:dyDescent="0.25">
      <c r="E135" s="6" t="s">
        <v>1263</v>
      </c>
      <c r="F135" s="183">
        <f>+(F129*$C$128)+F129</f>
        <v>0.53219492126818713</v>
      </c>
      <c r="G135" s="183">
        <f t="shared" ref="G135:Q135" si="14">+(G129*$C$128)+G129</f>
        <v>0.53112839837987413</v>
      </c>
      <c r="H135" s="183">
        <f t="shared" si="14"/>
        <v>0.56525713080589013</v>
      </c>
      <c r="I135" s="183">
        <f t="shared" si="14"/>
        <v>0.52366273816168307</v>
      </c>
      <c r="J135" s="183">
        <f t="shared" si="14"/>
        <v>0.54925928748119512</v>
      </c>
      <c r="K135" s="183">
        <f t="shared" si="14"/>
        <v>0.53859405859806497</v>
      </c>
      <c r="L135" s="183">
        <f t="shared" si="14"/>
        <v>0.58125497413058513</v>
      </c>
      <c r="M135" s="183">
        <f t="shared" si="14"/>
        <v>0.61111761500334894</v>
      </c>
      <c r="N135" s="183">
        <f t="shared" si="14"/>
        <v>0.59192020301371506</v>
      </c>
      <c r="O135" s="183">
        <f t="shared" si="14"/>
        <v>0.59511977167865415</v>
      </c>
      <c r="P135" s="183">
        <f t="shared" si="14"/>
        <v>0.60578500056178408</v>
      </c>
      <c r="Q135" s="183">
        <f t="shared" si="14"/>
        <v>0.53326144415650001</v>
      </c>
      <c r="S135" s="185">
        <f>+AVERAGE(F135:Q135)</f>
        <v>0.5632129619366234</v>
      </c>
    </row>
    <row r="136" spans="5:19" x14ac:dyDescent="0.25">
      <c r="E136" s="75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S136" s="191"/>
    </row>
    <row r="137" spans="5:19" x14ac:dyDescent="0.25">
      <c r="E137" s="75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S137" s="191"/>
    </row>
    <row r="138" spans="5:19" x14ac:dyDescent="0.25">
      <c r="E138" s="75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S138" s="191"/>
    </row>
    <row r="139" spans="5:19" x14ac:dyDescent="0.25">
      <c r="E139" s="128" t="s">
        <v>1395</v>
      </c>
    </row>
    <row r="140" spans="5:19" x14ac:dyDescent="0.25">
      <c r="E140" s="128" t="s">
        <v>1157</v>
      </c>
      <c r="F140" s="128" t="s">
        <v>1158</v>
      </c>
      <c r="G140" s="128" t="s">
        <v>1159</v>
      </c>
      <c r="H140" s="128" t="s">
        <v>1160</v>
      </c>
      <c r="I140" s="128" t="s">
        <v>1161</v>
      </c>
      <c r="J140" s="128" t="s">
        <v>1162</v>
      </c>
      <c r="K140" s="128" t="s">
        <v>1163</v>
      </c>
      <c r="L140" s="128" t="s">
        <v>1164</v>
      </c>
      <c r="M140" s="128" t="s">
        <v>1165</v>
      </c>
      <c r="N140" s="128" t="s">
        <v>1166</v>
      </c>
      <c r="O140" s="128" t="s">
        <v>1167</v>
      </c>
      <c r="P140" s="128" t="s">
        <v>1168</v>
      </c>
      <c r="Q140" s="128" t="s">
        <v>1169</v>
      </c>
      <c r="S140" s="128" t="s">
        <v>1188</v>
      </c>
    </row>
    <row r="141" spans="5:19" x14ac:dyDescent="0.25">
      <c r="E141" s="6" t="s">
        <v>1397</v>
      </c>
      <c r="F141" s="183">
        <f>+(F135*$C$128)+F135</f>
        <v>0.54374355105970684</v>
      </c>
      <c r="G141" s="183">
        <f t="shared" ref="G141:Q141" si="15">+(G135*$C$128)+G135</f>
        <v>0.54265388462471742</v>
      </c>
      <c r="H141" s="183">
        <f t="shared" si="15"/>
        <v>0.57752321054437794</v>
      </c>
      <c r="I141" s="183">
        <f t="shared" si="15"/>
        <v>0.53502621957979157</v>
      </c>
      <c r="J141" s="183">
        <f t="shared" si="15"/>
        <v>0.56117821401953705</v>
      </c>
      <c r="K141" s="183">
        <f t="shared" si="15"/>
        <v>0.55028154966964304</v>
      </c>
      <c r="L141" s="183">
        <f t="shared" si="15"/>
        <v>0.59386820706921883</v>
      </c>
      <c r="M141" s="183">
        <f t="shared" si="15"/>
        <v>0.62437886724892167</v>
      </c>
      <c r="N141" s="183">
        <f t="shared" si="15"/>
        <v>0.60476487141911273</v>
      </c>
      <c r="O141" s="183">
        <f t="shared" si="15"/>
        <v>0.60803387072408099</v>
      </c>
      <c r="P141" s="183">
        <f t="shared" si="15"/>
        <v>0.61893053507397477</v>
      </c>
      <c r="Q141" s="183">
        <f t="shared" si="15"/>
        <v>0.54483321749469604</v>
      </c>
      <c r="S141" s="185">
        <f>+AVERAGE(F141:Q141)</f>
        <v>0.57543468321064817</v>
      </c>
    </row>
    <row r="142" spans="5:19" x14ac:dyDescent="0.25">
      <c r="E142" s="75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S142" s="191"/>
    </row>
    <row r="143" spans="5:19" x14ac:dyDescent="0.25">
      <c r="E143" s="75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S143" s="191"/>
    </row>
    <row r="144" spans="5:19" x14ac:dyDescent="0.25">
      <c r="E144" s="128" t="s">
        <v>1396</v>
      </c>
    </row>
    <row r="145" spans="5:19" x14ac:dyDescent="0.25">
      <c r="E145" s="128" t="s">
        <v>1157</v>
      </c>
      <c r="F145" s="128" t="s">
        <v>1158</v>
      </c>
      <c r="G145" s="128" t="s">
        <v>1159</v>
      </c>
      <c r="H145" s="128" t="s">
        <v>1160</v>
      </c>
      <c r="I145" s="128" t="s">
        <v>1161</v>
      </c>
      <c r="J145" s="128" t="s">
        <v>1162</v>
      </c>
      <c r="K145" s="128" t="s">
        <v>1163</v>
      </c>
      <c r="L145" s="128" t="s">
        <v>1164</v>
      </c>
      <c r="M145" s="128" t="s">
        <v>1165</v>
      </c>
      <c r="N145" s="128" t="s">
        <v>1166</v>
      </c>
      <c r="O145" s="128" t="s">
        <v>1167</v>
      </c>
      <c r="P145" s="128" t="s">
        <v>1168</v>
      </c>
      <c r="Q145" s="128" t="s">
        <v>1169</v>
      </c>
      <c r="S145" s="128" t="s">
        <v>1188</v>
      </c>
    </row>
    <row r="146" spans="5:19" x14ac:dyDescent="0.25">
      <c r="E146" s="6" t="s">
        <v>1398</v>
      </c>
      <c r="F146" s="183">
        <f>+(F141*$C$128)+F141</f>
        <v>0.55554278611770247</v>
      </c>
      <c r="G146" s="183">
        <f t="shared" ref="G146:Q146" si="16">+(G141*$C$128)+G141</f>
        <v>0.55442947392107378</v>
      </c>
      <c r="H146" s="183">
        <f t="shared" si="16"/>
        <v>0.59005546421319099</v>
      </c>
      <c r="I146" s="183">
        <f t="shared" si="16"/>
        <v>0.54663628854467305</v>
      </c>
      <c r="J146" s="183">
        <f t="shared" si="16"/>
        <v>0.57335578126376108</v>
      </c>
      <c r="K146" s="183">
        <f t="shared" si="16"/>
        <v>0.56222265929747428</v>
      </c>
      <c r="L146" s="183">
        <f t="shared" si="16"/>
        <v>0.60675514716262091</v>
      </c>
      <c r="M146" s="183">
        <f t="shared" si="16"/>
        <v>0.63792788866822325</v>
      </c>
      <c r="N146" s="183">
        <f t="shared" si="16"/>
        <v>0.61788826912890749</v>
      </c>
      <c r="O146" s="183">
        <f t="shared" si="16"/>
        <v>0.62122820571879356</v>
      </c>
      <c r="P146" s="183">
        <f t="shared" si="16"/>
        <v>0.63236132768508002</v>
      </c>
      <c r="Q146" s="183">
        <f t="shared" si="16"/>
        <v>0.55665609831433094</v>
      </c>
      <c r="S146" s="185">
        <f>+AVERAGE(F146:Q146)</f>
        <v>0.5879216158363193</v>
      </c>
    </row>
    <row r="147" spans="5:19" x14ac:dyDescent="0.25">
      <c r="E147" s="75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S147" s="191"/>
    </row>
    <row r="148" spans="5:19" x14ac:dyDescent="0.25">
      <c r="E148" s="75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S148" s="191"/>
    </row>
    <row r="149" spans="5:19" x14ac:dyDescent="0.25">
      <c r="E149" s="75"/>
      <c r="F149" s="191"/>
      <c r="G149" s="191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S149" s="191"/>
    </row>
    <row r="150" spans="5:19" x14ac:dyDescent="0.25">
      <c r="E150" s="75"/>
      <c r="F150" s="191"/>
      <c r="G150" s="191"/>
      <c r="H150" s="191"/>
      <c r="I150" s="309"/>
      <c r="J150" s="191"/>
      <c r="K150" s="191"/>
      <c r="L150" s="191"/>
      <c r="M150" s="191"/>
      <c r="N150" s="191"/>
      <c r="O150" s="191"/>
      <c r="P150" s="191"/>
      <c r="Q150" s="191"/>
      <c r="S150" s="191"/>
    </row>
    <row r="151" spans="5:19" x14ac:dyDescent="0.25">
      <c r="G151" t="s">
        <v>1796</v>
      </c>
    </row>
    <row r="152" spans="5:19" x14ac:dyDescent="0.25">
      <c r="E152" s="707" t="s">
        <v>1195</v>
      </c>
      <c r="F152" s="708"/>
      <c r="G152" s="709"/>
    </row>
    <row r="153" spans="5:19" x14ac:dyDescent="0.25">
      <c r="E153" s="126" t="s">
        <v>1170</v>
      </c>
      <c r="F153" s="126">
        <f>+F445</f>
        <v>36</v>
      </c>
      <c r="G153" s="182">
        <v>1</v>
      </c>
      <c r="H153" s="68"/>
      <c r="I153" s="68"/>
      <c r="J153" s="710" t="s">
        <v>1171</v>
      </c>
      <c r="K153" s="710"/>
      <c r="L153" s="710"/>
      <c r="M153" s="710"/>
      <c r="N153" s="710"/>
      <c r="O153" s="710"/>
    </row>
    <row r="154" spans="5:19" x14ac:dyDescent="0.25">
      <c r="E154" s="128" t="s">
        <v>1157</v>
      </c>
      <c r="F154" s="128" t="s">
        <v>1180</v>
      </c>
      <c r="G154" s="128" t="s">
        <v>1177</v>
      </c>
      <c r="H154" s="128" t="s">
        <v>1176</v>
      </c>
      <c r="I154" s="128" t="s">
        <v>1179</v>
      </c>
      <c r="J154" s="128" t="s">
        <v>1017</v>
      </c>
      <c r="K154" s="128" t="s">
        <v>1816</v>
      </c>
      <c r="L154" s="128" t="s">
        <v>1817</v>
      </c>
      <c r="M154" s="128" t="s">
        <v>1818</v>
      </c>
      <c r="N154" s="128" t="s">
        <v>1819</v>
      </c>
      <c r="O154" s="128" t="s">
        <v>1185</v>
      </c>
      <c r="P154" s="128" t="s">
        <v>1196</v>
      </c>
      <c r="Q154" s="51"/>
    </row>
    <row r="155" spans="5:19" x14ac:dyDescent="0.25">
      <c r="E155" s="128"/>
      <c r="F155" s="128"/>
      <c r="G155" s="128"/>
      <c r="H155" s="128"/>
      <c r="I155" s="128"/>
      <c r="J155" s="128">
        <f>+$F$398+$F$414</f>
        <v>19</v>
      </c>
      <c r="K155" s="128">
        <f>+$F$421+$F$422</f>
        <v>2</v>
      </c>
      <c r="L155" s="128">
        <f>+$F$423+$F$424</f>
        <v>2</v>
      </c>
      <c r="M155" s="128">
        <v>2</v>
      </c>
      <c r="N155" s="128">
        <f>+F427+F428+F429</f>
        <v>3</v>
      </c>
      <c r="O155" s="128">
        <f>+F443</f>
        <v>8</v>
      </c>
      <c r="P155" s="194">
        <f>+SUM(J155:O155)</f>
        <v>36</v>
      </c>
      <c r="Q155" s="51"/>
    </row>
    <row r="156" spans="5:19" x14ac:dyDescent="0.25">
      <c r="E156" s="1" t="s">
        <v>1158</v>
      </c>
      <c r="F156" s="16">
        <f>+F124*F153</f>
        <v>18.353818799999999</v>
      </c>
      <c r="G156" s="23">
        <v>5</v>
      </c>
      <c r="H156" s="175">
        <v>4</v>
      </c>
      <c r="I156" s="16">
        <f>+(F156*G156*H156)+(F156*H156)+(F156*1)</f>
        <v>458.84546999999998</v>
      </c>
      <c r="J156" s="16">
        <f>+($J$155/$F$153)*I156</f>
        <v>242.1684425</v>
      </c>
      <c r="K156" s="16">
        <f>+($K$155/$F$153)*$I$156</f>
        <v>25.491414999999996</v>
      </c>
      <c r="L156" s="16">
        <f>+(L155/$F$153)*$I$156</f>
        <v>25.491414999999996</v>
      </c>
      <c r="M156" s="16">
        <f>+($M$155/$F$153)*$I$156</f>
        <v>25.491414999999996</v>
      </c>
      <c r="N156" s="16">
        <f>+($N$155/$F$153)*$I$156</f>
        <v>38.237122499999998</v>
      </c>
      <c r="O156" s="16">
        <f>+($O$155/$F$153)*$I$156</f>
        <v>101.96565999999999</v>
      </c>
      <c r="P156" s="196">
        <f>+SUM(J156:O156)</f>
        <v>458.84546999999998</v>
      </c>
      <c r="Q156" s="186"/>
      <c r="R156" s="18"/>
    </row>
    <row r="157" spans="5:19" x14ac:dyDescent="0.25">
      <c r="E157" s="1" t="s">
        <v>1159</v>
      </c>
      <c r="F157" s="16">
        <f>+F153*G124</f>
        <v>18.317037599999999</v>
      </c>
      <c r="G157" s="71">
        <v>2</v>
      </c>
      <c r="H157" s="175">
        <v>4</v>
      </c>
      <c r="I157" s="16">
        <f t="shared" ref="I157:I167" si="17">+(F157*G157*H157)+(F157*H157)</f>
        <v>219.80445119999999</v>
      </c>
      <c r="J157" s="16">
        <f t="shared" ref="J157:J167" si="18">+($J$155/$F$153)*I157</f>
        <v>116.00790479999999</v>
      </c>
      <c r="K157" s="16">
        <f>+($K$155/$F$153)*I157</f>
        <v>12.211358399999998</v>
      </c>
      <c r="L157" s="16">
        <f>+($L$155/$F$153)*I157</f>
        <v>12.211358399999998</v>
      </c>
      <c r="M157" s="16">
        <f>+($M$155/$F$153)*I157</f>
        <v>12.211358399999998</v>
      </c>
      <c r="N157" s="16">
        <f>+($N$155/$F$153)*I157</f>
        <v>18.317037599999999</v>
      </c>
      <c r="O157" s="16">
        <f>+($O$155/$F$153)*I157</f>
        <v>48.845433599999993</v>
      </c>
      <c r="P157" s="196">
        <f t="shared" ref="P157:P167" si="19">+SUM(J157:O157)</f>
        <v>219.80445119999996</v>
      </c>
      <c r="Q157" s="186"/>
      <c r="R157" s="18"/>
    </row>
    <row r="158" spans="5:19" x14ac:dyDescent="0.25">
      <c r="E158" s="1" t="s">
        <v>1172</v>
      </c>
      <c r="F158" s="16">
        <f>+F153*H124</f>
        <v>19.494036000000001</v>
      </c>
      <c r="G158" s="71">
        <v>2</v>
      </c>
      <c r="H158" s="175">
        <v>4</v>
      </c>
      <c r="I158" s="16">
        <f>+(F158*G158*H158)+(F158*H158)+(F158*1)</f>
        <v>253.42246800000001</v>
      </c>
      <c r="J158" s="16">
        <f t="shared" si="18"/>
        <v>133.75074700000002</v>
      </c>
      <c r="K158" s="16">
        <f t="shared" ref="K158:K167" si="20">+($K$155/$F$153)*I158</f>
        <v>14.079025999999999</v>
      </c>
      <c r="L158" s="16">
        <f t="shared" ref="L158:L167" si="21">+($L$155/$F$153)*I158</f>
        <v>14.079025999999999</v>
      </c>
      <c r="M158" s="16">
        <f t="shared" ref="M158:M167" si="22">+($M$155/$F$153)*I158</f>
        <v>14.079025999999999</v>
      </c>
      <c r="N158" s="16">
        <f t="shared" ref="N158:N167" si="23">+($N$155/$F$153)*I158</f>
        <v>21.118538999999998</v>
      </c>
      <c r="O158" s="16">
        <f t="shared" ref="O158:O167" si="24">+($O$155/$F$153)*I158</f>
        <v>56.316103999999996</v>
      </c>
      <c r="P158" s="196">
        <f t="shared" si="19"/>
        <v>253.42246800000001</v>
      </c>
      <c r="Q158" s="186"/>
      <c r="R158" s="18"/>
    </row>
    <row r="159" spans="5:19" x14ac:dyDescent="0.25">
      <c r="E159" s="1" t="s">
        <v>1173</v>
      </c>
      <c r="F159" s="16">
        <f>+F153*I124</f>
        <v>18.059569199999999</v>
      </c>
      <c r="G159" s="23">
        <v>5</v>
      </c>
      <c r="H159" s="175">
        <v>5</v>
      </c>
      <c r="I159" s="16">
        <f t="shared" si="17"/>
        <v>541.78707599999996</v>
      </c>
      <c r="J159" s="16">
        <f t="shared" si="18"/>
        <v>285.94317899999999</v>
      </c>
      <c r="K159" s="16">
        <f t="shared" si="20"/>
        <v>30.099281999999995</v>
      </c>
      <c r="L159" s="16">
        <f t="shared" si="21"/>
        <v>30.099281999999995</v>
      </c>
      <c r="M159" s="16">
        <f t="shared" si="22"/>
        <v>30.099281999999995</v>
      </c>
      <c r="N159" s="16">
        <f t="shared" si="23"/>
        <v>45.148922999999996</v>
      </c>
      <c r="O159" s="16">
        <f t="shared" si="24"/>
        <v>120.39712799999998</v>
      </c>
      <c r="P159" s="196">
        <f t="shared" si="19"/>
        <v>541.78707599999996</v>
      </c>
      <c r="Q159" s="186"/>
      <c r="R159" s="18"/>
    </row>
    <row r="160" spans="5:19" x14ac:dyDescent="0.25">
      <c r="E160" s="1" t="s">
        <v>1174</v>
      </c>
      <c r="F160" s="16">
        <f>+F153*J124</f>
        <v>18.942318</v>
      </c>
      <c r="G160" s="175">
        <v>3</v>
      </c>
      <c r="H160" s="175">
        <v>4</v>
      </c>
      <c r="I160" s="16">
        <f>+(F160*G160*H160)+(F160*H160)+(F160*1)</f>
        <v>322.019406</v>
      </c>
      <c r="J160" s="16">
        <f t="shared" si="18"/>
        <v>169.95468650000001</v>
      </c>
      <c r="K160" s="16">
        <f t="shared" si="20"/>
        <v>17.889966999999999</v>
      </c>
      <c r="L160" s="16">
        <f t="shared" si="21"/>
        <v>17.889966999999999</v>
      </c>
      <c r="M160" s="16">
        <f t="shared" si="22"/>
        <v>17.889966999999999</v>
      </c>
      <c r="N160" s="16">
        <f t="shared" si="23"/>
        <v>26.834950499999998</v>
      </c>
      <c r="O160" s="16">
        <f t="shared" si="24"/>
        <v>71.559867999999994</v>
      </c>
      <c r="P160" s="196">
        <f t="shared" si="19"/>
        <v>322.019406</v>
      </c>
      <c r="Q160" s="186"/>
      <c r="R160" s="18"/>
    </row>
    <row r="161" spans="5:22" x14ac:dyDescent="0.25">
      <c r="E161" s="1" t="s">
        <v>1163</v>
      </c>
      <c r="F161" s="16">
        <f>+F153*K124</f>
        <v>18.574506</v>
      </c>
      <c r="G161" s="175">
        <v>3</v>
      </c>
      <c r="H161" s="175">
        <v>4</v>
      </c>
      <c r="I161" s="16">
        <f>+(F161*G161*H161)+(F161*H161)+(F161*2)</f>
        <v>334.34110799999996</v>
      </c>
      <c r="J161" s="16">
        <f t="shared" si="18"/>
        <v>176.45780699999997</v>
      </c>
      <c r="K161" s="16">
        <f t="shared" si="20"/>
        <v>18.574505999999996</v>
      </c>
      <c r="L161" s="16">
        <f t="shared" si="21"/>
        <v>18.574505999999996</v>
      </c>
      <c r="M161" s="16">
        <f t="shared" si="22"/>
        <v>18.574505999999996</v>
      </c>
      <c r="N161" s="16">
        <f t="shared" si="23"/>
        <v>27.861758999999996</v>
      </c>
      <c r="O161" s="16">
        <f t="shared" si="24"/>
        <v>74.298023999999984</v>
      </c>
      <c r="P161" s="196">
        <f t="shared" si="19"/>
        <v>334.34110799999991</v>
      </c>
      <c r="Q161" s="186"/>
      <c r="R161" s="18"/>
    </row>
    <row r="162" spans="5:22" x14ac:dyDescent="0.25">
      <c r="E162" s="1" t="s">
        <v>1164</v>
      </c>
      <c r="F162" s="16">
        <f>+F153*L124</f>
        <v>20.045754000000002</v>
      </c>
      <c r="G162" s="23">
        <v>5</v>
      </c>
      <c r="H162" s="175">
        <v>5</v>
      </c>
      <c r="I162" s="16">
        <f>+(F162*G162*H162)+(F162*H162)+(F162*1)</f>
        <v>621.41837400000009</v>
      </c>
      <c r="J162" s="16">
        <f t="shared" si="18"/>
        <v>327.97080850000003</v>
      </c>
      <c r="K162" s="16">
        <f t="shared" si="20"/>
        <v>34.523243000000001</v>
      </c>
      <c r="L162" s="16">
        <f t="shared" si="21"/>
        <v>34.523243000000001</v>
      </c>
      <c r="M162" s="16">
        <f t="shared" si="22"/>
        <v>34.523243000000001</v>
      </c>
      <c r="N162" s="16">
        <f t="shared" si="23"/>
        <v>51.784864500000005</v>
      </c>
      <c r="O162" s="16">
        <f t="shared" si="24"/>
        <v>138.092972</v>
      </c>
      <c r="P162" s="196">
        <f t="shared" si="19"/>
        <v>621.41837399999997</v>
      </c>
      <c r="Q162" s="186"/>
      <c r="R162" s="18"/>
    </row>
    <row r="163" spans="5:22" x14ac:dyDescent="0.25">
      <c r="E163" s="1" t="s">
        <v>1165</v>
      </c>
      <c r="F163" s="16">
        <f>+F153*M124</f>
        <v>21.075627599999997</v>
      </c>
      <c r="G163" s="175">
        <v>3</v>
      </c>
      <c r="H163" s="175">
        <v>4</v>
      </c>
      <c r="I163" s="16">
        <f>+(F163*G163*H163)+(F163*H163)+(F163*1)</f>
        <v>358.28566919999997</v>
      </c>
      <c r="J163" s="16">
        <f t="shared" si="18"/>
        <v>189.09521429999998</v>
      </c>
      <c r="K163" s="16">
        <f t="shared" si="20"/>
        <v>19.904759399999996</v>
      </c>
      <c r="L163" s="16">
        <f t="shared" si="21"/>
        <v>19.904759399999996</v>
      </c>
      <c r="M163" s="16">
        <f t="shared" si="22"/>
        <v>19.904759399999996</v>
      </c>
      <c r="N163" s="16">
        <f t="shared" si="23"/>
        <v>29.857139099999998</v>
      </c>
      <c r="O163" s="16">
        <f t="shared" si="24"/>
        <v>79.619037599999984</v>
      </c>
      <c r="P163" s="196">
        <f t="shared" si="19"/>
        <v>358.28566919999992</v>
      </c>
      <c r="Q163" s="186"/>
      <c r="R163" s="18"/>
    </row>
    <row r="164" spans="5:22" x14ac:dyDescent="0.25">
      <c r="E164" s="1" t="s">
        <v>1166</v>
      </c>
      <c r="F164" s="16">
        <f>+F153*N124</f>
        <v>20.413566000000003</v>
      </c>
      <c r="G164" s="175">
        <v>3</v>
      </c>
      <c r="H164" s="175">
        <v>4</v>
      </c>
      <c r="I164" s="16">
        <f t="shared" si="17"/>
        <v>326.61705600000005</v>
      </c>
      <c r="J164" s="16">
        <f t="shared" si="18"/>
        <v>172.38122400000003</v>
      </c>
      <c r="K164" s="16">
        <f t="shared" si="20"/>
        <v>18.145392000000001</v>
      </c>
      <c r="L164" s="16">
        <f t="shared" si="21"/>
        <v>18.145392000000001</v>
      </c>
      <c r="M164" s="16">
        <f t="shared" si="22"/>
        <v>18.145392000000001</v>
      </c>
      <c r="N164" s="16">
        <f t="shared" si="23"/>
        <v>27.218088000000002</v>
      </c>
      <c r="O164" s="16">
        <f t="shared" si="24"/>
        <v>72.581568000000004</v>
      </c>
      <c r="P164" s="196">
        <f t="shared" si="19"/>
        <v>326.61705600000005</v>
      </c>
      <c r="Q164" s="186"/>
      <c r="R164" s="18"/>
    </row>
    <row r="165" spans="5:22" x14ac:dyDescent="0.25">
      <c r="E165" s="1" t="s">
        <v>1167</v>
      </c>
      <c r="F165" s="16">
        <f>+F153*O124</f>
        <v>20.523909600000003</v>
      </c>
      <c r="G165" s="175">
        <v>3</v>
      </c>
      <c r="H165" s="175">
        <v>5</v>
      </c>
      <c r="I165" s="16">
        <f>+(F165*G165*H165)+(F165*H165)+(F165*1)</f>
        <v>431.00210160000006</v>
      </c>
      <c r="J165" s="16">
        <f t="shared" si="18"/>
        <v>227.47333140000003</v>
      </c>
      <c r="K165" s="16">
        <f t="shared" si="20"/>
        <v>23.944561200000003</v>
      </c>
      <c r="L165" s="16">
        <f t="shared" si="21"/>
        <v>23.944561200000003</v>
      </c>
      <c r="M165" s="16">
        <f t="shared" si="22"/>
        <v>23.944561200000003</v>
      </c>
      <c r="N165" s="16">
        <f t="shared" si="23"/>
        <v>35.9168418</v>
      </c>
      <c r="O165" s="16">
        <f t="shared" si="24"/>
        <v>95.77824480000001</v>
      </c>
      <c r="P165" s="196">
        <f t="shared" si="19"/>
        <v>431.00210160000006</v>
      </c>
      <c r="Q165" s="186"/>
      <c r="R165" s="18"/>
    </row>
    <row r="166" spans="5:22" x14ac:dyDescent="0.25">
      <c r="E166" s="1" t="s">
        <v>1168</v>
      </c>
      <c r="F166" s="16">
        <f>+F153*P124</f>
        <v>20.8917216</v>
      </c>
      <c r="G166" s="175">
        <v>3</v>
      </c>
      <c r="H166" s="175">
        <v>4</v>
      </c>
      <c r="I166" s="16">
        <f>+(F166*G166*H166)+(F166*H166)+(F166*2)</f>
        <v>376.05098880000003</v>
      </c>
      <c r="J166" s="16">
        <f t="shared" si="18"/>
        <v>198.4713552</v>
      </c>
      <c r="K166" s="16">
        <f t="shared" si="20"/>
        <v>20.8917216</v>
      </c>
      <c r="L166" s="16">
        <f t="shared" si="21"/>
        <v>20.8917216</v>
      </c>
      <c r="M166" s="16">
        <f t="shared" si="22"/>
        <v>20.8917216</v>
      </c>
      <c r="N166" s="16">
        <f>+($N$155/$F$153)*I166</f>
        <v>31.337582400000002</v>
      </c>
      <c r="O166" s="16">
        <f t="shared" si="24"/>
        <v>83.566886400000001</v>
      </c>
      <c r="P166" s="196">
        <f t="shared" si="19"/>
        <v>376.05098879999997</v>
      </c>
      <c r="Q166" s="186"/>
      <c r="R166" s="18"/>
    </row>
    <row r="167" spans="5:22" x14ac:dyDescent="0.25">
      <c r="E167" s="1" t="s">
        <v>1175</v>
      </c>
      <c r="F167" s="16">
        <f>+F153*Q124</f>
        <v>18.390599999999999</v>
      </c>
      <c r="G167" s="23">
        <v>5</v>
      </c>
      <c r="H167" s="175">
        <v>5</v>
      </c>
      <c r="I167" s="16">
        <f t="shared" si="17"/>
        <v>551.71799999999996</v>
      </c>
      <c r="J167" s="16">
        <f t="shared" si="18"/>
        <v>291.18450000000001</v>
      </c>
      <c r="K167" s="16">
        <f t="shared" si="20"/>
        <v>30.650999999999996</v>
      </c>
      <c r="L167" s="16">
        <f t="shared" si="21"/>
        <v>30.650999999999996</v>
      </c>
      <c r="M167" s="16">
        <f t="shared" si="22"/>
        <v>30.650999999999996</v>
      </c>
      <c r="N167" s="16">
        <f t="shared" si="23"/>
        <v>45.976499999999994</v>
      </c>
      <c r="O167" s="16">
        <f t="shared" si="24"/>
        <v>122.60399999999998</v>
      </c>
      <c r="P167" s="196">
        <f t="shared" si="19"/>
        <v>551.71800000000007</v>
      </c>
      <c r="Q167" s="186"/>
      <c r="R167" s="18"/>
    </row>
    <row r="168" spans="5:22" x14ac:dyDescent="0.25">
      <c r="E168" s="1"/>
      <c r="F168" s="16"/>
      <c r="G168" s="175"/>
      <c r="H168" s="175"/>
      <c r="I168" s="175"/>
      <c r="J168" s="16"/>
      <c r="K168" s="1"/>
      <c r="L168" s="1"/>
      <c r="M168" s="1"/>
      <c r="N168" s="1"/>
      <c r="O168" s="1"/>
      <c r="P168" s="195"/>
      <c r="Q168" s="186"/>
    </row>
    <row r="169" spans="5:22" s="3" customFormat="1" x14ac:dyDescent="0.25">
      <c r="E169" s="6" t="s">
        <v>1205</v>
      </c>
      <c r="F169" s="184">
        <f>+SUM(F156:F167)</f>
        <v>233.08246440000002</v>
      </c>
      <c r="G169" s="690"/>
      <c r="H169" s="6">
        <f>+SUM(H156:H167)</f>
        <v>52</v>
      </c>
      <c r="I169" s="184">
        <f>+SUM(I156:I167)</f>
        <v>4795.3121688000001</v>
      </c>
      <c r="J169" s="184">
        <f>+SUM(J156:J167)</f>
        <v>2530.8592001999996</v>
      </c>
      <c r="K169" s="184">
        <f t="shared" ref="K169:O169" si="25">+SUM(K156:K167)</f>
        <v>266.40623160000001</v>
      </c>
      <c r="L169" s="184">
        <f t="shared" si="25"/>
        <v>266.40623160000001</v>
      </c>
      <c r="M169" s="184">
        <f t="shared" si="25"/>
        <v>266.40623160000001</v>
      </c>
      <c r="N169" s="184">
        <f t="shared" si="25"/>
        <v>399.60934739999993</v>
      </c>
      <c r="O169" s="184">
        <f t="shared" si="25"/>
        <v>1065.6249264</v>
      </c>
      <c r="P169" s="197">
        <f>+SUM(P156:P167)</f>
        <v>4795.3121687999992</v>
      </c>
      <c r="Q169" s="187"/>
    </row>
    <row r="170" spans="5:22" x14ac:dyDescent="0.25">
      <c r="F170" s="202"/>
    </row>
    <row r="171" spans="5:22" x14ac:dyDescent="0.25">
      <c r="E171" s="3" t="s">
        <v>1178</v>
      </c>
    </row>
    <row r="172" spans="5:22" x14ac:dyDescent="0.25">
      <c r="E172" s="3" t="s">
        <v>1403</v>
      </c>
    </row>
    <row r="174" spans="5:22" x14ac:dyDescent="0.25">
      <c r="E174" s="12" t="s">
        <v>1404</v>
      </c>
      <c r="J174" s="710" t="s">
        <v>1811</v>
      </c>
      <c r="K174" s="710"/>
      <c r="L174" s="710"/>
      <c r="M174" s="710"/>
      <c r="N174" s="710"/>
      <c r="O174" s="710"/>
    </row>
    <row r="175" spans="5:22" x14ac:dyDescent="0.25">
      <c r="E175" s="12"/>
      <c r="J175" s="710"/>
      <c r="K175" s="710"/>
      <c r="L175" s="710"/>
      <c r="M175" s="710"/>
      <c r="N175" s="710"/>
      <c r="O175" s="710"/>
      <c r="T175" s="733" t="s">
        <v>1407</v>
      </c>
      <c r="U175" s="733"/>
      <c r="V175" s="733"/>
    </row>
    <row r="176" spans="5:22" x14ac:dyDescent="0.25">
      <c r="J176" s="128" t="str">
        <f t="shared" ref="J176:O176" si="26">+J154</f>
        <v xml:space="preserve">Casa colonial </v>
      </c>
      <c r="K176" s="128" t="str">
        <f t="shared" si="26"/>
        <v xml:space="preserve">Casa en el árbol en bambú  Deluxe  </v>
      </c>
      <c r="L176" s="128" t="str">
        <f t="shared" si="26"/>
        <v xml:space="preserve">Casa en el árbol en bambú  Superiores </v>
      </c>
      <c r="M176" s="128" t="str">
        <f t="shared" si="26"/>
        <v xml:space="preserve">Casa en el árbol en bambú  suite </v>
      </c>
      <c r="N176" s="128" t="str">
        <f t="shared" si="26"/>
        <v>Casa en el árbol en bambú sencillo</v>
      </c>
      <c r="O176" s="128" t="str">
        <f t="shared" si="26"/>
        <v xml:space="preserve">Bohios Pool houses  </v>
      </c>
      <c r="P176" s="128" t="s">
        <v>1196</v>
      </c>
      <c r="R176" s="128" t="s">
        <v>1405</v>
      </c>
      <c r="S176" s="128" t="s">
        <v>1406</v>
      </c>
      <c r="T176" s="128" t="s">
        <v>1410</v>
      </c>
      <c r="U176" s="128" t="s">
        <v>1409</v>
      </c>
      <c r="V176" s="128" t="s">
        <v>1408</v>
      </c>
    </row>
    <row r="177" spans="9:28" x14ac:dyDescent="0.25">
      <c r="I177" s="128" t="s">
        <v>1157</v>
      </c>
      <c r="J177" s="188">
        <f>+G46</f>
        <v>429649.35800000001</v>
      </c>
      <c r="K177" s="188">
        <f>+G47</f>
        <v>861457.75800000003</v>
      </c>
      <c r="L177" s="188">
        <f>+G48</f>
        <v>537601.45799999998</v>
      </c>
      <c r="M177" s="188">
        <f>+G49</f>
        <v>537601.45799999998</v>
      </c>
      <c r="N177" s="188">
        <f>+G50</f>
        <v>537601.45799999998</v>
      </c>
      <c r="O177" s="188">
        <f>+G51</f>
        <v>842026.38</v>
      </c>
    </row>
    <row r="178" spans="9:28" x14ac:dyDescent="0.25">
      <c r="I178" s="1" t="s">
        <v>1158</v>
      </c>
      <c r="J178" s="2">
        <f>+$J$177*J156</f>
        <v>104047515.84798491</v>
      </c>
      <c r="K178" s="2">
        <f t="shared" ref="K178:K189" si="27">+$K$177*K156</f>
        <v>21959777.214147568</v>
      </c>
      <c r="L178" s="2">
        <f t="shared" ref="L178:L189" si="28">+$L$177*L156</f>
        <v>13704221.870483067</v>
      </c>
      <c r="M178" s="2">
        <f t="shared" ref="M178:M189" si="29">+$M$177*M156</f>
        <v>13704221.870483067</v>
      </c>
      <c r="N178" s="2">
        <f t="shared" ref="N178:N189" si="30">+$N$177*N156</f>
        <v>20556332.805724602</v>
      </c>
      <c r="O178" s="2">
        <f t="shared" ref="O178:O189" si="31">+$O$177*O156</f>
        <v>85857775.574110791</v>
      </c>
      <c r="P178" s="189">
        <f>+SUM(J178:O178)</f>
        <v>259829845.18293399</v>
      </c>
      <c r="R178" s="308">
        <f>+P178/($F$153*30)</f>
        <v>240583.18998419814</v>
      </c>
      <c r="S178" s="729">
        <f>+AVERAGE(R178:R189)</f>
        <v>209524.3340748153</v>
      </c>
      <c r="T178" s="729">
        <f>+'Informe cotelco 2020'!D104</f>
        <v>149314</v>
      </c>
      <c r="U178" s="729">
        <f>+'Informe cotelco 2019'!G132</f>
        <v>293296</v>
      </c>
      <c r="V178" s="729">
        <f>+'Informe cotelco 2020'!G138</f>
        <v>216290</v>
      </c>
    </row>
    <row r="179" spans="9:28" x14ac:dyDescent="0.25">
      <c r="I179" s="1" t="s">
        <v>1159</v>
      </c>
      <c r="J179" s="2">
        <f t="shared" ref="J179:J189" si="32">+$J$177*J157</f>
        <v>49842721.820245117</v>
      </c>
      <c r="K179" s="2">
        <f t="shared" si="27"/>
        <v>10519569.429398466</v>
      </c>
      <c r="L179" s="2">
        <f t="shared" si="28"/>
        <v>6564844.0800005458</v>
      </c>
      <c r="M179" s="2">
        <f t="shared" si="29"/>
        <v>6564844.0800005458</v>
      </c>
      <c r="N179" s="2">
        <f t="shared" si="30"/>
        <v>9847266.1200008206</v>
      </c>
      <c r="O179" s="2">
        <f t="shared" si="31"/>
        <v>41129143.633738361</v>
      </c>
      <c r="P179" s="189">
        <f t="shared" ref="P179:P189" si="33">+SUM(J179:O179)</f>
        <v>124468389.16338387</v>
      </c>
      <c r="R179" s="308">
        <f>+P179/($F$153*30)</f>
        <v>115248.50848461469</v>
      </c>
      <c r="S179" s="730"/>
      <c r="T179" s="730"/>
      <c r="U179" s="730"/>
      <c r="V179" s="730"/>
    </row>
    <row r="180" spans="9:28" x14ac:dyDescent="0.25">
      <c r="I180" s="1" t="s">
        <v>1172</v>
      </c>
      <c r="J180" s="2">
        <f t="shared" si="32"/>
        <v>57465922.580570437</v>
      </c>
      <c r="K180" s="2">
        <f t="shared" si="27"/>
        <v>12128486.172783708</v>
      </c>
      <c r="L180" s="2">
        <f t="shared" si="28"/>
        <v>7568904.9048199076</v>
      </c>
      <c r="M180" s="2">
        <f t="shared" si="29"/>
        <v>7568904.9048199076</v>
      </c>
      <c r="N180" s="2">
        <f t="shared" si="30"/>
        <v>11353357.35722986</v>
      </c>
      <c r="O180" s="2">
        <f t="shared" si="31"/>
        <v>47419645.186823517</v>
      </c>
      <c r="P180" s="189">
        <f t="shared" si="33"/>
        <v>143505221.10704732</v>
      </c>
      <c r="R180" s="308">
        <f t="shared" ref="R180:R189" si="34">+P180/($F$153*30)</f>
        <v>132875.20472874751</v>
      </c>
      <c r="S180" s="730"/>
      <c r="T180" s="730"/>
      <c r="U180" s="730"/>
      <c r="V180" s="730"/>
    </row>
    <row r="181" spans="9:28" x14ac:dyDescent="0.25">
      <c r="I181" s="1" t="s">
        <v>1173</v>
      </c>
      <c r="J181" s="2">
        <f t="shared" si="32"/>
        <v>122855303.28182907</v>
      </c>
      <c r="K181" s="2">
        <f t="shared" si="27"/>
        <v>25929259.989129752</v>
      </c>
      <c r="L181" s="2">
        <f t="shared" si="28"/>
        <v>16181417.887953153</v>
      </c>
      <c r="M181" s="2">
        <f t="shared" si="29"/>
        <v>16181417.887953153</v>
      </c>
      <c r="N181" s="2">
        <f t="shared" si="30"/>
        <v>24272126.831929732</v>
      </c>
      <c r="O181" s="2">
        <f t="shared" si="31"/>
        <v>101377557.85223663</v>
      </c>
      <c r="P181" s="189">
        <f t="shared" si="33"/>
        <v>306797083.73103154</v>
      </c>
      <c r="R181" s="308">
        <f t="shared" si="34"/>
        <v>284071.37382502918</v>
      </c>
      <c r="S181" s="730"/>
      <c r="T181" s="730"/>
      <c r="U181" s="730"/>
      <c r="V181" s="730"/>
      <c r="W181" s="731" t="s">
        <v>1799</v>
      </c>
      <c r="X181" s="732"/>
      <c r="Y181" s="732"/>
      <c r="Z181" s="732"/>
      <c r="AA181" s="732"/>
      <c r="AB181" s="732"/>
    </row>
    <row r="182" spans="9:28" x14ac:dyDescent="0.25">
      <c r="I182" s="1" t="s">
        <v>1174</v>
      </c>
      <c r="J182" s="2">
        <f t="shared" si="32"/>
        <v>73020921.943816274</v>
      </c>
      <c r="K182" s="2">
        <f t="shared" si="27"/>
        <v>15411450.862513985</v>
      </c>
      <c r="L182" s="2">
        <f t="shared" si="28"/>
        <v>9617672.3427718841</v>
      </c>
      <c r="M182" s="2">
        <f t="shared" si="29"/>
        <v>9617672.3427718841</v>
      </c>
      <c r="N182" s="2">
        <f t="shared" si="30"/>
        <v>14426508.514157828</v>
      </c>
      <c r="O182" s="2">
        <f t="shared" si="31"/>
        <v>60255296.605317838</v>
      </c>
      <c r="P182" s="189">
        <f t="shared" si="33"/>
        <v>182349522.6113497</v>
      </c>
      <c r="R182" s="308">
        <f t="shared" si="34"/>
        <v>168842.15056606455</v>
      </c>
      <c r="S182" s="730"/>
      <c r="T182" s="730"/>
      <c r="U182" s="730"/>
      <c r="V182" s="730"/>
      <c r="W182">
        <v>2021</v>
      </c>
      <c r="X182">
        <v>2022</v>
      </c>
      <c r="Y182">
        <v>2023</v>
      </c>
      <c r="Z182">
        <v>2024</v>
      </c>
      <c r="AA182">
        <v>2025</v>
      </c>
      <c r="AB182">
        <v>2026</v>
      </c>
    </row>
    <row r="183" spans="9:28" x14ac:dyDescent="0.25">
      <c r="I183" s="1" t="s">
        <v>1163</v>
      </c>
      <c r="J183" s="2">
        <f t="shared" si="32"/>
        <v>75814983.4916379</v>
      </c>
      <c r="K183" s="2">
        <f t="shared" si="27"/>
        <v>16001152.294717545</v>
      </c>
      <c r="L183" s="2">
        <f t="shared" si="28"/>
        <v>9985681.5072297454</v>
      </c>
      <c r="M183" s="2">
        <f t="shared" si="29"/>
        <v>9985681.5072297454</v>
      </c>
      <c r="N183" s="2">
        <f t="shared" si="30"/>
        <v>14978522.26084462</v>
      </c>
      <c r="O183" s="2">
        <f t="shared" si="31"/>
        <v>62560896.189873107</v>
      </c>
      <c r="P183" s="189">
        <f t="shared" si="33"/>
        <v>189326917.25153267</v>
      </c>
      <c r="R183" s="308">
        <f t="shared" si="34"/>
        <v>175302.70115882656</v>
      </c>
      <c r="S183" s="730"/>
      <c r="T183" s="730"/>
      <c r="U183" s="730"/>
      <c r="V183" s="730"/>
      <c r="W183" s="46">
        <f>+V178*(1+C128)</f>
        <v>220983.49300000002</v>
      </c>
      <c r="X183" s="46">
        <f>+W183*(1+3.9%)</f>
        <v>229601.849227</v>
      </c>
      <c r="Y183" s="46">
        <f t="shared" ref="Y183:AB183" si="35">+X183*(1+3.9%)</f>
        <v>238556.32134685299</v>
      </c>
      <c r="Z183" s="46">
        <f t="shared" si="35"/>
        <v>247860.01787938023</v>
      </c>
      <c r="AA183" s="46">
        <f t="shared" si="35"/>
        <v>257526.55857667603</v>
      </c>
      <c r="AB183" s="46">
        <f t="shared" si="35"/>
        <v>267570.09436116635</v>
      </c>
    </row>
    <row r="184" spans="9:28" x14ac:dyDescent="0.25">
      <c r="I184" s="1" t="s">
        <v>1164</v>
      </c>
      <c r="J184" s="2">
        <f t="shared" si="32"/>
        <v>140912447.31476596</v>
      </c>
      <c r="K184" s="2">
        <f t="shared" si="27"/>
        <v>29740315.513669197</v>
      </c>
      <c r="L184" s="2">
        <f t="shared" si="28"/>
        <v>18559745.771688294</v>
      </c>
      <c r="M184" s="2">
        <f t="shared" si="29"/>
        <v>18559745.771688294</v>
      </c>
      <c r="N184" s="2">
        <f t="shared" si="30"/>
        <v>27839618.657532442</v>
      </c>
      <c r="O184" s="2">
        <f t="shared" si="31"/>
        <v>116277925.31660137</v>
      </c>
      <c r="P184" s="189">
        <f t="shared" si="33"/>
        <v>351889798.34594554</v>
      </c>
      <c r="R184" s="308">
        <f t="shared" si="34"/>
        <v>325823.88735735696</v>
      </c>
      <c r="S184" s="730"/>
      <c r="T184" s="730"/>
      <c r="U184" s="730"/>
      <c r="V184" s="730"/>
    </row>
    <row r="185" spans="9:28" x14ac:dyDescent="0.25">
      <c r="I185" s="1" t="s">
        <v>1165</v>
      </c>
      <c r="J185" s="2">
        <f t="shared" si="32"/>
        <v>81244637.424867406</v>
      </c>
      <c r="K185" s="2">
        <f t="shared" si="27"/>
        <v>17147109.406253424</v>
      </c>
      <c r="L185" s="2">
        <f t="shared" si="28"/>
        <v>10700827.674579203</v>
      </c>
      <c r="M185" s="2">
        <f t="shared" si="29"/>
        <v>10700827.674579203</v>
      </c>
      <c r="N185" s="2">
        <f t="shared" si="30"/>
        <v>16051241.511868807</v>
      </c>
      <c r="O185" s="2">
        <f t="shared" si="31"/>
        <v>67041330.009411879</v>
      </c>
      <c r="P185" s="189">
        <f t="shared" si="33"/>
        <v>202885973.70155993</v>
      </c>
      <c r="R185" s="308">
        <f t="shared" si="34"/>
        <v>187857.38305699994</v>
      </c>
      <c r="S185" s="730"/>
      <c r="T185" s="730"/>
      <c r="U185" s="730"/>
      <c r="V185" s="730"/>
    </row>
    <row r="186" spans="9:28" x14ac:dyDescent="0.25">
      <c r="I186" s="1" t="s">
        <v>1166</v>
      </c>
      <c r="J186" s="2">
        <f t="shared" si="32"/>
        <v>74063482.222854212</v>
      </c>
      <c r="K186" s="2">
        <f t="shared" si="27"/>
        <v>15631488.710351137</v>
      </c>
      <c r="L186" s="2">
        <f t="shared" si="28"/>
        <v>9754989.1951815356</v>
      </c>
      <c r="M186" s="2">
        <f t="shared" si="29"/>
        <v>9754989.1951815356</v>
      </c>
      <c r="N186" s="2">
        <f t="shared" si="30"/>
        <v>14632483.792772304</v>
      </c>
      <c r="O186" s="2">
        <f t="shared" si="31"/>
        <v>61115594.957763843</v>
      </c>
      <c r="P186" s="189">
        <f t="shared" si="33"/>
        <v>184953028.07410458</v>
      </c>
      <c r="R186" s="308">
        <f t="shared" si="34"/>
        <v>171252.80377231905</v>
      </c>
      <c r="S186" s="730"/>
      <c r="T186" s="730"/>
      <c r="U186" s="730"/>
      <c r="V186" s="730"/>
    </row>
    <row r="187" spans="9:28" x14ac:dyDescent="0.25">
      <c r="I187" s="1" t="s">
        <v>1167</v>
      </c>
      <c r="J187" s="2">
        <f t="shared" si="32"/>
        <v>97733770.798131257</v>
      </c>
      <c r="K187" s="2">
        <f t="shared" si="27"/>
        <v>20627228.007645793</v>
      </c>
      <c r="L187" s="2">
        <f t="shared" si="28"/>
        <v>12872631.01229023</v>
      </c>
      <c r="M187" s="2">
        <f t="shared" si="29"/>
        <v>12872631.01229023</v>
      </c>
      <c r="N187" s="2">
        <f t="shared" si="30"/>
        <v>19308946.518435344</v>
      </c>
      <c r="O187" s="2">
        <f t="shared" si="31"/>
        <v>80647808.751697838</v>
      </c>
      <c r="P187" s="189">
        <f t="shared" si="33"/>
        <v>244063016.10049069</v>
      </c>
      <c r="R187" s="308">
        <f t="shared" si="34"/>
        <v>225984.27416712101</v>
      </c>
      <c r="S187" s="730"/>
      <c r="T187" s="730"/>
      <c r="U187" s="730"/>
      <c r="V187" s="730"/>
    </row>
    <row r="188" spans="9:28" x14ac:dyDescent="0.25">
      <c r="I188" s="1" t="s">
        <v>1168</v>
      </c>
      <c r="J188" s="2">
        <f t="shared" si="32"/>
        <v>85273090.343069971</v>
      </c>
      <c r="K188" s="2">
        <f t="shared" si="27"/>
        <v>17997335.650296174</v>
      </c>
      <c r="L188" s="2">
        <f t="shared" si="28"/>
        <v>11231419.992290093</v>
      </c>
      <c r="M188" s="2">
        <f t="shared" si="29"/>
        <v>11231419.992290093</v>
      </c>
      <c r="N188" s="2">
        <f t="shared" si="30"/>
        <v>16847129.988435142</v>
      </c>
      <c r="O188" s="2">
        <f t="shared" si="31"/>
        <v>70365522.843263239</v>
      </c>
      <c r="P188" s="189">
        <f t="shared" si="33"/>
        <v>212945918.80964473</v>
      </c>
      <c r="R188" s="308">
        <f t="shared" si="34"/>
        <v>197172.14704596734</v>
      </c>
      <c r="S188" s="730"/>
      <c r="T188" s="730"/>
      <c r="U188" s="730"/>
      <c r="V188" s="730"/>
    </row>
    <row r="189" spans="9:28" x14ac:dyDescent="0.25">
      <c r="I189" s="1" t="s">
        <v>1175</v>
      </c>
      <c r="J189" s="2">
        <f t="shared" si="32"/>
        <v>125107233.48455101</v>
      </c>
      <c r="K189" s="2">
        <f t="shared" si="27"/>
        <v>26404541.740457997</v>
      </c>
      <c r="L189" s="2">
        <f t="shared" si="28"/>
        <v>16478022.289157998</v>
      </c>
      <c r="M189" s="2">
        <f t="shared" si="29"/>
        <v>16478022.289157998</v>
      </c>
      <c r="N189" s="2">
        <f t="shared" si="30"/>
        <v>24717033.433736995</v>
      </c>
      <c r="O189" s="2">
        <f t="shared" si="31"/>
        <v>103235802.29351999</v>
      </c>
      <c r="P189" s="189">
        <f t="shared" si="33"/>
        <v>312420655.53058195</v>
      </c>
      <c r="R189" s="308">
        <f t="shared" si="34"/>
        <v>289278.38475053885</v>
      </c>
      <c r="S189" s="730"/>
      <c r="T189" s="730"/>
      <c r="U189" s="730"/>
      <c r="V189" s="730"/>
    </row>
    <row r="190" spans="9:28" x14ac:dyDescent="0.25">
      <c r="I190" s="1"/>
      <c r="J190" s="1"/>
      <c r="K190" s="1"/>
      <c r="L190" s="1"/>
      <c r="M190" s="1"/>
      <c r="N190" s="1"/>
      <c r="O190" s="1"/>
    </row>
    <row r="191" spans="9:28" x14ac:dyDescent="0.25">
      <c r="I191" s="4" t="s">
        <v>573</v>
      </c>
      <c r="J191" s="189">
        <f t="shared" ref="J191:N191" si="36">+SUM(J178:J189)</f>
        <v>1087382030.5543234</v>
      </c>
      <c r="K191" s="189">
        <f t="shared" si="36"/>
        <v>229497714.99136478</v>
      </c>
      <c r="L191" s="189">
        <f t="shared" si="36"/>
        <v>143220378.52844566</v>
      </c>
      <c r="M191" s="189">
        <f t="shared" si="36"/>
        <v>143220378.52844566</v>
      </c>
      <c r="N191" s="189">
        <f t="shared" si="36"/>
        <v>214830567.79266846</v>
      </c>
      <c r="O191" s="189">
        <f>+SUM(O178:O189)</f>
        <v>897284299.21435845</v>
      </c>
    </row>
    <row r="192" spans="9:28" x14ac:dyDescent="0.25">
      <c r="I192" s="190" t="s">
        <v>1186</v>
      </c>
      <c r="J192" s="711">
        <f>+SUM(J191:O191)</f>
        <v>2715435369.6096063</v>
      </c>
      <c r="K192" s="712"/>
      <c r="L192" s="712"/>
      <c r="M192" s="712"/>
      <c r="N192" s="712"/>
      <c r="O192" s="713"/>
      <c r="P192" s="189">
        <f>+SUM(P178:P189)</f>
        <v>2715435369.6096067</v>
      </c>
    </row>
    <row r="197" spans="5:16" x14ac:dyDescent="0.25">
      <c r="E197" s="707" t="s">
        <v>1260</v>
      </c>
      <c r="F197" s="708"/>
      <c r="G197" s="709"/>
    </row>
    <row r="198" spans="5:16" x14ac:dyDescent="0.25">
      <c r="E198" s="226" t="s">
        <v>1170</v>
      </c>
      <c r="F198" s="226">
        <f>+F445</f>
        <v>36</v>
      </c>
      <c r="G198" s="182">
        <v>1</v>
      </c>
      <c r="H198" s="68"/>
      <c r="I198" s="68"/>
      <c r="J198" s="710" t="s">
        <v>1171</v>
      </c>
      <c r="K198" s="710"/>
      <c r="L198" s="710"/>
      <c r="M198" s="710"/>
      <c r="N198" s="710"/>
      <c r="O198" s="710"/>
    </row>
    <row r="199" spans="5:16" x14ac:dyDescent="0.25">
      <c r="E199" s="128" t="s">
        <v>1157</v>
      </c>
      <c r="F199" s="128" t="s">
        <v>1180</v>
      </c>
      <c r="G199" s="128" t="s">
        <v>1177</v>
      </c>
      <c r="H199" s="128" t="s">
        <v>1176</v>
      </c>
      <c r="I199" s="128" t="s">
        <v>1179</v>
      </c>
      <c r="J199" s="128" t="str">
        <f t="shared" ref="J199:O199" si="37">+J176</f>
        <v xml:space="preserve">Casa colonial </v>
      </c>
      <c r="K199" s="128" t="str">
        <f t="shared" si="37"/>
        <v xml:space="preserve">Casa en el árbol en bambú  Deluxe  </v>
      </c>
      <c r="L199" s="128" t="str">
        <f t="shared" si="37"/>
        <v xml:space="preserve">Casa en el árbol en bambú  Superiores </v>
      </c>
      <c r="M199" s="128" t="str">
        <f t="shared" si="37"/>
        <v xml:space="preserve">Casa en el árbol en bambú  suite </v>
      </c>
      <c r="N199" s="128" t="str">
        <f t="shared" si="37"/>
        <v>Casa en el árbol en bambú sencillo</v>
      </c>
      <c r="O199" s="128" t="str">
        <f t="shared" si="37"/>
        <v xml:space="preserve">Bohios Pool houses  </v>
      </c>
      <c r="P199" s="128" t="s">
        <v>1196</v>
      </c>
    </row>
    <row r="200" spans="5:16" x14ac:dyDescent="0.25">
      <c r="E200" s="128"/>
      <c r="F200" s="128"/>
      <c r="G200" s="128"/>
      <c r="H200" s="128"/>
      <c r="I200" s="128"/>
      <c r="J200" s="128">
        <v>19</v>
      </c>
      <c r="K200" s="128">
        <v>2</v>
      </c>
      <c r="L200" s="128">
        <v>2</v>
      </c>
      <c r="M200" s="128">
        <v>2</v>
      </c>
      <c r="N200" s="128">
        <v>3</v>
      </c>
      <c r="O200" s="128">
        <v>8</v>
      </c>
      <c r="P200" s="194">
        <f>+SUM(J200:O200)</f>
        <v>36</v>
      </c>
    </row>
    <row r="201" spans="5:16" x14ac:dyDescent="0.25">
      <c r="E201" s="1" t="s">
        <v>1158</v>
      </c>
      <c r="F201" s="16">
        <f>+F129*$F$198</f>
        <v>18.752096667960004</v>
      </c>
      <c r="G201" s="23">
        <v>5</v>
      </c>
      <c r="H201" s="227">
        <v>4</v>
      </c>
      <c r="I201" s="16">
        <f>+(F201*G201*H201)+(F201*H201)+(F201*1)</f>
        <v>468.8024166990001</v>
      </c>
      <c r="J201" s="16">
        <f>+($J$200/$F$153)*I201</f>
        <v>247.42349770225007</v>
      </c>
      <c r="K201" s="16">
        <f>+($K$200/$F$153)*I201</f>
        <v>26.044578705500005</v>
      </c>
      <c r="L201" s="16">
        <f>+($L$200/$F$153)*I201</f>
        <v>26.044578705500005</v>
      </c>
      <c r="M201" s="16">
        <f>+($M$200/$F$153)*I201</f>
        <v>26.044578705500005</v>
      </c>
      <c r="N201" s="16">
        <f>+($N$200/$F$153)*I201</f>
        <v>39.066868058250009</v>
      </c>
      <c r="O201" s="16">
        <f>+($O$200/$F$153)*I201</f>
        <v>104.17831482200002</v>
      </c>
      <c r="P201" s="196">
        <f>+SUM(J201:O201)</f>
        <v>468.80241669900005</v>
      </c>
    </row>
    <row r="202" spans="5:16" x14ac:dyDescent="0.25">
      <c r="E202" s="1" t="s">
        <v>1159</v>
      </c>
      <c r="F202" s="16">
        <f>+G129*$F$198</f>
        <v>18.714517315920002</v>
      </c>
      <c r="G202" s="71">
        <v>2</v>
      </c>
      <c r="H202" s="227">
        <v>4</v>
      </c>
      <c r="I202" s="16">
        <f>+(F202*G202*H202)+(F202*H202)</f>
        <v>224.57420779104001</v>
      </c>
      <c r="J202" s="16">
        <f t="shared" ref="J202:J212" si="38">+($J$200/$F$153)*I202</f>
        <v>118.52527633416001</v>
      </c>
      <c r="K202" s="16">
        <f t="shared" ref="K202:K212" si="39">+($K$200/$F$153)*I202</f>
        <v>12.476344877279999</v>
      </c>
      <c r="L202" s="16">
        <f t="shared" ref="L202:L212" si="40">+($L$200/$F$153)*I202</f>
        <v>12.476344877279999</v>
      </c>
      <c r="M202" s="16">
        <f t="shared" ref="M202:M212" si="41">+($M$200/$F$153)*I202</f>
        <v>12.476344877279999</v>
      </c>
      <c r="N202" s="16">
        <f t="shared" ref="N202:N212" si="42">+($N$200/$F$153)*I202</f>
        <v>18.714517315919998</v>
      </c>
      <c r="O202" s="16">
        <f t="shared" ref="O202:O212" si="43">+($O$200/$F$153)*I202</f>
        <v>49.905379509119996</v>
      </c>
      <c r="P202" s="196">
        <f t="shared" ref="P202:P212" si="44">+SUM(J202:O202)</f>
        <v>224.57420779103998</v>
      </c>
    </row>
    <row r="203" spans="5:16" x14ac:dyDescent="0.25">
      <c r="E203" s="1" t="s">
        <v>1172</v>
      </c>
      <c r="F203" s="16">
        <f>+H129*$F$198</f>
        <v>19.917056581200001</v>
      </c>
      <c r="G203" s="71">
        <v>2</v>
      </c>
      <c r="H203" s="227">
        <v>4</v>
      </c>
      <c r="I203" s="16">
        <f>+(F203*G203*H203)+(F203*H203)+(F203*1)</f>
        <v>258.92173555559998</v>
      </c>
      <c r="J203" s="16">
        <f t="shared" si="38"/>
        <v>136.65313820989999</v>
      </c>
      <c r="K203" s="16">
        <f t="shared" si="39"/>
        <v>14.384540864199998</v>
      </c>
      <c r="L203" s="16">
        <f t="shared" si="40"/>
        <v>14.384540864199998</v>
      </c>
      <c r="M203" s="16">
        <f t="shared" si="41"/>
        <v>14.384540864199998</v>
      </c>
      <c r="N203" s="16">
        <f t="shared" si="42"/>
        <v>21.576811296299997</v>
      </c>
      <c r="O203" s="16">
        <f t="shared" si="43"/>
        <v>57.538163456799992</v>
      </c>
      <c r="P203" s="196">
        <f t="shared" si="44"/>
        <v>258.92173555559998</v>
      </c>
    </row>
    <row r="204" spans="5:16" x14ac:dyDescent="0.25">
      <c r="E204" s="1" t="s">
        <v>1173</v>
      </c>
      <c r="F204" s="16">
        <f>+I129*$F$198</f>
        <v>18.451461851640001</v>
      </c>
      <c r="G204" s="23">
        <v>5</v>
      </c>
      <c r="H204" s="227">
        <v>5</v>
      </c>
      <c r="I204" s="16">
        <f t="shared" ref="I204:I209" si="45">+(F204*G204*H204)+(F204*H204)</f>
        <v>553.54385554920009</v>
      </c>
      <c r="J204" s="16">
        <f t="shared" si="38"/>
        <v>292.14814598430007</v>
      </c>
      <c r="K204" s="16">
        <f t="shared" si="39"/>
        <v>30.752436419400002</v>
      </c>
      <c r="L204" s="16">
        <f t="shared" si="40"/>
        <v>30.752436419400002</v>
      </c>
      <c r="M204" s="16">
        <f t="shared" si="41"/>
        <v>30.752436419400002</v>
      </c>
      <c r="N204" s="16">
        <f t="shared" si="42"/>
        <v>46.128654629100005</v>
      </c>
      <c r="O204" s="16">
        <f t="shared" si="43"/>
        <v>123.00974567760001</v>
      </c>
      <c r="P204" s="196">
        <f t="shared" si="44"/>
        <v>553.54385554920009</v>
      </c>
    </row>
    <row r="205" spans="5:16" x14ac:dyDescent="0.25">
      <c r="E205" s="1" t="s">
        <v>1174</v>
      </c>
      <c r="F205" s="16">
        <f>+J129*F198</f>
        <v>19.353366300600001</v>
      </c>
      <c r="G205" s="227">
        <v>3</v>
      </c>
      <c r="H205" s="227">
        <v>4</v>
      </c>
      <c r="I205" s="16">
        <f>+(F205*G205*H205)+(F205*H205)+(F205*2)</f>
        <v>348.36059341079999</v>
      </c>
      <c r="J205" s="16">
        <f t="shared" si="38"/>
        <v>183.85697985569999</v>
      </c>
      <c r="K205" s="16">
        <f t="shared" si="39"/>
        <v>19.353366300599998</v>
      </c>
      <c r="L205" s="16">
        <f t="shared" si="40"/>
        <v>19.353366300599998</v>
      </c>
      <c r="M205" s="16">
        <f t="shared" si="41"/>
        <v>19.353366300599998</v>
      </c>
      <c r="N205" s="16">
        <f t="shared" si="42"/>
        <v>29.030049450899998</v>
      </c>
      <c r="O205" s="16">
        <f t="shared" si="43"/>
        <v>77.413465202399991</v>
      </c>
      <c r="P205" s="196">
        <f t="shared" si="44"/>
        <v>348.36059341079994</v>
      </c>
    </row>
    <row r="206" spans="5:16" x14ac:dyDescent="0.25">
      <c r="E206" s="1" t="s">
        <v>1163</v>
      </c>
      <c r="F206" s="16">
        <f>+K129*$F$198</f>
        <v>18.977572780199999</v>
      </c>
      <c r="G206" s="227">
        <v>3</v>
      </c>
      <c r="H206" s="227">
        <v>4</v>
      </c>
      <c r="I206" s="16">
        <f>+(F206*G206*H206)+(F206*H206)+(F206*2)</f>
        <v>341.5963100436</v>
      </c>
      <c r="J206" s="16">
        <f t="shared" si="38"/>
        <v>180.28694141190002</v>
      </c>
      <c r="K206" s="16">
        <f t="shared" si="39"/>
        <v>18.977572780199999</v>
      </c>
      <c r="L206" s="16">
        <f t="shared" si="40"/>
        <v>18.977572780199999</v>
      </c>
      <c r="M206" s="16">
        <f t="shared" si="41"/>
        <v>18.977572780199999</v>
      </c>
      <c r="N206" s="16">
        <f t="shared" si="42"/>
        <v>28.466359170299999</v>
      </c>
      <c r="O206" s="16">
        <f t="shared" si="43"/>
        <v>75.910291120799997</v>
      </c>
      <c r="P206" s="196">
        <f t="shared" si="44"/>
        <v>341.59631004360006</v>
      </c>
    </row>
    <row r="207" spans="5:16" x14ac:dyDescent="0.25">
      <c r="E207" s="1" t="s">
        <v>1164</v>
      </c>
      <c r="F207" s="16">
        <f>+L129*$F$198</f>
        <v>20.480746861800004</v>
      </c>
      <c r="G207" s="23">
        <v>5</v>
      </c>
      <c r="H207" s="227">
        <v>5</v>
      </c>
      <c r="I207" s="16">
        <f>+(F207*G207*H207)+(F207*H207)+(F207*1)</f>
        <v>634.90315271580005</v>
      </c>
      <c r="J207" s="16">
        <f t="shared" si="38"/>
        <v>335.08777504445004</v>
      </c>
      <c r="K207" s="16">
        <f t="shared" si="39"/>
        <v>35.272397373099999</v>
      </c>
      <c r="L207" s="16">
        <f t="shared" si="40"/>
        <v>35.272397373099999</v>
      </c>
      <c r="M207" s="16">
        <f t="shared" si="41"/>
        <v>35.272397373099999</v>
      </c>
      <c r="N207" s="16">
        <f t="shared" si="42"/>
        <v>52.908596059650002</v>
      </c>
      <c r="O207" s="16">
        <f t="shared" si="43"/>
        <v>141.08958949239999</v>
      </c>
      <c r="P207" s="196">
        <f t="shared" si="44"/>
        <v>634.90315271579993</v>
      </c>
    </row>
    <row r="208" spans="5:16" x14ac:dyDescent="0.25">
      <c r="E208" s="1" t="s">
        <v>1165</v>
      </c>
      <c r="F208" s="16">
        <f>+M129*$F$198</f>
        <v>21.532968718919996</v>
      </c>
      <c r="G208" s="227">
        <v>3</v>
      </c>
      <c r="H208" s="227">
        <v>4</v>
      </c>
      <c r="I208" s="16">
        <f>+(F208*G208*H208)+(F208*H208)+(F208*2)</f>
        <v>387.59343694055991</v>
      </c>
      <c r="J208" s="16">
        <f t="shared" si="38"/>
        <v>204.56320282973996</v>
      </c>
      <c r="K208" s="16">
        <f t="shared" si="39"/>
        <v>21.532968718919992</v>
      </c>
      <c r="L208" s="16">
        <f t="shared" si="40"/>
        <v>21.532968718919992</v>
      </c>
      <c r="M208" s="16">
        <f t="shared" si="41"/>
        <v>21.532968718919992</v>
      </c>
      <c r="N208" s="16">
        <f t="shared" si="42"/>
        <v>32.29945307837999</v>
      </c>
      <c r="O208" s="16">
        <f t="shared" si="43"/>
        <v>86.131874875679969</v>
      </c>
      <c r="P208" s="196">
        <f t="shared" si="44"/>
        <v>387.59343694055991</v>
      </c>
    </row>
    <row r="209" spans="5:20" x14ac:dyDescent="0.25">
      <c r="E209" s="1" t="s">
        <v>1166</v>
      </c>
      <c r="F209" s="16">
        <f>+N124*$F$198</f>
        <v>20.413566000000003</v>
      </c>
      <c r="G209" s="227">
        <v>3</v>
      </c>
      <c r="H209" s="227">
        <v>4</v>
      </c>
      <c r="I209" s="16">
        <f t="shared" si="45"/>
        <v>326.61705600000005</v>
      </c>
      <c r="J209" s="16">
        <f t="shared" si="38"/>
        <v>172.38122400000003</v>
      </c>
      <c r="K209" s="16">
        <f t="shared" si="39"/>
        <v>18.145392000000001</v>
      </c>
      <c r="L209" s="16">
        <f t="shared" si="40"/>
        <v>18.145392000000001</v>
      </c>
      <c r="M209" s="16">
        <f t="shared" si="41"/>
        <v>18.145392000000001</v>
      </c>
      <c r="N209" s="16">
        <f t="shared" si="42"/>
        <v>27.218088000000002</v>
      </c>
      <c r="O209" s="16">
        <f t="shared" si="43"/>
        <v>72.581568000000004</v>
      </c>
      <c r="P209" s="196">
        <f t="shared" si="44"/>
        <v>326.61705600000005</v>
      </c>
    </row>
    <row r="210" spans="5:20" x14ac:dyDescent="0.25">
      <c r="E210" s="1" t="s">
        <v>1167</v>
      </c>
      <c r="F210" s="16">
        <f>+O124*$F$198</f>
        <v>20.523909600000003</v>
      </c>
      <c r="G210" s="227">
        <v>3</v>
      </c>
      <c r="H210" s="227">
        <v>5</v>
      </c>
      <c r="I210" s="16">
        <f>+(F210*G210*H210)+(F210*H210)+(F210*1)</f>
        <v>431.00210160000006</v>
      </c>
      <c r="J210" s="16">
        <f t="shared" si="38"/>
        <v>227.47333140000003</v>
      </c>
      <c r="K210" s="16">
        <f t="shared" si="39"/>
        <v>23.944561200000003</v>
      </c>
      <c r="L210" s="16">
        <f t="shared" si="40"/>
        <v>23.944561200000003</v>
      </c>
      <c r="M210" s="16">
        <f t="shared" si="41"/>
        <v>23.944561200000003</v>
      </c>
      <c r="N210" s="16">
        <f t="shared" si="42"/>
        <v>35.9168418</v>
      </c>
      <c r="O210" s="16">
        <f t="shared" si="43"/>
        <v>95.77824480000001</v>
      </c>
      <c r="P210" s="196">
        <f t="shared" si="44"/>
        <v>431.00210160000006</v>
      </c>
    </row>
    <row r="211" spans="5:20" x14ac:dyDescent="0.25">
      <c r="E211" s="1" t="s">
        <v>1168</v>
      </c>
      <c r="F211" s="16">
        <f>+P129*$F$198</f>
        <v>21.345071958720002</v>
      </c>
      <c r="G211" s="227">
        <v>3</v>
      </c>
      <c r="H211" s="227">
        <v>4</v>
      </c>
      <c r="I211" s="16">
        <f>+(F211*G211*H211)+(F211*H211)+(F211*2)</f>
        <v>384.21129525696006</v>
      </c>
      <c r="J211" s="16">
        <f t="shared" si="38"/>
        <v>202.77818360784005</v>
      </c>
      <c r="K211" s="16">
        <f t="shared" si="39"/>
        <v>21.345071958720002</v>
      </c>
      <c r="L211" s="16">
        <f t="shared" si="40"/>
        <v>21.345071958720002</v>
      </c>
      <c r="M211" s="16">
        <f t="shared" si="41"/>
        <v>21.345071958720002</v>
      </c>
      <c r="N211" s="16">
        <f t="shared" si="42"/>
        <v>32.017607938080005</v>
      </c>
      <c r="O211" s="16">
        <f t="shared" si="43"/>
        <v>85.380287834880008</v>
      </c>
      <c r="P211" s="196">
        <f t="shared" si="44"/>
        <v>384.21129525696006</v>
      </c>
    </row>
    <row r="212" spans="5:20" x14ac:dyDescent="0.25">
      <c r="E212" s="1" t="s">
        <v>1175</v>
      </c>
      <c r="F212" s="16">
        <f>+Q129*$F$198</f>
        <v>18.789676020000002</v>
      </c>
      <c r="G212" s="23">
        <v>5</v>
      </c>
      <c r="H212" s="227">
        <v>5</v>
      </c>
      <c r="I212" s="16">
        <f>+(F212*G212*H212)+(F212*H212)+(F212*1)</f>
        <v>582.47995662000005</v>
      </c>
      <c r="J212" s="16">
        <f t="shared" si="38"/>
        <v>307.41997710500004</v>
      </c>
      <c r="K212" s="16">
        <f t="shared" si="39"/>
        <v>32.359997589999999</v>
      </c>
      <c r="L212" s="16">
        <f t="shared" si="40"/>
        <v>32.359997589999999</v>
      </c>
      <c r="M212" s="16">
        <f t="shared" si="41"/>
        <v>32.359997589999999</v>
      </c>
      <c r="N212" s="16">
        <f t="shared" si="42"/>
        <v>48.539996385000002</v>
      </c>
      <c r="O212" s="16">
        <f t="shared" si="43"/>
        <v>129.43999036</v>
      </c>
      <c r="P212" s="196">
        <f t="shared" si="44"/>
        <v>582.47995661999994</v>
      </c>
    </row>
    <row r="213" spans="5:20" x14ac:dyDescent="0.25">
      <c r="E213" s="1"/>
      <c r="F213" s="16"/>
      <c r="G213" s="227"/>
      <c r="H213" s="227"/>
      <c r="I213" s="227"/>
      <c r="J213" s="16"/>
      <c r="K213" s="1"/>
      <c r="L213" s="1"/>
      <c r="M213" s="1"/>
      <c r="N213" s="1"/>
      <c r="O213" s="1"/>
      <c r="P213" s="195"/>
    </row>
    <row r="214" spans="5:20" x14ac:dyDescent="0.25">
      <c r="E214" s="6" t="s">
        <v>1205</v>
      </c>
      <c r="F214" s="184">
        <f>+SUM(F201:F212)</f>
        <v>237.25201065696004</v>
      </c>
      <c r="G214" s="6"/>
      <c r="H214" s="6">
        <f>+SUM(H201:H212)</f>
        <v>52</v>
      </c>
      <c r="I214" s="184">
        <f>+SUM(I201:I212)</f>
        <v>4942.6061181825607</v>
      </c>
      <c r="J214" s="184">
        <f>+SUM(J201:J212)</f>
        <v>2608.5976734852411</v>
      </c>
      <c r="K214" s="184">
        <f>+SUM(K201:K212)</f>
        <v>274.58922878792004</v>
      </c>
      <c r="L214" s="184">
        <f t="shared" ref="L214:P214" si="46">+SUM(L201:L212)</f>
        <v>274.58922878792004</v>
      </c>
      <c r="M214" s="184">
        <f t="shared" si="46"/>
        <v>274.58922878792004</v>
      </c>
      <c r="N214" s="184">
        <f t="shared" si="46"/>
        <v>411.88384318188002</v>
      </c>
      <c r="O214" s="184">
        <f t="shared" si="46"/>
        <v>1098.3569151516801</v>
      </c>
      <c r="P214" s="197">
        <f t="shared" si="46"/>
        <v>4942.6061181825607</v>
      </c>
    </row>
    <row r="215" spans="5:20" x14ac:dyDescent="0.25">
      <c r="F215" s="202"/>
    </row>
    <row r="216" spans="5:20" x14ac:dyDescent="0.25">
      <c r="E216" s="3" t="s">
        <v>1178</v>
      </c>
    </row>
    <row r="217" spans="5:20" x14ac:dyDescent="0.25">
      <c r="E217" s="3" t="s">
        <v>1403</v>
      </c>
    </row>
    <row r="219" spans="5:20" x14ac:dyDescent="0.25">
      <c r="E219" s="12" t="s">
        <v>1404</v>
      </c>
      <c r="J219" s="710" t="s">
        <v>1812</v>
      </c>
      <c r="K219" s="710"/>
      <c r="L219" s="710"/>
      <c r="M219" s="710"/>
      <c r="N219" s="710"/>
      <c r="O219" s="710"/>
    </row>
    <row r="220" spans="5:20" x14ac:dyDescent="0.25">
      <c r="E220" s="12"/>
      <c r="J220" s="226"/>
      <c r="K220" s="226"/>
      <c r="L220" s="226"/>
      <c r="M220" s="226"/>
      <c r="N220" s="226"/>
      <c r="O220" s="226"/>
      <c r="T220" s="321" t="s">
        <v>1411</v>
      </c>
    </row>
    <row r="221" spans="5:20" x14ac:dyDescent="0.25">
      <c r="J221" s="128" t="str">
        <f t="shared" ref="J221:O221" si="47">+J199</f>
        <v xml:space="preserve">Casa colonial </v>
      </c>
      <c r="K221" s="128" t="str">
        <f t="shared" si="47"/>
        <v xml:space="preserve">Casa en el árbol en bambú  Deluxe  </v>
      </c>
      <c r="L221" s="128" t="str">
        <f t="shared" si="47"/>
        <v xml:space="preserve">Casa en el árbol en bambú  Superiores </v>
      </c>
      <c r="M221" s="128" t="str">
        <f t="shared" si="47"/>
        <v xml:space="preserve">Casa en el árbol en bambú  suite </v>
      </c>
      <c r="N221" s="128" t="str">
        <f t="shared" si="47"/>
        <v>Casa en el árbol en bambú sencillo</v>
      </c>
      <c r="O221" s="128" t="str">
        <f t="shared" si="47"/>
        <v xml:space="preserve">Bohios Pool houses  </v>
      </c>
      <c r="P221" s="128" t="s">
        <v>1196</v>
      </c>
      <c r="R221" s="128" t="s">
        <v>1405</v>
      </c>
      <c r="S221" s="128" t="s">
        <v>1406</v>
      </c>
      <c r="T221" s="128" t="str">
        <f>+T176</f>
        <v xml:space="preserve">RevPAR -Febrero 2020-ANTIOQUIA </v>
      </c>
    </row>
    <row r="222" spans="5:20" x14ac:dyDescent="0.25">
      <c r="I222" s="128" t="s">
        <v>1157</v>
      </c>
      <c r="J222" s="188">
        <f>+(J177*$C$76)+J177</f>
        <v>446405.68296200002</v>
      </c>
      <c r="K222" s="188">
        <f t="shared" ref="K222:O222" si="48">+(K177*$C$76)+K177</f>
        <v>895054.61056200007</v>
      </c>
      <c r="L222" s="188">
        <f t="shared" si="48"/>
        <v>558567.91486200003</v>
      </c>
      <c r="M222" s="188">
        <f t="shared" si="48"/>
        <v>558567.91486200003</v>
      </c>
      <c r="N222" s="188">
        <f t="shared" si="48"/>
        <v>558567.91486200003</v>
      </c>
      <c r="O222" s="188">
        <f t="shared" si="48"/>
        <v>874865.40882000001</v>
      </c>
    </row>
    <row r="223" spans="5:20" x14ac:dyDescent="0.25">
      <c r="I223" s="1" t="s">
        <v>1158</v>
      </c>
      <c r="J223" s="2">
        <f t="shared" ref="J223:J234" si="49">+$J$222*J201</f>
        <v>110451255.47261979</v>
      </c>
      <c r="K223" s="2">
        <f>+$K$222*K201</f>
        <v>23311320.250502668</v>
      </c>
      <c r="L223" s="2">
        <f>+$L$222*L201</f>
        <v>14547666.020990385</v>
      </c>
      <c r="M223" s="2">
        <f>+$M$222*M201</f>
        <v>14547666.020990385</v>
      </c>
      <c r="N223" s="2">
        <f>+$N$222*N201</f>
        <v>21821499.03148558</v>
      </c>
      <c r="O223" s="2">
        <f>+$O$222*O201</f>
        <v>91142003.986927718</v>
      </c>
      <c r="P223" s="189">
        <f>+SUM(J223:O223)</f>
        <v>275821410.78351653</v>
      </c>
      <c r="R223" s="308">
        <f>+P223/($F$153*30)</f>
        <v>255390.19516992272</v>
      </c>
      <c r="S223" s="729">
        <f>+AVERAGE(R223:R234)</f>
        <v>224382.57856741661</v>
      </c>
      <c r="T223" s="729">
        <f>+$T$178</f>
        <v>149314</v>
      </c>
    </row>
    <row r="224" spans="5:20" x14ac:dyDescent="0.25">
      <c r="I224" s="1" t="s">
        <v>1159</v>
      </c>
      <c r="J224" s="2">
        <f t="shared" si="49"/>
        <v>52910356.930210479</v>
      </c>
      <c r="K224" s="2">
        <f t="shared" ref="K224:K234" si="50">+$K$222*K202</f>
        <v>11167010.005371055</v>
      </c>
      <c r="L224" s="2">
        <f t="shared" ref="L224:L234" si="51">+$L$222*L202</f>
        <v>6968885.9432014851</v>
      </c>
      <c r="M224" s="2">
        <f t="shared" ref="M224:M234" si="52">+$M$222*M202</f>
        <v>6968885.9432014851</v>
      </c>
      <c r="N224" s="2">
        <f t="shared" ref="N224:N234" si="53">+$N$222*N202</f>
        <v>10453328.914802227</v>
      </c>
      <c r="O224" s="2">
        <f t="shared" ref="O224:O234" si="54">+$O$222*O202</f>
        <v>43660490.246563517</v>
      </c>
      <c r="P224" s="189">
        <f t="shared" ref="P224:P234" si="55">+SUM(J224:O224)</f>
        <v>132128957.98335025</v>
      </c>
      <c r="R224" s="308">
        <f>+P224/($F$153*30)</f>
        <v>122341.62776236134</v>
      </c>
      <c r="S224" s="730"/>
      <c r="T224" s="730"/>
    </row>
    <row r="225" spans="9:20" x14ac:dyDescent="0.25">
      <c r="I225" s="1" t="s">
        <v>1172</v>
      </c>
      <c r="J225" s="2">
        <f t="shared" si="49"/>
        <v>61002737.49149099</v>
      </c>
      <c r="K225" s="2">
        <f t="shared" si="50"/>
        <v>12874949.621319706</v>
      </c>
      <c r="L225" s="2">
        <f t="shared" si="51"/>
        <v>8034742.9967634249</v>
      </c>
      <c r="M225" s="2">
        <f t="shared" si="52"/>
        <v>8034742.9967634249</v>
      </c>
      <c r="N225" s="2">
        <f t="shared" si="53"/>
        <v>12052114.495145136</v>
      </c>
      <c r="O225" s="2">
        <f t="shared" si="54"/>
        <v>50338148.89538531</v>
      </c>
      <c r="P225" s="189">
        <f t="shared" si="55"/>
        <v>152337436.49686801</v>
      </c>
      <c r="R225" s="308">
        <f t="shared" ref="R225:R234" si="56">+P225/($F$153*30)</f>
        <v>141053.18194154446</v>
      </c>
      <c r="S225" s="730"/>
      <c r="T225" s="730"/>
    </row>
    <row r="226" spans="9:20" x14ac:dyDescent="0.25">
      <c r="I226" s="1" t="s">
        <v>1173</v>
      </c>
      <c r="J226" s="2">
        <f t="shared" si="49"/>
        <v>130416592.63420355</v>
      </c>
      <c r="K226" s="2">
        <f t="shared" si="50"/>
        <v>27525110.003198735</v>
      </c>
      <c r="L226" s="2">
        <f t="shared" si="51"/>
        <v>17177324.287710488</v>
      </c>
      <c r="M226" s="2">
        <f t="shared" si="52"/>
        <v>17177324.287710488</v>
      </c>
      <c r="N226" s="2">
        <f t="shared" si="53"/>
        <v>25765986.431565735</v>
      </c>
      <c r="O226" s="2">
        <f t="shared" si="54"/>
        <v>107616971.44107775</v>
      </c>
      <c r="P226" s="189">
        <f t="shared" si="55"/>
        <v>325679309.08546674</v>
      </c>
      <c r="R226" s="308">
        <f t="shared" si="56"/>
        <v>301554.91581987659</v>
      </c>
      <c r="S226" s="730"/>
      <c r="T226" s="730"/>
    </row>
    <row r="227" spans="9:20" x14ac:dyDescent="0.25">
      <c r="I227" s="1" t="s">
        <v>1174</v>
      </c>
      <c r="J227" s="2">
        <f t="shared" si="49"/>
        <v>82074800.659814432</v>
      </c>
      <c r="K227" s="2">
        <f t="shared" si="50"/>
        <v>17322319.737247266</v>
      </c>
      <c r="L227" s="2">
        <f t="shared" si="51"/>
        <v>10810169.46008664</v>
      </c>
      <c r="M227" s="2">
        <f t="shared" si="52"/>
        <v>10810169.46008664</v>
      </c>
      <c r="N227" s="2">
        <f t="shared" si="53"/>
        <v>16215254.190129962</v>
      </c>
      <c r="O227" s="2">
        <f t="shared" si="54"/>
        <v>67726362.882470518</v>
      </c>
      <c r="P227" s="189">
        <f t="shared" si="55"/>
        <v>204959076.38983548</v>
      </c>
      <c r="R227" s="308">
        <f t="shared" si="56"/>
        <v>189776.922583181</v>
      </c>
      <c r="S227" s="730"/>
      <c r="T227" s="730"/>
    </row>
    <row r="228" spans="9:20" x14ac:dyDescent="0.25">
      <c r="I228" s="1" t="s">
        <v>1163</v>
      </c>
      <c r="J228" s="2">
        <f t="shared" si="49"/>
        <v>80481115.210109308</v>
      </c>
      <c r="K228" s="2">
        <f t="shared" si="50"/>
        <v>16985964.014193922</v>
      </c>
      <c r="L228" s="2">
        <f t="shared" si="51"/>
        <v>10600263.256978162</v>
      </c>
      <c r="M228" s="2">
        <f t="shared" si="52"/>
        <v>10600263.256978162</v>
      </c>
      <c r="N228" s="2">
        <f t="shared" si="53"/>
        <v>15900394.885467244</v>
      </c>
      <c r="O228" s="2">
        <f t="shared" si="54"/>
        <v>66411287.875043906</v>
      </c>
      <c r="P228" s="189">
        <f t="shared" si="55"/>
        <v>200979288.49877068</v>
      </c>
      <c r="R228" s="308">
        <f t="shared" si="56"/>
        <v>186091.93379515805</v>
      </c>
      <c r="S228" s="730"/>
      <c r="T228" s="730"/>
    </row>
    <row r="229" spans="9:20" x14ac:dyDescent="0.25">
      <c r="I229" s="1" t="s">
        <v>1164</v>
      </c>
      <c r="J229" s="2">
        <f t="shared" si="49"/>
        <v>149585087.07093474</v>
      </c>
      <c r="K229" s="2">
        <f t="shared" si="50"/>
        <v>31570721.894368134</v>
      </c>
      <c r="L229" s="2">
        <f t="shared" si="51"/>
        <v>19702029.452876355</v>
      </c>
      <c r="M229" s="2">
        <f t="shared" si="52"/>
        <v>19702029.452876355</v>
      </c>
      <c r="N229" s="2">
        <f t="shared" si="53"/>
        <v>29553044.179314531</v>
      </c>
      <c r="O229" s="2">
        <f t="shared" si="54"/>
        <v>123434401.3915145</v>
      </c>
      <c r="P229" s="189">
        <f t="shared" si="55"/>
        <v>373547313.44188464</v>
      </c>
      <c r="R229" s="308">
        <f t="shared" si="56"/>
        <v>345877.14207581908</v>
      </c>
      <c r="S229" s="730"/>
      <c r="T229" s="730"/>
    </row>
    <row r="230" spans="9:20" x14ac:dyDescent="0.25">
      <c r="I230" s="1" t="s">
        <v>1165</v>
      </c>
      <c r="J230" s="2">
        <f t="shared" si="49"/>
        <v>91318176.26810421</v>
      </c>
      <c r="K230" s="2">
        <f t="shared" si="50"/>
        <v>19273182.930956662</v>
      </c>
      <c r="L230" s="2">
        <f t="shared" si="51"/>
        <v>12027625.438115813</v>
      </c>
      <c r="M230" s="2">
        <f t="shared" si="52"/>
        <v>12027625.438115813</v>
      </c>
      <c r="N230" s="2">
        <f t="shared" si="53"/>
        <v>18041438.157173719</v>
      </c>
      <c r="O230" s="2">
        <f t="shared" si="54"/>
        <v>75353797.925544843</v>
      </c>
      <c r="P230" s="189">
        <f t="shared" si="55"/>
        <v>228041846.15801108</v>
      </c>
      <c r="R230" s="308">
        <f t="shared" si="56"/>
        <v>211149.85755371395</v>
      </c>
      <c r="S230" s="730"/>
      <c r="T230" s="730"/>
    </row>
    <row r="231" spans="9:20" x14ac:dyDescent="0.25">
      <c r="I231" s="1" t="s">
        <v>1166</v>
      </c>
      <c r="J231" s="2">
        <f t="shared" si="49"/>
        <v>76951958.029545516</v>
      </c>
      <c r="K231" s="2">
        <f t="shared" si="50"/>
        <v>16241116.770054832</v>
      </c>
      <c r="L231" s="2">
        <f t="shared" si="51"/>
        <v>10135433.773793617</v>
      </c>
      <c r="M231" s="2">
        <f t="shared" si="52"/>
        <v>10135433.773793617</v>
      </c>
      <c r="N231" s="2">
        <f t="shared" si="53"/>
        <v>15203150.660690425</v>
      </c>
      <c r="O231" s="2">
        <f t="shared" si="54"/>
        <v>63499103.161116637</v>
      </c>
      <c r="P231" s="189">
        <f t="shared" si="55"/>
        <v>192166196.16899467</v>
      </c>
      <c r="R231" s="308">
        <f t="shared" si="56"/>
        <v>177931.6631194395</v>
      </c>
      <c r="S231" s="730"/>
      <c r="T231" s="730"/>
    </row>
    <row r="232" spans="9:20" x14ac:dyDescent="0.25">
      <c r="I232" s="1" t="s">
        <v>1167</v>
      </c>
      <c r="J232" s="2">
        <f t="shared" si="49"/>
        <v>101545387.85925838</v>
      </c>
      <c r="K232" s="2">
        <f t="shared" si="50"/>
        <v>21431689.899943978</v>
      </c>
      <c r="L232" s="2">
        <f t="shared" si="51"/>
        <v>13374663.621769551</v>
      </c>
      <c r="M232" s="2">
        <f t="shared" si="52"/>
        <v>13374663.621769551</v>
      </c>
      <c r="N232" s="2">
        <f t="shared" si="53"/>
        <v>20061995.432654325</v>
      </c>
      <c r="O232" s="2">
        <f t="shared" si="54"/>
        <v>83793073.29301405</v>
      </c>
      <c r="P232" s="189">
        <f t="shared" si="55"/>
        <v>253581473.72840983</v>
      </c>
      <c r="R232" s="308">
        <f t="shared" si="56"/>
        <v>234797.66085963874</v>
      </c>
      <c r="S232" s="730"/>
      <c r="T232" s="730"/>
    </row>
    <row r="233" spans="9:20" x14ac:dyDescent="0.25">
      <c r="I233" s="1" t="s">
        <v>1168</v>
      </c>
      <c r="J233" s="2">
        <f t="shared" si="49"/>
        <v>90521333.543251678</v>
      </c>
      <c r="K233" s="2">
        <f t="shared" si="50"/>
        <v>19105005.069430001</v>
      </c>
      <c r="L233" s="2">
        <f t="shared" si="51"/>
        <v>11922672.336561579</v>
      </c>
      <c r="M233" s="2">
        <f t="shared" si="52"/>
        <v>11922672.336561579</v>
      </c>
      <c r="N233" s="2">
        <f t="shared" si="53"/>
        <v>17884008.504842367</v>
      </c>
      <c r="O233" s="2">
        <f t="shared" si="54"/>
        <v>74696260.421831578</v>
      </c>
      <c r="P233" s="189">
        <f t="shared" si="55"/>
        <v>226051952.21247879</v>
      </c>
      <c r="R233" s="308">
        <f t="shared" si="56"/>
        <v>209307.36315970257</v>
      </c>
      <c r="S233" s="730"/>
      <c r="T233" s="730"/>
    </row>
    <row r="234" spans="9:20" x14ac:dyDescent="0.25">
      <c r="I234" s="1" t="s">
        <v>1175</v>
      </c>
      <c r="J234" s="2">
        <f t="shared" si="49"/>
        <v>137234024.83571994</v>
      </c>
      <c r="K234" s="2">
        <f t="shared" si="50"/>
        <v>28963965.040704709</v>
      </c>
      <c r="L234" s="2">
        <f t="shared" si="51"/>
        <v>18075256.378785647</v>
      </c>
      <c r="M234" s="2">
        <f t="shared" si="52"/>
        <v>18075256.378785647</v>
      </c>
      <c r="N234" s="2">
        <f t="shared" si="53"/>
        <v>27112884.568178471</v>
      </c>
      <c r="O234" s="2">
        <f t="shared" si="54"/>
        <v>113242570.08395825</v>
      </c>
      <c r="P234" s="189">
        <f t="shared" si="55"/>
        <v>342703957.28613263</v>
      </c>
      <c r="R234" s="308">
        <f t="shared" si="56"/>
        <v>317318.47896864131</v>
      </c>
      <c r="S234" s="730"/>
      <c r="T234" s="730"/>
    </row>
    <row r="235" spans="9:20" x14ac:dyDescent="0.25">
      <c r="I235" s="1"/>
      <c r="J235" s="1"/>
      <c r="K235" s="1"/>
      <c r="L235" s="1"/>
      <c r="M235" s="1"/>
      <c r="N235" s="1"/>
      <c r="O235" s="1"/>
    </row>
    <row r="236" spans="9:20" x14ac:dyDescent="0.25">
      <c r="I236" s="4" t="s">
        <v>573</v>
      </c>
      <c r="J236" s="189">
        <f t="shared" ref="J236:N236" si="57">+SUM(J223:J234)</f>
        <v>1164492826.0052629</v>
      </c>
      <c r="K236" s="189">
        <f t="shared" si="57"/>
        <v>245772355.23729163</v>
      </c>
      <c r="L236" s="189">
        <f t="shared" si="57"/>
        <v>153376732.96763313</v>
      </c>
      <c r="M236" s="189">
        <f t="shared" si="57"/>
        <v>153376732.96763313</v>
      </c>
      <c r="N236" s="189">
        <f t="shared" si="57"/>
        <v>230065099.45144975</v>
      </c>
      <c r="O236" s="189">
        <f>+SUM(O223:O234)</f>
        <v>960914471.60444868</v>
      </c>
    </row>
    <row r="237" spans="9:20" x14ac:dyDescent="0.25">
      <c r="I237" s="190" t="s">
        <v>1186</v>
      </c>
      <c r="J237" s="711">
        <f>+SUM(J236:O236)</f>
        <v>2907998218.2337193</v>
      </c>
      <c r="K237" s="712"/>
      <c r="L237" s="712"/>
      <c r="M237" s="712"/>
      <c r="N237" s="712"/>
      <c r="O237" s="713"/>
      <c r="P237" s="189">
        <f>+SUM(P223:P234)</f>
        <v>2907998218.2337193</v>
      </c>
    </row>
    <row r="243" spans="5:16" x14ac:dyDescent="0.25">
      <c r="E243" s="707" t="s">
        <v>1261</v>
      </c>
      <c r="F243" s="708"/>
      <c r="G243" s="709"/>
    </row>
    <row r="244" spans="5:16" x14ac:dyDescent="0.25">
      <c r="E244" s="226" t="s">
        <v>1170</v>
      </c>
      <c r="F244" s="226">
        <v>36</v>
      </c>
      <c r="G244" s="182">
        <v>1</v>
      </c>
      <c r="H244" s="68"/>
      <c r="I244" s="68"/>
      <c r="J244" s="710" t="s">
        <v>1171</v>
      </c>
      <c r="K244" s="710"/>
      <c r="L244" s="710"/>
      <c r="M244" s="710"/>
      <c r="N244" s="710"/>
      <c r="O244" s="710"/>
    </row>
    <row r="245" spans="5:16" x14ac:dyDescent="0.25">
      <c r="E245" s="128" t="s">
        <v>1157</v>
      </c>
      <c r="F245" s="128" t="s">
        <v>1180</v>
      </c>
      <c r="G245" s="128" t="s">
        <v>1177</v>
      </c>
      <c r="H245" s="128" t="s">
        <v>1176</v>
      </c>
      <c r="I245" s="128" t="s">
        <v>1179</v>
      </c>
      <c r="J245" s="128" t="s">
        <v>1017</v>
      </c>
      <c r="K245" s="128" t="s">
        <v>545</v>
      </c>
      <c r="L245" s="128" t="s">
        <v>484</v>
      </c>
      <c r="M245" s="128" t="str">
        <f>+M221</f>
        <v xml:space="preserve">Casa en el árbol en bambú  suite </v>
      </c>
      <c r="N245" s="128" t="str">
        <f>+N221</f>
        <v>Casa en el árbol en bambú sencillo</v>
      </c>
      <c r="O245" s="128" t="str">
        <f>+O221</f>
        <v xml:space="preserve">Bohios Pool houses  </v>
      </c>
      <c r="P245" s="128" t="s">
        <v>1196</v>
      </c>
    </row>
    <row r="246" spans="5:16" x14ac:dyDescent="0.25">
      <c r="E246" s="128"/>
      <c r="F246" s="128"/>
      <c r="G246" s="128"/>
      <c r="H246" s="128"/>
      <c r="I246" s="128"/>
      <c r="J246" s="128">
        <v>19</v>
      </c>
      <c r="K246" s="128">
        <v>2</v>
      </c>
      <c r="L246" s="128">
        <v>2</v>
      </c>
      <c r="M246" s="128">
        <v>2</v>
      </c>
      <c r="N246" s="128">
        <v>3</v>
      </c>
      <c r="O246" s="128">
        <v>8</v>
      </c>
      <c r="P246" s="194">
        <f>+SUM(J246:O246)</f>
        <v>36</v>
      </c>
    </row>
    <row r="247" spans="5:16" x14ac:dyDescent="0.25">
      <c r="E247" s="1" t="s">
        <v>1158</v>
      </c>
      <c r="F247" s="16">
        <f>+F135*$F$244</f>
        <v>19.159017165654738</v>
      </c>
      <c r="G247" s="23">
        <v>5</v>
      </c>
      <c r="H247" s="227">
        <v>4</v>
      </c>
      <c r="I247" s="16">
        <f>+(F247*G247*H247)+(F247*H247)+(F247*2)</f>
        <v>498.13444630702327</v>
      </c>
      <c r="J247" s="16">
        <f>+($J$246/$F$153)*I247</f>
        <v>262.90429110648449</v>
      </c>
      <c r="K247" s="16">
        <f>+($K$246/$F$153)*I247</f>
        <v>27.674135905945736</v>
      </c>
      <c r="L247" s="16">
        <f>+($L$246/$F$153)*I247</f>
        <v>27.674135905945736</v>
      </c>
      <c r="M247" s="16">
        <f>+($M$246/$F$153)*I247</f>
        <v>27.674135905945736</v>
      </c>
      <c r="N247" s="16">
        <f>+($N$246/$F$153)*I247</f>
        <v>41.511203858918606</v>
      </c>
      <c r="O247" s="16">
        <f>+($O$246/$F$153)*I247</f>
        <v>110.69654362378294</v>
      </c>
      <c r="P247" s="196">
        <f>+SUM(J247:O247)</f>
        <v>498.13444630702321</v>
      </c>
    </row>
    <row r="248" spans="5:16" x14ac:dyDescent="0.25">
      <c r="E248" s="1" t="s">
        <v>1159</v>
      </c>
      <c r="F248" s="16">
        <f>+G135*$F$244</f>
        <v>19.120622341675467</v>
      </c>
      <c r="G248" s="71">
        <v>2</v>
      </c>
      <c r="H248" s="227">
        <v>4</v>
      </c>
      <c r="I248" s="16">
        <f>+(F248*G248*H248)+(F248*H248)</f>
        <v>229.4474681001056</v>
      </c>
      <c r="J248" s="16">
        <f t="shared" ref="J248:J258" si="58">+($J$246/$F$153)*I248</f>
        <v>121.09727483061128</v>
      </c>
      <c r="K248" s="16">
        <f t="shared" ref="K248:K258" si="59">+($K$246/$F$153)*I248</f>
        <v>12.747081561116977</v>
      </c>
      <c r="L248" s="16">
        <f t="shared" ref="L248:L258" si="60">+($L$246/$F$153)*I248</f>
        <v>12.747081561116977</v>
      </c>
      <c r="M248" s="16">
        <f t="shared" ref="M248:M258" si="61">+($M$246/$F$153)*I248</f>
        <v>12.747081561116977</v>
      </c>
      <c r="N248" s="16">
        <f t="shared" ref="N248:N258" si="62">+($N$246/$F$153)*I248</f>
        <v>19.120622341675464</v>
      </c>
      <c r="O248" s="16">
        <f t="shared" ref="O248:O258" si="63">+($O$246/$F$153)*I248</f>
        <v>50.988326244467906</v>
      </c>
      <c r="P248" s="196">
        <f t="shared" ref="P248:P258" si="64">+SUM(J248:O248)</f>
        <v>229.4474681001056</v>
      </c>
    </row>
    <row r="249" spans="5:16" x14ac:dyDescent="0.25">
      <c r="E249" s="1" t="s">
        <v>1172</v>
      </c>
      <c r="F249" s="16">
        <f>+H135*$F$198</f>
        <v>20.349256709012046</v>
      </c>
      <c r="G249" s="71">
        <v>2</v>
      </c>
      <c r="H249" s="227">
        <v>4</v>
      </c>
      <c r="I249" s="16">
        <f>+(F249*G249*H249)+(F249*H249)+(F249*1)</f>
        <v>264.5403372171566</v>
      </c>
      <c r="J249" s="16">
        <f t="shared" si="58"/>
        <v>139.61851130905487</v>
      </c>
      <c r="K249" s="16">
        <f t="shared" si="59"/>
        <v>14.696685400953143</v>
      </c>
      <c r="L249" s="16">
        <f t="shared" si="60"/>
        <v>14.696685400953143</v>
      </c>
      <c r="M249" s="16">
        <f t="shared" si="61"/>
        <v>14.696685400953143</v>
      </c>
      <c r="N249" s="16">
        <f t="shared" si="62"/>
        <v>22.045028101429715</v>
      </c>
      <c r="O249" s="16">
        <f t="shared" si="63"/>
        <v>58.786741603812573</v>
      </c>
      <c r="P249" s="196">
        <f t="shared" si="64"/>
        <v>264.54033721715655</v>
      </c>
    </row>
    <row r="250" spans="5:16" x14ac:dyDescent="0.25">
      <c r="E250" s="1" t="s">
        <v>1173</v>
      </c>
      <c r="F250" s="16">
        <f>+I135*$F$244</f>
        <v>18.851858573820589</v>
      </c>
      <c r="G250" s="23">
        <v>5</v>
      </c>
      <c r="H250" s="227">
        <v>5</v>
      </c>
      <c r="I250" s="16">
        <f t="shared" ref="I250:I258" si="65">+(F250*G250*H250)+(F250*H250)</f>
        <v>565.55575721461776</v>
      </c>
      <c r="J250" s="16">
        <f t="shared" si="58"/>
        <v>298.48776075215937</v>
      </c>
      <c r="K250" s="16">
        <f t="shared" si="59"/>
        <v>31.419764289700986</v>
      </c>
      <c r="L250" s="16">
        <f t="shared" si="60"/>
        <v>31.419764289700986</v>
      </c>
      <c r="M250" s="16">
        <f t="shared" si="61"/>
        <v>31.419764289700986</v>
      </c>
      <c r="N250" s="16">
        <f t="shared" si="62"/>
        <v>47.129646434551475</v>
      </c>
      <c r="O250" s="16">
        <f t="shared" si="63"/>
        <v>125.67905715880394</v>
      </c>
      <c r="P250" s="196">
        <f t="shared" si="64"/>
        <v>565.55575721461776</v>
      </c>
    </row>
    <row r="251" spans="5:16" x14ac:dyDescent="0.25">
      <c r="E251" s="1" t="s">
        <v>1174</v>
      </c>
      <c r="F251" s="16">
        <f>+J135*F244</f>
        <v>19.773334349323026</v>
      </c>
      <c r="G251" s="227">
        <v>3</v>
      </c>
      <c r="H251" s="227">
        <v>4</v>
      </c>
      <c r="I251" s="16">
        <f>+(F251*G251*H251)+(F251*H251)+(F251*1)</f>
        <v>336.14668393849144</v>
      </c>
      <c r="J251" s="16">
        <f t="shared" si="58"/>
        <v>177.41074985642604</v>
      </c>
      <c r="K251" s="16">
        <f t="shared" si="59"/>
        <v>18.674815774360635</v>
      </c>
      <c r="L251" s="16">
        <f t="shared" si="60"/>
        <v>18.674815774360635</v>
      </c>
      <c r="M251" s="16">
        <f t="shared" si="61"/>
        <v>18.674815774360635</v>
      </c>
      <c r="N251" s="16">
        <f t="shared" si="62"/>
        <v>28.012223661540951</v>
      </c>
      <c r="O251" s="16">
        <f t="shared" si="63"/>
        <v>74.69926309744254</v>
      </c>
      <c r="P251" s="196">
        <f t="shared" si="64"/>
        <v>336.14668393849144</v>
      </c>
    </row>
    <row r="252" spans="5:16" x14ac:dyDescent="0.25">
      <c r="E252" s="1" t="s">
        <v>1163</v>
      </c>
      <c r="F252" s="16">
        <f>+K135*$F$198</f>
        <v>19.389386109530339</v>
      </c>
      <c r="G252" s="227">
        <v>3</v>
      </c>
      <c r="H252" s="227">
        <v>4</v>
      </c>
      <c r="I252" s="16">
        <f>+(F252*G252*H252)+(F252*H252)+(F252*2)</f>
        <v>349.00894997154609</v>
      </c>
      <c r="J252" s="16">
        <f t="shared" si="58"/>
        <v>184.19916804053821</v>
      </c>
      <c r="K252" s="16">
        <f t="shared" si="59"/>
        <v>19.389386109530339</v>
      </c>
      <c r="L252" s="16">
        <f t="shared" si="60"/>
        <v>19.389386109530339</v>
      </c>
      <c r="M252" s="16">
        <f t="shared" si="61"/>
        <v>19.389386109530339</v>
      </c>
      <c r="N252" s="16">
        <f t="shared" si="62"/>
        <v>29.084079164295506</v>
      </c>
      <c r="O252" s="16">
        <f t="shared" si="63"/>
        <v>77.557544438121354</v>
      </c>
      <c r="P252" s="196">
        <f t="shared" si="64"/>
        <v>349.00894997154609</v>
      </c>
    </row>
    <row r="253" spans="5:16" x14ac:dyDescent="0.25">
      <c r="E253" s="1" t="s">
        <v>1164</v>
      </c>
      <c r="F253" s="16">
        <f>+M135*$F$244</f>
        <v>22.000234140120561</v>
      </c>
      <c r="G253" s="23">
        <v>5</v>
      </c>
      <c r="H253" s="227">
        <v>5</v>
      </c>
      <c r="I253" s="16">
        <f>+(F253*G253*H253)+(F253*H253)+(F253*1)</f>
        <v>682.00725834373759</v>
      </c>
      <c r="J253" s="16">
        <f t="shared" si="58"/>
        <v>359.94827523697262</v>
      </c>
      <c r="K253" s="16">
        <f t="shared" si="59"/>
        <v>37.889292130207643</v>
      </c>
      <c r="L253" s="16">
        <f t="shared" si="60"/>
        <v>37.889292130207643</v>
      </c>
      <c r="M253" s="16">
        <f t="shared" si="61"/>
        <v>37.889292130207643</v>
      </c>
      <c r="N253" s="16">
        <f t="shared" si="62"/>
        <v>56.833938195311461</v>
      </c>
      <c r="O253" s="16">
        <f t="shared" si="63"/>
        <v>151.55716852083057</v>
      </c>
      <c r="P253" s="196">
        <f t="shared" si="64"/>
        <v>682.00725834373759</v>
      </c>
    </row>
    <row r="254" spans="5:16" x14ac:dyDescent="0.25">
      <c r="E254" s="1" t="s">
        <v>1165</v>
      </c>
      <c r="F254" s="16">
        <f>+M135*$F$244</f>
        <v>22.000234140120561</v>
      </c>
      <c r="G254" s="227">
        <v>3</v>
      </c>
      <c r="H254" s="227">
        <v>4</v>
      </c>
      <c r="I254" s="16">
        <f>+(F254*G254*H254)+(F254*H254)+(F254*1)</f>
        <v>374.00398038204952</v>
      </c>
      <c r="J254" s="16">
        <f t="shared" si="58"/>
        <v>197.39098964608169</v>
      </c>
      <c r="K254" s="16">
        <f t="shared" si="59"/>
        <v>20.777998910113862</v>
      </c>
      <c r="L254" s="16">
        <f t="shared" si="60"/>
        <v>20.777998910113862</v>
      </c>
      <c r="M254" s="16">
        <f t="shared" si="61"/>
        <v>20.777998910113862</v>
      </c>
      <c r="N254" s="16">
        <f t="shared" si="62"/>
        <v>31.166998365170791</v>
      </c>
      <c r="O254" s="16">
        <f t="shared" si="63"/>
        <v>83.111995640455447</v>
      </c>
      <c r="P254" s="196">
        <f t="shared" si="64"/>
        <v>374.00398038204952</v>
      </c>
    </row>
    <row r="255" spans="5:16" x14ac:dyDescent="0.25">
      <c r="E255" s="1" t="s">
        <v>1166</v>
      </c>
      <c r="F255" s="16">
        <f>+N135*$F$244</f>
        <v>21.309127308493743</v>
      </c>
      <c r="G255" s="227">
        <v>3</v>
      </c>
      <c r="H255" s="227">
        <v>4</v>
      </c>
      <c r="I255" s="16">
        <f t="shared" si="65"/>
        <v>340.94603693589988</v>
      </c>
      <c r="J255" s="16">
        <f t="shared" si="58"/>
        <v>179.9437417161694</v>
      </c>
      <c r="K255" s="16">
        <f t="shared" si="59"/>
        <v>18.941446496438882</v>
      </c>
      <c r="L255" s="16">
        <f t="shared" si="60"/>
        <v>18.941446496438882</v>
      </c>
      <c r="M255" s="16">
        <f t="shared" si="61"/>
        <v>18.941446496438882</v>
      </c>
      <c r="N255" s="16">
        <f t="shared" si="62"/>
        <v>28.412169744658321</v>
      </c>
      <c r="O255" s="16">
        <f t="shared" si="63"/>
        <v>75.765785985755528</v>
      </c>
      <c r="P255" s="196">
        <f t="shared" si="64"/>
        <v>340.94603693589994</v>
      </c>
    </row>
    <row r="256" spans="5:16" x14ac:dyDescent="0.25">
      <c r="E256" s="1" t="s">
        <v>1167</v>
      </c>
      <c r="F256" s="16">
        <f>+O135*$F$244</f>
        <v>21.424311780431548</v>
      </c>
      <c r="G256" s="227">
        <v>3</v>
      </c>
      <c r="H256" s="227">
        <v>5</v>
      </c>
      <c r="I256" s="16">
        <f>+(F256*G256*H256)+(F256*H256)+(F256*1)</f>
        <v>449.91054738906251</v>
      </c>
      <c r="J256" s="16">
        <f t="shared" si="58"/>
        <v>237.452788899783</v>
      </c>
      <c r="K256" s="16">
        <f t="shared" si="59"/>
        <v>24.995030410503471</v>
      </c>
      <c r="L256" s="16">
        <f t="shared" si="60"/>
        <v>24.995030410503471</v>
      </c>
      <c r="M256" s="16">
        <f t="shared" si="61"/>
        <v>24.995030410503471</v>
      </c>
      <c r="N256" s="16">
        <f t="shared" si="62"/>
        <v>37.492545615755205</v>
      </c>
      <c r="O256" s="16">
        <f t="shared" si="63"/>
        <v>99.980121642013884</v>
      </c>
      <c r="P256" s="196">
        <f t="shared" si="64"/>
        <v>449.91054738906257</v>
      </c>
    </row>
    <row r="257" spans="5:20" x14ac:dyDescent="0.25">
      <c r="E257" s="1" t="s">
        <v>1168</v>
      </c>
      <c r="F257" s="16">
        <f>+P135*$F$198</f>
        <v>21.808260020224228</v>
      </c>
      <c r="G257" s="227">
        <v>3</v>
      </c>
      <c r="H257" s="227">
        <v>4</v>
      </c>
      <c r="I257" s="16">
        <f>+(F257*G257*H257)+(F257*H257)+(F257*2)</f>
        <v>392.5486803640361</v>
      </c>
      <c r="J257" s="16">
        <f t="shared" si="58"/>
        <v>207.17847019213016</v>
      </c>
      <c r="K257" s="16">
        <f t="shared" si="59"/>
        <v>21.808260020224228</v>
      </c>
      <c r="L257" s="16">
        <f t="shared" si="60"/>
        <v>21.808260020224228</v>
      </c>
      <c r="M257" s="16">
        <f t="shared" si="61"/>
        <v>21.808260020224228</v>
      </c>
      <c r="N257" s="16">
        <f t="shared" si="62"/>
        <v>32.712390030336337</v>
      </c>
      <c r="O257" s="16">
        <f t="shared" si="63"/>
        <v>87.233040080896913</v>
      </c>
      <c r="P257" s="196">
        <f t="shared" si="64"/>
        <v>392.5486803640361</v>
      </c>
    </row>
    <row r="258" spans="5:20" x14ac:dyDescent="0.25">
      <c r="E258" s="1" t="s">
        <v>1175</v>
      </c>
      <c r="F258" s="16">
        <f>+F244*Q135</f>
        <v>19.197411989633999</v>
      </c>
      <c r="G258" s="23">
        <v>5</v>
      </c>
      <c r="H258" s="227">
        <v>5</v>
      </c>
      <c r="I258" s="16">
        <f t="shared" si="65"/>
        <v>575.92235968901991</v>
      </c>
      <c r="J258" s="16">
        <f t="shared" si="58"/>
        <v>303.95902316920495</v>
      </c>
      <c r="K258" s="16">
        <f t="shared" si="59"/>
        <v>31.995686649389995</v>
      </c>
      <c r="L258" s="16">
        <f t="shared" si="60"/>
        <v>31.995686649389995</v>
      </c>
      <c r="M258" s="16">
        <f t="shared" si="61"/>
        <v>31.995686649389995</v>
      </c>
      <c r="N258" s="16">
        <f t="shared" si="62"/>
        <v>47.993529974084993</v>
      </c>
      <c r="O258" s="16">
        <f t="shared" si="63"/>
        <v>127.98274659755998</v>
      </c>
      <c r="P258" s="196">
        <f t="shared" si="64"/>
        <v>575.92235968901991</v>
      </c>
    </row>
    <row r="259" spans="5:20" x14ac:dyDescent="0.25">
      <c r="E259" s="1"/>
      <c r="F259" s="16"/>
      <c r="G259" s="227"/>
      <c r="H259" s="227"/>
      <c r="I259" s="227"/>
      <c r="J259" s="16"/>
      <c r="K259" s="1"/>
      <c r="L259" s="1"/>
      <c r="M259" s="1"/>
      <c r="N259" s="1"/>
      <c r="O259" s="1"/>
      <c r="P259" s="195"/>
    </row>
    <row r="260" spans="5:20" x14ac:dyDescent="0.25">
      <c r="E260" s="6" t="s">
        <v>1205</v>
      </c>
      <c r="F260" s="184">
        <f>+SUM(F247:F258)</f>
        <v>244.38305462804081</v>
      </c>
      <c r="G260" s="6"/>
      <c r="H260" s="6">
        <f>+SUM(H247:H258)</f>
        <v>52</v>
      </c>
      <c r="I260" s="184">
        <f>+SUM(I247:I258)</f>
        <v>5058.1725058527463</v>
      </c>
      <c r="J260" s="184">
        <f>+SUM(J247:J258)</f>
        <v>2669.5910447556162</v>
      </c>
      <c r="K260" s="184">
        <f>+SUM(K247:K258)</f>
        <v>281.00958365848589</v>
      </c>
      <c r="L260" s="184">
        <f t="shared" ref="L260:P260" si="66">+SUM(L247:L258)</f>
        <v>281.00958365848589</v>
      </c>
      <c r="M260" s="184">
        <f t="shared" si="66"/>
        <v>281.00958365848589</v>
      </c>
      <c r="N260" s="184">
        <f t="shared" si="66"/>
        <v>421.51437548772884</v>
      </c>
      <c r="O260" s="184">
        <f t="shared" si="66"/>
        <v>1124.0383346339436</v>
      </c>
      <c r="P260" s="197">
        <f t="shared" si="66"/>
        <v>5058.1725058527463</v>
      </c>
    </row>
    <row r="261" spans="5:20" x14ac:dyDescent="0.25">
      <c r="F261" s="202"/>
    </row>
    <row r="262" spans="5:20" x14ac:dyDescent="0.25">
      <c r="E262" s="3" t="s">
        <v>1178</v>
      </c>
    </row>
    <row r="263" spans="5:20" x14ac:dyDescent="0.25">
      <c r="E263" s="3" t="s">
        <v>1403</v>
      </c>
    </row>
    <row r="265" spans="5:20" x14ac:dyDescent="0.25">
      <c r="E265" s="12" t="s">
        <v>1404</v>
      </c>
      <c r="J265" s="710" t="s">
        <v>1813</v>
      </c>
      <c r="K265" s="710"/>
      <c r="L265" s="710"/>
      <c r="M265" s="710"/>
      <c r="N265" s="710"/>
      <c r="O265" s="710"/>
    </row>
    <row r="266" spans="5:20" x14ac:dyDescent="0.25">
      <c r="E266" s="12"/>
      <c r="J266" s="226"/>
      <c r="K266" s="226"/>
      <c r="L266" s="226"/>
      <c r="M266" s="226"/>
      <c r="N266" s="226"/>
      <c r="O266" s="226"/>
      <c r="T266" s="321" t="s">
        <v>1411</v>
      </c>
    </row>
    <row r="267" spans="5:20" x14ac:dyDescent="0.25">
      <c r="J267" s="128" t="str">
        <f>+J245</f>
        <v xml:space="preserve">Casa colonial </v>
      </c>
      <c r="K267" s="128" t="str">
        <f>+K245</f>
        <v xml:space="preserve">Casa en el árbol en bambú de lujo frente al río Deluxe  </v>
      </c>
      <c r="L267" s="128" t="str">
        <f>+L245</f>
        <v xml:space="preserve">Casa en el árbol en bambú frente al río Superiores </v>
      </c>
      <c r="M267" s="128" t="str">
        <f>+M245</f>
        <v xml:space="preserve">Casa en el árbol en bambú  suite </v>
      </c>
      <c r="N267" s="128" t="str">
        <f>+N245</f>
        <v>Casa en el árbol en bambú sencillo</v>
      </c>
      <c r="O267" s="128" t="s">
        <v>1185</v>
      </c>
      <c r="P267" s="128" t="s">
        <v>1196</v>
      </c>
      <c r="R267" s="128" t="s">
        <v>1405</v>
      </c>
      <c r="S267" s="128" t="s">
        <v>1406</v>
      </c>
      <c r="T267" s="128" t="str">
        <f>+T221</f>
        <v xml:space="preserve">RevPAR -Febrero 2020-ANTIOQUIA </v>
      </c>
    </row>
    <row r="268" spans="5:20" x14ac:dyDescent="0.25">
      <c r="I268" s="128" t="s">
        <v>1157</v>
      </c>
      <c r="J268" s="188">
        <f>+(J222*$C$76)+J222</f>
        <v>463815.50459751801</v>
      </c>
      <c r="K268" s="188">
        <f>+(K222*$C$76)+K222</f>
        <v>929961.74037391809</v>
      </c>
      <c r="L268" s="188">
        <f t="shared" ref="L268:O268" si="67">+(L222*$C$76)+L222</f>
        <v>580352.06354161806</v>
      </c>
      <c r="M268" s="188">
        <f t="shared" si="67"/>
        <v>580352.06354161806</v>
      </c>
      <c r="N268" s="188">
        <f t="shared" si="67"/>
        <v>580352.06354161806</v>
      </c>
      <c r="O268" s="188">
        <f t="shared" si="67"/>
        <v>908985.15976397996</v>
      </c>
    </row>
    <row r="269" spans="5:20" x14ac:dyDescent="0.25">
      <c r="I269" s="1" t="s">
        <v>1158</v>
      </c>
      <c r="J269" s="2">
        <f>+$J$268*J247</f>
        <v>121939086.44040687</v>
      </c>
      <c r="K269" s="2">
        <f>+$K$268*K247</f>
        <v>25735887.590437632</v>
      </c>
      <c r="L269" s="2">
        <f>+$L$268*L247</f>
        <v>16060741.879746793</v>
      </c>
      <c r="M269" s="2">
        <f>+$M$268*M247</f>
        <v>16060741.879746793</v>
      </c>
      <c r="N269" s="2">
        <f>+$N$268*N247</f>
        <v>24091112.819620192</v>
      </c>
      <c r="O269" s="2">
        <f>+$O$268*O247</f>
        <v>100621515.39118472</v>
      </c>
      <c r="P269" s="189">
        <f>+SUM(J269:O269)</f>
        <v>304509086.00114298</v>
      </c>
      <c r="R269" s="308">
        <f>+P269/($F$153*30)</f>
        <v>281952.8574084657</v>
      </c>
      <c r="S269" s="729">
        <f>+AVERAGE(R269:R280)</f>
        <v>238584.54979091953</v>
      </c>
      <c r="T269" s="729">
        <f>+$T$178</f>
        <v>149314</v>
      </c>
    </row>
    <row r="270" spans="5:20" x14ac:dyDescent="0.25">
      <c r="I270" s="1" t="s">
        <v>1159</v>
      </c>
      <c r="J270" s="2">
        <f t="shared" ref="J270:J280" si="68">+$J$268*J248</f>
        <v>56166793.630944289</v>
      </c>
      <c r="K270" s="2">
        <f t="shared" ref="K270:K280" si="69">+$K$268*K248</f>
        <v>11854298.153264625</v>
      </c>
      <c r="L270" s="2">
        <f t="shared" ref="L270:L280" si="70">+$L$268*L248</f>
        <v>7397795.0881275479</v>
      </c>
      <c r="M270" s="2">
        <f t="shared" ref="M270:M280" si="71">+$M$268*M248</f>
        <v>7397795.0881275479</v>
      </c>
      <c r="N270" s="2">
        <f t="shared" ref="N270:N280" si="72">+$N$268*N248</f>
        <v>11096692.632191321</v>
      </c>
      <c r="O270" s="2">
        <f t="shared" ref="O270:O280" si="73">+$O$268*O248</f>
        <v>46347631.877425589</v>
      </c>
      <c r="P270" s="189">
        <f t="shared" ref="P270:P280" si="74">+SUM(J270:O270)</f>
        <v>140261006.47008091</v>
      </c>
      <c r="R270" s="308">
        <f>+P270/($F$153*30)</f>
        <v>129871.30228711196</v>
      </c>
      <c r="S270" s="730"/>
      <c r="T270" s="730"/>
    </row>
    <row r="271" spans="5:20" x14ac:dyDescent="0.25">
      <c r="I271" s="1" t="s">
        <v>1172</v>
      </c>
      <c r="J271" s="2">
        <f t="shared" si="68"/>
        <v>64757230.273963556</v>
      </c>
      <c r="K271" s="2">
        <f t="shared" si="69"/>
        <v>13667355.133198339</v>
      </c>
      <c r="L271" s="2">
        <f t="shared" si="70"/>
        <v>8529251.6996651292</v>
      </c>
      <c r="M271" s="2">
        <f t="shared" si="71"/>
        <v>8529251.6996651292</v>
      </c>
      <c r="N271" s="2">
        <f t="shared" si="72"/>
        <v>12793877.549497694</v>
      </c>
      <c r="O271" s="2">
        <f t="shared" si="73"/>
        <v>53436275.708745375</v>
      </c>
      <c r="P271" s="189">
        <f t="shared" si="74"/>
        <v>161713242.06473523</v>
      </c>
      <c r="R271" s="308">
        <f t="shared" ref="R271:R280" si="75">+P271/($F$153*30)</f>
        <v>149734.48339327337</v>
      </c>
      <c r="S271" s="730"/>
      <c r="T271" s="730"/>
    </row>
    <row r="272" spans="5:20" x14ac:dyDescent="0.25">
      <c r="I272" s="1" t="s">
        <v>1173</v>
      </c>
      <c r="J272" s="2">
        <f t="shared" si="68"/>
        <v>138443251.36944604</v>
      </c>
      <c r="K272" s="2">
        <f t="shared" si="69"/>
        <v>29219178.68098861</v>
      </c>
      <c r="L272" s="2">
        <f t="shared" si="70"/>
        <v>18234525.04151921</v>
      </c>
      <c r="M272" s="2">
        <f t="shared" si="71"/>
        <v>18234525.04151921</v>
      </c>
      <c r="N272" s="2">
        <f t="shared" si="72"/>
        <v>27351787.562278811</v>
      </c>
      <c r="O272" s="2">
        <f t="shared" si="73"/>
        <v>114240397.85048178</v>
      </c>
      <c r="P272" s="189">
        <f t="shared" si="74"/>
        <v>345723665.54623365</v>
      </c>
      <c r="R272" s="308">
        <f t="shared" si="75"/>
        <v>320114.50513540156</v>
      </c>
      <c r="S272" s="730"/>
      <c r="T272" s="730"/>
    </row>
    <row r="273" spans="5:20" x14ac:dyDescent="0.25">
      <c r="I273" s="1" t="s">
        <v>1174</v>
      </c>
      <c r="J273" s="2">
        <f t="shared" si="68"/>
        <v>82285856.465682283</v>
      </c>
      <c r="K273" s="2">
        <f t="shared" si="69"/>
        <v>17366864.178686716</v>
      </c>
      <c r="L273" s="2">
        <f t="shared" si="70"/>
        <v>10837967.870909754</v>
      </c>
      <c r="M273" s="2">
        <f t="shared" si="71"/>
        <v>10837967.870909754</v>
      </c>
      <c r="N273" s="2">
        <f t="shared" si="72"/>
        <v>16256951.806364631</v>
      </c>
      <c r="O273" s="2">
        <f t="shared" si="73"/>
        <v>67900521.600880384</v>
      </c>
      <c r="P273" s="189">
        <f t="shared" si="74"/>
        <v>205486129.79343352</v>
      </c>
      <c r="R273" s="308">
        <f t="shared" si="75"/>
        <v>190264.93499391992</v>
      </c>
      <c r="S273" s="730"/>
      <c r="T273" s="730"/>
    </row>
    <row r="274" spans="5:20" x14ac:dyDescent="0.25">
      <c r="I274" s="1" t="s">
        <v>1163</v>
      </c>
      <c r="J274" s="2">
        <f t="shared" si="68"/>
        <v>85434430.071165249</v>
      </c>
      <c r="K274" s="2">
        <f t="shared" si="69"/>
        <v>18031387.251200706</v>
      </c>
      <c r="L274" s="2">
        <f t="shared" si="70"/>
        <v>11252670.239471117</v>
      </c>
      <c r="M274" s="2">
        <f t="shared" si="71"/>
        <v>11252670.239471117</v>
      </c>
      <c r="N274" s="2">
        <f t="shared" si="72"/>
        <v>16879005.359206676</v>
      </c>
      <c r="O274" s="2">
        <f t="shared" si="73"/>
        <v>70498656.921987712</v>
      </c>
      <c r="P274" s="189">
        <f t="shared" si="74"/>
        <v>213348820.0825026</v>
      </c>
      <c r="R274" s="308">
        <f t="shared" si="75"/>
        <v>197545.20378009501</v>
      </c>
      <c r="S274" s="730"/>
      <c r="T274" s="730"/>
    </row>
    <row r="275" spans="5:20" x14ac:dyDescent="0.25">
      <c r="I275" s="1" t="s">
        <v>1164</v>
      </c>
      <c r="J275" s="2">
        <f t="shared" si="68"/>
        <v>166949590.90804276</v>
      </c>
      <c r="K275" s="2">
        <f t="shared" si="69"/>
        <v>35235592.050943695</v>
      </c>
      <c r="L275" s="2">
        <f t="shared" si="70"/>
        <v>21989128.873897195</v>
      </c>
      <c r="M275" s="2">
        <f t="shared" si="71"/>
        <v>21989128.873897195</v>
      </c>
      <c r="N275" s="2">
        <f t="shared" si="72"/>
        <v>32983693.310845792</v>
      </c>
      <c r="O275" s="2">
        <f t="shared" si="73"/>
        <v>137763217.04128361</v>
      </c>
      <c r="P275" s="189">
        <f t="shared" si="74"/>
        <v>416910351.05891025</v>
      </c>
      <c r="R275" s="308">
        <f t="shared" si="75"/>
        <v>386028.10283232428</v>
      </c>
      <c r="S275" s="730"/>
      <c r="T275" s="730"/>
    </row>
    <row r="276" spans="5:20" x14ac:dyDescent="0.25">
      <c r="I276" s="1" t="s">
        <v>1165</v>
      </c>
      <c r="J276" s="2">
        <f t="shared" si="68"/>
        <v>91553001.465700835</v>
      </c>
      <c r="K276" s="2">
        <f t="shared" si="69"/>
        <v>19322744.027936861</v>
      </c>
      <c r="L276" s="2">
        <f t="shared" si="70"/>
        <v>12058554.54375007</v>
      </c>
      <c r="M276" s="2">
        <f t="shared" si="71"/>
        <v>12058554.54375007</v>
      </c>
      <c r="N276" s="2">
        <f t="shared" si="72"/>
        <v>18087831.815625105</v>
      </c>
      <c r="O276" s="2">
        <f t="shared" si="73"/>
        <v>75547570.635542601</v>
      </c>
      <c r="P276" s="189">
        <f t="shared" si="74"/>
        <v>228628257.03230554</v>
      </c>
      <c r="R276" s="308">
        <f t="shared" si="75"/>
        <v>211692.83058546809</v>
      </c>
      <c r="S276" s="730"/>
      <c r="T276" s="730"/>
    </row>
    <row r="277" spans="5:20" x14ac:dyDescent="0.25">
      <c r="I277" s="1" t="s">
        <v>1166</v>
      </c>
      <c r="J277" s="2">
        <f t="shared" si="68"/>
        <v>83460697.363250569</v>
      </c>
      <c r="K277" s="2">
        <f t="shared" si="69"/>
        <v>17614820.549027756</v>
      </c>
      <c r="L277" s="2">
        <f t="shared" si="70"/>
        <v>10992707.560671456</v>
      </c>
      <c r="M277" s="2">
        <f t="shared" si="71"/>
        <v>10992707.560671456</v>
      </c>
      <c r="N277" s="2">
        <f t="shared" si="72"/>
        <v>16489061.341007184</v>
      </c>
      <c r="O277" s="2">
        <f t="shared" si="73"/>
        <v>68869975.078905508</v>
      </c>
      <c r="P277" s="189">
        <f t="shared" si="74"/>
        <v>208419969.45353389</v>
      </c>
      <c r="R277" s="308">
        <f t="shared" si="75"/>
        <v>192981.45319771656</v>
      </c>
      <c r="S277" s="730"/>
      <c r="T277" s="730"/>
    </row>
    <row r="278" spans="5:20" x14ac:dyDescent="0.25">
      <c r="I278" s="1" t="s">
        <v>1167</v>
      </c>
      <c r="J278" s="2">
        <f t="shared" si="68"/>
        <v>110134285.10164078</v>
      </c>
      <c r="K278" s="2">
        <f t="shared" si="69"/>
        <v>23244421.981250815</v>
      </c>
      <c r="L278" s="2">
        <f t="shared" si="70"/>
        <v>14505917.477021186</v>
      </c>
      <c r="M278" s="2">
        <f t="shared" si="71"/>
        <v>14505917.477021186</v>
      </c>
      <c r="N278" s="2">
        <f t="shared" si="72"/>
        <v>21758876.215531778</v>
      </c>
      <c r="O278" s="2">
        <f t="shared" si="73"/>
        <v>90880446.843988135</v>
      </c>
      <c r="P278" s="189">
        <f t="shared" si="74"/>
        <v>275029865.09645385</v>
      </c>
      <c r="R278" s="308">
        <f t="shared" si="75"/>
        <v>254657.28249671654</v>
      </c>
      <c r="S278" s="730"/>
      <c r="T278" s="730"/>
    </row>
    <row r="279" spans="5:20" x14ac:dyDescent="0.25">
      <c r="I279" s="1" t="s">
        <v>1168</v>
      </c>
      <c r="J279" s="2">
        <f t="shared" si="68"/>
        <v>96092586.693904698</v>
      </c>
      <c r="K279" s="2">
        <f t="shared" si="69"/>
        <v>20280847.442934662</v>
      </c>
      <c r="L279" s="2">
        <f t="shared" si="70"/>
        <v>12656468.704989299</v>
      </c>
      <c r="M279" s="2">
        <f t="shared" si="71"/>
        <v>12656468.704989299</v>
      </c>
      <c r="N279" s="2">
        <f t="shared" si="72"/>
        <v>18984703.057483949</v>
      </c>
      <c r="O279" s="2">
        <f t="shared" si="73"/>
        <v>79293538.874631748</v>
      </c>
      <c r="P279" s="189">
        <f t="shared" si="74"/>
        <v>239964613.47893363</v>
      </c>
      <c r="R279" s="308">
        <f t="shared" si="75"/>
        <v>222189.45692493854</v>
      </c>
      <c r="S279" s="730"/>
      <c r="T279" s="730"/>
    </row>
    <row r="280" spans="5:20" x14ac:dyDescent="0.25">
      <c r="I280" s="1" t="s">
        <v>1175</v>
      </c>
      <c r="J280" s="2">
        <f t="shared" si="68"/>
        <v>140980907.70819345</v>
      </c>
      <c r="K280" s="2">
        <f t="shared" si="69"/>
        <v>29754764.440925255</v>
      </c>
      <c r="L280" s="2">
        <f t="shared" si="70"/>
        <v>18568762.771404482</v>
      </c>
      <c r="M280" s="2">
        <f t="shared" si="71"/>
        <v>18568762.771404482</v>
      </c>
      <c r="N280" s="2">
        <f t="shared" si="72"/>
        <v>27853144.157106724</v>
      </c>
      <c r="O280" s="2">
        <f t="shared" si="73"/>
        <v>116334417.36301602</v>
      </c>
      <c r="P280" s="189">
        <f t="shared" si="74"/>
        <v>352060759.21205044</v>
      </c>
      <c r="R280" s="308">
        <f t="shared" si="75"/>
        <v>325982.18445560226</v>
      </c>
      <c r="S280" s="730"/>
      <c r="T280" s="730"/>
    </row>
    <row r="281" spans="5:20" x14ac:dyDescent="0.25">
      <c r="I281" s="1"/>
      <c r="J281" s="1"/>
      <c r="K281" s="1"/>
      <c r="L281" s="1"/>
      <c r="M281" s="1"/>
      <c r="N281" s="1"/>
      <c r="O281" s="1"/>
    </row>
    <row r="282" spans="5:20" x14ac:dyDescent="0.25">
      <c r="I282" s="4" t="s">
        <v>573</v>
      </c>
      <c r="J282" s="189">
        <f t="shared" ref="J282:N282" si="76">+SUM(J269:J280)</f>
        <v>1238197717.4923415</v>
      </c>
      <c r="K282" s="189">
        <f t="shared" si="76"/>
        <v>261328161.48079568</v>
      </c>
      <c r="L282" s="189">
        <f t="shared" si="76"/>
        <v>163084491.75117323</v>
      </c>
      <c r="M282" s="189">
        <f t="shared" si="76"/>
        <v>163084491.75117323</v>
      </c>
      <c r="N282" s="189">
        <f t="shared" si="76"/>
        <v>244626737.62675983</v>
      </c>
      <c r="O282" s="189">
        <f>+SUM(O269:O280)</f>
        <v>1021734165.1880733</v>
      </c>
    </row>
    <row r="283" spans="5:20" x14ac:dyDescent="0.25">
      <c r="I283" s="190" t="s">
        <v>1186</v>
      </c>
      <c r="J283" s="711">
        <f>+SUM(J282:O282)</f>
        <v>3092055765.2903166</v>
      </c>
      <c r="K283" s="712"/>
      <c r="L283" s="712"/>
      <c r="M283" s="712"/>
      <c r="N283" s="712"/>
      <c r="O283" s="713"/>
      <c r="P283" s="189">
        <f>+SUM(P269:P280)</f>
        <v>3092055765.2903166</v>
      </c>
    </row>
    <row r="288" spans="5:20" x14ac:dyDescent="0.25">
      <c r="E288" s="707" t="s">
        <v>1264</v>
      </c>
      <c r="F288" s="708"/>
      <c r="G288" s="709"/>
    </row>
    <row r="289" spans="5:16" x14ac:dyDescent="0.25">
      <c r="E289" s="226" t="s">
        <v>1170</v>
      </c>
      <c r="F289" s="226">
        <v>36</v>
      </c>
      <c r="G289" s="182">
        <v>1</v>
      </c>
      <c r="H289" s="68"/>
      <c r="I289" s="68"/>
      <c r="J289" s="710" t="s">
        <v>1171</v>
      </c>
      <c r="K289" s="710"/>
      <c r="L289" s="710"/>
      <c r="M289" s="710"/>
      <c r="N289" s="710"/>
      <c r="O289" s="710"/>
    </row>
    <row r="290" spans="5:16" x14ac:dyDescent="0.25">
      <c r="E290" s="128" t="s">
        <v>1157</v>
      </c>
      <c r="F290" s="128" t="s">
        <v>1180</v>
      </c>
      <c r="G290" s="128" t="s">
        <v>1177</v>
      </c>
      <c r="H290" s="128" t="s">
        <v>1176</v>
      </c>
      <c r="I290" s="128" t="s">
        <v>1179</v>
      </c>
      <c r="J290" s="128" t="str">
        <f t="shared" ref="J290:O290" si="77">+J267</f>
        <v xml:space="preserve">Casa colonial </v>
      </c>
      <c r="K290" s="128" t="str">
        <f t="shared" si="77"/>
        <v xml:space="preserve">Casa en el árbol en bambú de lujo frente al río Deluxe  </v>
      </c>
      <c r="L290" s="128" t="str">
        <f t="shared" si="77"/>
        <v xml:space="preserve">Casa en el árbol en bambú frente al río Superiores </v>
      </c>
      <c r="M290" s="128" t="str">
        <f t="shared" si="77"/>
        <v xml:space="preserve">Casa en el árbol en bambú  suite </v>
      </c>
      <c r="N290" s="128" t="str">
        <f t="shared" si="77"/>
        <v>Casa en el árbol en bambú sencillo</v>
      </c>
      <c r="O290" s="128" t="str">
        <f t="shared" si="77"/>
        <v xml:space="preserve">Bohios Pool houses  </v>
      </c>
      <c r="P290" s="128" t="s">
        <v>1196</v>
      </c>
    </row>
    <row r="291" spans="5:16" x14ac:dyDescent="0.25">
      <c r="E291" s="128"/>
      <c r="F291" s="128"/>
      <c r="G291" s="128"/>
      <c r="H291" s="128"/>
      <c r="I291" s="128"/>
      <c r="J291" s="128">
        <v>19</v>
      </c>
      <c r="K291" s="128">
        <v>2</v>
      </c>
      <c r="L291" s="128">
        <v>2</v>
      </c>
      <c r="M291" s="128">
        <v>2</v>
      </c>
      <c r="N291" s="128">
        <v>3</v>
      </c>
      <c r="O291" s="128">
        <v>8</v>
      </c>
      <c r="P291" s="194">
        <f>+SUM(J291:O291)</f>
        <v>36</v>
      </c>
    </row>
    <row r="292" spans="5:16" x14ac:dyDescent="0.25">
      <c r="E292" s="1" t="s">
        <v>1158</v>
      </c>
      <c r="F292" s="16">
        <f>+F141*$F$289</f>
        <v>19.574767838149448</v>
      </c>
      <c r="G292" s="23">
        <v>5</v>
      </c>
      <c r="H292" s="227">
        <v>4</v>
      </c>
      <c r="I292" s="16">
        <f>+(F292*G292*H292)+(F292*H292)+(F292*1)</f>
        <v>489.36919595373627</v>
      </c>
      <c r="J292" s="16">
        <f>+($J$291/$F$153)*I292</f>
        <v>258.27818675336079</v>
      </c>
      <c r="K292" s="16">
        <f>+($K$291/$F$153)*I292</f>
        <v>27.187177552985347</v>
      </c>
      <c r="L292" s="16">
        <f>+($L$291/$F$153)*I292</f>
        <v>27.187177552985347</v>
      </c>
      <c r="M292" s="16">
        <f>+($M$291/$F$153)*I292</f>
        <v>27.187177552985347</v>
      </c>
      <c r="N292" s="16">
        <f>+($N$291/$F$153)*I292</f>
        <v>40.78076632947802</v>
      </c>
      <c r="O292" s="16">
        <f>+($O$291/$F$153)*I292</f>
        <v>108.74871021194139</v>
      </c>
      <c r="P292" s="196">
        <f>+SUM(J292:O292)</f>
        <v>489.36919595373627</v>
      </c>
    </row>
    <row r="293" spans="5:16" x14ac:dyDescent="0.25">
      <c r="E293" s="1" t="s">
        <v>1159</v>
      </c>
      <c r="F293" s="16">
        <f>+G141*$F$289</f>
        <v>19.535539846489826</v>
      </c>
      <c r="G293" s="71">
        <v>2</v>
      </c>
      <c r="H293" s="227">
        <v>4</v>
      </c>
      <c r="I293" s="16">
        <f>+(F293*G293*H293)+(F293*H293)</f>
        <v>234.42647815787791</v>
      </c>
      <c r="J293" s="16">
        <f t="shared" ref="J293:J303" si="78">+($J$291/$F$153)*I293</f>
        <v>123.72508569443556</v>
      </c>
      <c r="K293" s="16">
        <f t="shared" ref="K293:K303" si="79">+($K$291/$F$153)*I293</f>
        <v>13.023693230993217</v>
      </c>
      <c r="L293" s="16">
        <f t="shared" ref="L293:L303" si="80">+($L$291/$F$153)*I293</f>
        <v>13.023693230993217</v>
      </c>
      <c r="M293" s="16">
        <f t="shared" ref="M293:M303" si="81">+($M$291/$F$153)*I293</f>
        <v>13.023693230993217</v>
      </c>
      <c r="N293" s="16">
        <f t="shared" ref="N293:N303" si="82">+($N$291/$F$153)*I293</f>
        <v>19.535539846489826</v>
      </c>
      <c r="O293" s="16">
        <f t="shared" ref="O293:O303" si="83">+($O$291/$F$153)*I293</f>
        <v>52.094772923972869</v>
      </c>
      <c r="P293" s="196">
        <f t="shared" ref="P293:P303" si="84">+SUM(J293:O293)</f>
        <v>234.42647815787791</v>
      </c>
    </row>
    <row r="294" spans="5:16" x14ac:dyDescent="0.25">
      <c r="E294" s="1" t="s">
        <v>1172</v>
      </c>
      <c r="F294" s="16">
        <f>+H141*$F$289</f>
        <v>20.790835579597605</v>
      </c>
      <c r="G294" s="71">
        <v>2</v>
      </c>
      <c r="H294" s="227">
        <v>4</v>
      </c>
      <c r="I294" s="16">
        <f>+(F294*G294*H294)+(F294*H294)+(F294*1)</f>
        <v>270.28086253476886</v>
      </c>
      <c r="J294" s="16">
        <f t="shared" si="78"/>
        <v>142.64823300446133</v>
      </c>
      <c r="K294" s="16">
        <f t="shared" si="79"/>
        <v>15.015603474153824</v>
      </c>
      <c r="L294" s="16">
        <f t="shared" si="80"/>
        <v>15.015603474153824</v>
      </c>
      <c r="M294" s="16">
        <f t="shared" si="81"/>
        <v>15.015603474153824</v>
      </c>
      <c r="N294" s="16">
        <f t="shared" si="82"/>
        <v>22.523405211230738</v>
      </c>
      <c r="O294" s="16">
        <f t="shared" si="83"/>
        <v>60.062413896615297</v>
      </c>
      <c r="P294" s="196">
        <f t="shared" si="84"/>
        <v>270.28086253476886</v>
      </c>
    </row>
    <row r="295" spans="5:16" x14ac:dyDescent="0.25">
      <c r="E295" s="1" t="s">
        <v>1173</v>
      </c>
      <c r="F295" s="16">
        <f>+I141*$F$289</f>
        <v>19.260943904872498</v>
      </c>
      <c r="G295" s="23">
        <v>5</v>
      </c>
      <c r="H295" s="227">
        <v>5</v>
      </c>
      <c r="I295" s="16">
        <f t="shared" ref="I295:I300" si="85">+(F295*G295*H295)+(F295*H295)</f>
        <v>577.82831714617498</v>
      </c>
      <c r="J295" s="16">
        <f t="shared" si="78"/>
        <v>304.96494516048125</v>
      </c>
      <c r="K295" s="16">
        <f t="shared" si="79"/>
        <v>32.101573174787497</v>
      </c>
      <c r="L295" s="16">
        <f t="shared" si="80"/>
        <v>32.101573174787497</v>
      </c>
      <c r="M295" s="16">
        <f t="shared" si="81"/>
        <v>32.101573174787497</v>
      </c>
      <c r="N295" s="16">
        <f t="shared" si="82"/>
        <v>48.152359762181248</v>
      </c>
      <c r="O295" s="16">
        <f t="shared" si="83"/>
        <v>128.40629269914999</v>
      </c>
      <c r="P295" s="196">
        <f t="shared" si="84"/>
        <v>577.82831714617498</v>
      </c>
    </row>
    <row r="296" spans="5:16" x14ac:dyDescent="0.25">
      <c r="E296" s="1" t="s">
        <v>1174</v>
      </c>
      <c r="F296" s="16">
        <f>+J141*$F$289</f>
        <v>20.202415704703334</v>
      </c>
      <c r="G296" s="227">
        <v>3</v>
      </c>
      <c r="H296" s="227">
        <v>4</v>
      </c>
      <c r="I296" s="16">
        <f t="shared" si="85"/>
        <v>323.23865127525335</v>
      </c>
      <c r="J296" s="16">
        <f t="shared" si="78"/>
        <v>170.59817706193928</v>
      </c>
      <c r="K296" s="16">
        <f t="shared" si="79"/>
        <v>17.957702848625186</v>
      </c>
      <c r="L296" s="16">
        <f t="shared" si="80"/>
        <v>17.957702848625186</v>
      </c>
      <c r="M296" s="16">
        <f t="shared" si="81"/>
        <v>17.957702848625186</v>
      </c>
      <c r="N296" s="16">
        <f t="shared" si="82"/>
        <v>26.936554272937776</v>
      </c>
      <c r="O296" s="16">
        <f t="shared" si="83"/>
        <v>71.830811394500742</v>
      </c>
      <c r="P296" s="196">
        <f t="shared" si="84"/>
        <v>323.23865127525335</v>
      </c>
    </row>
    <row r="297" spans="5:16" x14ac:dyDescent="0.25">
      <c r="E297" s="1" t="s">
        <v>1163</v>
      </c>
      <c r="F297" s="16">
        <f>+K141*$F$289</f>
        <v>19.81013578810715</v>
      </c>
      <c r="G297" s="227">
        <v>3</v>
      </c>
      <c r="H297" s="227">
        <v>4</v>
      </c>
      <c r="I297" s="16">
        <f>+(F297*G297*H297)+(F297*H297)+(F297*3)</f>
        <v>376.39257997403587</v>
      </c>
      <c r="J297" s="16">
        <f t="shared" si="78"/>
        <v>198.65163943074117</v>
      </c>
      <c r="K297" s="16">
        <f t="shared" si="79"/>
        <v>20.910698887446436</v>
      </c>
      <c r="L297" s="16">
        <f t="shared" si="80"/>
        <v>20.910698887446436</v>
      </c>
      <c r="M297" s="16">
        <f t="shared" si="81"/>
        <v>20.910698887446436</v>
      </c>
      <c r="N297" s="16">
        <f t="shared" si="82"/>
        <v>31.366048331169655</v>
      </c>
      <c r="O297" s="16">
        <f t="shared" si="83"/>
        <v>83.642795549785745</v>
      </c>
      <c r="P297" s="196">
        <f t="shared" si="84"/>
        <v>376.39257997403593</v>
      </c>
    </row>
    <row r="298" spans="5:16" x14ac:dyDescent="0.25">
      <c r="E298" s="1" t="s">
        <v>1164</v>
      </c>
      <c r="F298" s="16">
        <f>+L141*$F$289</f>
        <v>21.379255454491879</v>
      </c>
      <c r="G298" s="23">
        <v>5</v>
      </c>
      <c r="H298" s="227">
        <v>5</v>
      </c>
      <c r="I298" s="16">
        <f t="shared" si="85"/>
        <v>641.37766363475646</v>
      </c>
      <c r="J298" s="16">
        <f t="shared" si="78"/>
        <v>338.5048780294548</v>
      </c>
      <c r="K298" s="16">
        <f t="shared" si="79"/>
        <v>35.632092424153136</v>
      </c>
      <c r="L298" s="16">
        <f t="shared" si="80"/>
        <v>35.632092424153136</v>
      </c>
      <c r="M298" s="16">
        <f t="shared" si="81"/>
        <v>35.632092424153136</v>
      </c>
      <c r="N298" s="16">
        <f t="shared" si="82"/>
        <v>53.4481386362297</v>
      </c>
      <c r="O298" s="16">
        <f t="shared" si="83"/>
        <v>142.52836969661254</v>
      </c>
      <c r="P298" s="196">
        <f t="shared" si="84"/>
        <v>641.37766363475646</v>
      </c>
    </row>
    <row r="299" spans="5:16" x14ac:dyDescent="0.25">
      <c r="E299" s="1" t="s">
        <v>1165</v>
      </c>
      <c r="F299" s="16">
        <f>+M141*$F$289</f>
        <v>22.47763922096118</v>
      </c>
      <c r="G299" s="227">
        <v>3</v>
      </c>
      <c r="H299" s="227">
        <v>4</v>
      </c>
      <c r="I299" s="16">
        <f>+(F299*G299*H299)+(F299*H299)+(F299*1)</f>
        <v>382.11986675634006</v>
      </c>
      <c r="J299" s="16">
        <f t="shared" si="78"/>
        <v>201.67437412140171</v>
      </c>
      <c r="K299" s="16">
        <f t="shared" si="79"/>
        <v>21.228881486463337</v>
      </c>
      <c r="L299" s="16">
        <f t="shared" si="80"/>
        <v>21.228881486463337</v>
      </c>
      <c r="M299" s="16">
        <f t="shared" si="81"/>
        <v>21.228881486463337</v>
      </c>
      <c r="N299" s="16">
        <f t="shared" si="82"/>
        <v>31.843322229695005</v>
      </c>
      <c r="O299" s="16">
        <f t="shared" si="83"/>
        <v>84.915525945853346</v>
      </c>
      <c r="P299" s="196">
        <f t="shared" si="84"/>
        <v>382.11986675634006</v>
      </c>
    </row>
    <row r="300" spans="5:16" x14ac:dyDescent="0.25">
      <c r="E300" s="1" t="s">
        <v>1166</v>
      </c>
      <c r="F300" s="16">
        <f>+N141*$F$289</f>
        <v>21.771535371088056</v>
      </c>
      <c r="G300" s="227">
        <v>3</v>
      </c>
      <c r="H300" s="227">
        <v>4</v>
      </c>
      <c r="I300" s="16">
        <f t="shared" si="85"/>
        <v>348.3445659374089</v>
      </c>
      <c r="J300" s="16">
        <f t="shared" si="78"/>
        <v>183.84852091141025</v>
      </c>
      <c r="K300" s="16">
        <f t="shared" si="79"/>
        <v>19.352475885411604</v>
      </c>
      <c r="L300" s="16">
        <f t="shared" si="80"/>
        <v>19.352475885411604</v>
      </c>
      <c r="M300" s="16">
        <f t="shared" si="81"/>
        <v>19.352475885411604</v>
      </c>
      <c r="N300" s="16">
        <f t="shared" si="82"/>
        <v>29.028713828117407</v>
      </c>
      <c r="O300" s="16">
        <f t="shared" si="83"/>
        <v>77.409903541646415</v>
      </c>
      <c r="P300" s="196">
        <f t="shared" si="84"/>
        <v>348.34456593740885</v>
      </c>
    </row>
    <row r="301" spans="5:16" x14ac:dyDescent="0.25">
      <c r="E301" s="1" t="s">
        <v>1167</v>
      </c>
      <c r="F301" s="16">
        <f>+O141*$F$289</f>
        <v>21.889219346066916</v>
      </c>
      <c r="G301" s="227">
        <v>3</v>
      </c>
      <c r="H301" s="227">
        <v>5</v>
      </c>
      <c r="I301" s="16">
        <f>+(F301*G301*H301)+(F301*H301)+(F301*1)</f>
        <v>459.67360626740532</v>
      </c>
      <c r="J301" s="16">
        <f t="shared" si="78"/>
        <v>242.60551441890837</v>
      </c>
      <c r="K301" s="16">
        <f t="shared" si="79"/>
        <v>25.537422570411405</v>
      </c>
      <c r="L301" s="16">
        <f t="shared" si="80"/>
        <v>25.537422570411405</v>
      </c>
      <c r="M301" s="16">
        <f t="shared" si="81"/>
        <v>25.537422570411405</v>
      </c>
      <c r="N301" s="16">
        <f t="shared" si="82"/>
        <v>38.306133855617105</v>
      </c>
      <c r="O301" s="16">
        <f t="shared" si="83"/>
        <v>102.14969028164562</v>
      </c>
      <c r="P301" s="196">
        <f t="shared" si="84"/>
        <v>459.67360626740532</v>
      </c>
    </row>
    <row r="302" spans="5:16" x14ac:dyDescent="0.25">
      <c r="E302" s="1" t="s">
        <v>1168</v>
      </c>
      <c r="F302" s="16">
        <f>+P141*$F$289</f>
        <v>22.281499262663093</v>
      </c>
      <c r="G302" s="227">
        <v>3</v>
      </c>
      <c r="H302" s="227">
        <v>4</v>
      </c>
      <c r="I302" s="16">
        <f>+(F302*G302*H302)+(F302*H302)+(F302*2)</f>
        <v>401.06698672793567</v>
      </c>
      <c r="J302" s="16">
        <f t="shared" si="78"/>
        <v>211.67424299529938</v>
      </c>
      <c r="K302" s="16">
        <f t="shared" si="79"/>
        <v>22.281499262663093</v>
      </c>
      <c r="L302" s="16">
        <f t="shared" si="80"/>
        <v>22.281499262663093</v>
      </c>
      <c r="M302" s="16">
        <f t="shared" si="81"/>
        <v>22.281499262663093</v>
      </c>
      <c r="N302" s="16">
        <f t="shared" si="82"/>
        <v>33.422248893994634</v>
      </c>
      <c r="O302" s="16">
        <f t="shared" si="83"/>
        <v>89.125997050652373</v>
      </c>
      <c r="P302" s="196">
        <f t="shared" si="84"/>
        <v>401.06698672793561</v>
      </c>
    </row>
    <row r="303" spans="5:16" x14ac:dyDescent="0.25">
      <c r="E303" s="1" t="s">
        <v>1175</v>
      </c>
      <c r="F303" s="16">
        <f>+Q141*$F$289</f>
        <v>19.613995829809056</v>
      </c>
      <c r="G303" s="23">
        <v>5</v>
      </c>
      <c r="H303" s="227">
        <v>5</v>
      </c>
      <c r="I303" s="16">
        <f>+(F303*G303*H303)+(F303*H303)+(F303*1)</f>
        <v>608.03387072408066</v>
      </c>
      <c r="J303" s="16">
        <f t="shared" si="78"/>
        <v>320.90676510437589</v>
      </c>
      <c r="K303" s="16">
        <f t="shared" si="79"/>
        <v>33.779659484671143</v>
      </c>
      <c r="L303" s="16">
        <f t="shared" si="80"/>
        <v>33.779659484671143</v>
      </c>
      <c r="M303" s="16">
        <f t="shared" si="81"/>
        <v>33.779659484671143</v>
      </c>
      <c r="N303" s="16">
        <f t="shared" si="82"/>
        <v>50.669489227006721</v>
      </c>
      <c r="O303" s="16">
        <f t="shared" si="83"/>
        <v>135.11863793868457</v>
      </c>
      <c r="P303" s="196">
        <f t="shared" si="84"/>
        <v>608.03387072408054</v>
      </c>
    </row>
    <row r="304" spans="5:16" x14ac:dyDescent="0.25">
      <c r="E304" s="1"/>
      <c r="F304" s="16"/>
      <c r="G304" s="227"/>
      <c r="H304" s="227"/>
      <c r="I304" s="227"/>
      <c r="J304" s="16"/>
      <c r="K304" s="1"/>
      <c r="L304" s="1"/>
      <c r="M304" s="1"/>
      <c r="N304" s="1"/>
      <c r="O304" s="1"/>
      <c r="P304" s="195"/>
    </row>
    <row r="305" spans="5:20" x14ac:dyDescent="0.25">
      <c r="E305" s="6" t="s">
        <v>1205</v>
      </c>
      <c r="F305" s="184">
        <f>+SUM(F292:F303)</f>
        <v>248.58778314700001</v>
      </c>
      <c r="G305" s="6"/>
      <c r="H305" s="6">
        <f>+SUM(H292:H303)</f>
        <v>52</v>
      </c>
      <c r="I305" s="184">
        <f>+SUM(I292:I303)</f>
        <v>5112.1526450897745</v>
      </c>
      <c r="J305" s="184">
        <f>+SUM(J292:J303)</f>
        <v>2698.0805626862702</v>
      </c>
      <c r="K305" s="184">
        <f>+SUM(K292:K303)</f>
        <v>284.00848028276522</v>
      </c>
      <c r="L305" s="184">
        <f t="shared" ref="L305:P305" si="86">+SUM(L292:L303)</f>
        <v>284.00848028276522</v>
      </c>
      <c r="M305" s="184">
        <f t="shared" si="86"/>
        <v>284.00848028276522</v>
      </c>
      <c r="N305" s="184">
        <f t="shared" si="86"/>
        <v>426.0127204241478</v>
      </c>
      <c r="O305" s="184">
        <f t="shared" si="86"/>
        <v>1136.0339211310609</v>
      </c>
      <c r="P305" s="197">
        <f t="shared" si="86"/>
        <v>5112.1526450897745</v>
      </c>
    </row>
    <row r="306" spans="5:20" x14ac:dyDescent="0.25">
      <c r="F306" s="202"/>
    </row>
    <row r="307" spans="5:20" x14ac:dyDescent="0.25">
      <c r="E307" s="3" t="s">
        <v>1178</v>
      </c>
    </row>
    <row r="308" spans="5:20" x14ac:dyDescent="0.25">
      <c r="E308" s="3" t="s">
        <v>1403</v>
      </c>
    </row>
    <row r="310" spans="5:20" x14ac:dyDescent="0.25">
      <c r="E310" s="12" t="s">
        <v>1404</v>
      </c>
      <c r="J310" s="710" t="s">
        <v>1814</v>
      </c>
      <c r="K310" s="710"/>
      <c r="L310" s="710"/>
      <c r="M310" s="710"/>
      <c r="N310" s="710"/>
      <c r="O310" s="710"/>
    </row>
    <row r="311" spans="5:20" x14ac:dyDescent="0.25">
      <c r="E311" s="12"/>
      <c r="J311" s="226"/>
      <c r="K311" s="226"/>
      <c r="L311" s="226"/>
      <c r="M311" s="226"/>
      <c r="N311" s="226"/>
      <c r="O311" s="226"/>
      <c r="T311" s="321" t="s">
        <v>1411</v>
      </c>
    </row>
    <row r="312" spans="5:20" x14ac:dyDescent="0.25">
      <c r="J312" s="128" t="str">
        <f t="shared" ref="J312:O312" si="87">+J290</f>
        <v xml:space="preserve">Casa colonial </v>
      </c>
      <c r="K312" s="128" t="str">
        <f t="shared" si="87"/>
        <v xml:space="preserve">Casa en el árbol en bambú de lujo frente al río Deluxe  </v>
      </c>
      <c r="L312" s="128" t="str">
        <f t="shared" si="87"/>
        <v xml:space="preserve">Casa en el árbol en bambú frente al río Superiores </v>
      </c>
      <c r="M312" s="128" t="str">
        <f t="shared" si="87"/>
        <v xml:space="preserve">Casa en el árbol en bambú  suite </v>
      </c>
      <c r="N312" s="128" t="str">
        <f t="shared" si="87"/>
        <v>Casa en el árbol en bambú sencillo</v>
      </c>
      <c r="O312" s="128" t="str">
        <f t="shared" si="87"/>
        <v xml:space="preserve">Bohios Pool houses  </v>
      </c>
      <c r="P312" s="128" t="s">
        <v>1196</v>
      </c>
      <c r="R312" s="128" t="s">
        <v>1405</v>
      </c>
      <c r="S312" s="128" t="s">
        <v>1406</v>
      </c>
      <c r="T312" s="128" t="str">
        <f>+T267</f>
        <v xml:space="preserve">RevPAR -Febrero 2020-ANTIOQUIA </v>
      </c>
    </row>
    <row r="313" spans="5:20" x14ac:dyDescent="0.25">
      <c r="I313" s="128" t="s">
        <v>1157</v>
      </c>
      <c r="J313" s="188">
        <f>+(J268*$C$76)+J268</f>
        <v>481904.30927682121</v>
      </c>
      <c r="K313" s="188">
        <f t="shared" ref="K313:O313" si="88">+(K268*$C$76)+K268</f>
        <v>966230.24824850087</v>
      </c>
      <c r="L313" s="188">
        <f t="shared" si="88"/>
        <v>602985.79401974112</v>
      </c>
      <c r="M313" s="188">
        <f t="shared" si="88"/>
        <v>602985.79401974112</v>
      </c>
      <c r="N313" s="188">
        <f t="shared" si="88"/>
        <v>602985.79401974112</v>
      </c>
      <c r="O313" s="188">
        <f t="shared" si="88"/>
        <v>944435.58099477517</v>
      </c>
    </row>
    <row r="314" spans="5:20" x14ac:dyDescent="0.25">
      <c r="I314" s="1" t="s">
        <v>1158</v>
      </c>
      <c r="J314" s="2">
        <f>+$J$313*J292</f>
        <v>124465371.18864816</v>
      </c>
      <c r="K314" s="2">
        <f>+$K$313*K292</f>
        <v>26269073.316197101</v>
      </c>
      <c r="L314" s="2">
        <f>+$L$313*L292</f>
        <v>16393481.843942551</v>
      </c>
      <c r="M314" s="2">
        <f>+$M$313*M292</f>
        <v>16393481.843942551</v>
      </c>
      <c r="N314" s="2">
        <f>+$N$313*N292</f>
        <v>24590222.765913829</v>
      </c>
      <c r="O314" s="2">
        <f>+$O$313*O292</f>
        <v>102706151.31144731</v>
      </c>
      <c r="P314" s="189">
        <f>+SUM(J314:O314)</f>
        <v>310817782.27009153</v>
      </c>
      <c r="R314" s="308">
        <f>+P314/($F$153*30)</f>
        <v>287794.24284267734</v>
      </c>
      <c r="S314" s="729">
        <f>+AVERAGE(R314:R325)</f>
        <v>250534.78913169578</v>
      </c>
      <c r="T314" s="729">
        <f>+$T$178</f>
        <v>149314</v>
      </c>
    </row>
    <row r="315" spans="5:20" x14ac:dyDescent="0.25">
      <c r="I315" s="1" t="s">
        <v>1159</v>
      </c>
      <c r="J315" s="2">
        <f t="shared" ref="J315:J325" si="89">+$J$313*J293</f>
        <v>59623651.961792484</v>
      </c>
      <c r="K315" s="2">
        <f t="shared" ref="K315:K325" si="90">+$K$313*K293</f>
        <v>12583886.343694897</v>
      </c>
      <c r="L315" s="2">
        <f t="shared" ref="L315:L325" si="91">+$L$313*L293</f>
        <v>7853102.0039599724</v>
      </c>
      <c r="M315" s="2">
        <f t="shared" ref="M315:M325" si="92">+$M$313*M293</f>
        <v>7853102.0039599724</v>
      </c>
      <c r="N315" s="2">
        <f t="shared" ref="N315:N325" si="93">+$N$313*N293</f>
        <v>11779653.005939959</v>
      </c>
      <c r="O315" s="2">
        <f t="shared" ref="O315:O325" si="94">+$O$313*O293</f>
        <v>49200157.133243196</v>
      </c>
      <c r="P315" s="189">
        <f t="shared" ref="P315:P325" si="95">+SUM(J315:O315)</f>
        <v>148893552.45259047</v>
      </c>
      <c r="R315" s="308">
        <f>+P315/($F$153*30)</f>
        <v>137864.40041906523</v>
      </c>
      <c r="S315" s="730"/>
      <c r="T315" s="730"/>
    </row>
    <row r="316" spans="5:20" x14ac:dyDescent="0.25">
      <c r="I316" s="1" t="s">
        <v>1172</v>
      </c>
      <c r="J316" s="2">
        <f t="shared" si="89"/>
        <v>68742798.195573986</v>
      </c>
      <c r="K316" s="2">
        <f t="shared" si="90"/>
        <v>14508530.272432702</v>
      </c>
      <c r="L316" s="2">
        <f t="shared" si="91"/>
        <v>9054195.5835482273</v>
      </c>
      <c r="M316" s="2">
        <f t="shared" si="92"/>
        <v>9054195.5835482273</v>
      </c>
      <c r="N316" s="2">
        <f t="shared" si="93"/>
        <v>13581293.375322342</v>
      </c>
      <c r="O316" s="2">
        <f t="shared" si="94"/>
        <v>56725080.764398523</v>
      </c>
      <c r="P316" s="189">
        <f t="shared" si="95"/>
        <v>171666093.77482402</v>
      </c>
      <c r="R316" s="308">
        <f t="shared" ref="R316:R325" si="96">+P316/($F$153*30)</f>
        <v>158950.08682854075</v>
      </c>
      <c r="S316" s="730"/>
      <c r="T316" s="730"/>
    </row>
    <row r="317" spans="5:20" x14ac:dyDescent="0.25">
      <c r="I317" s="1" t="s">
        <v>1173</v>
      </c>
      <c r="J317" s="2">
        <f t="shared" si="89"/>
        <v>146963921.25120538</v>
      </c>
      <c r="K317" s="2">
        <f t="shared" si="90"/>
        <v>31017511.017842337</v>
      </c>
      <c r="L317" s="2">
        <f t="shared" si="91"/>
        <v>19356792.590082061</v>
      </c>
      <c r="M317" s="2">
        <f t="shared" si="92"/>
        <v>19356792.590082061</v>
      </c>
      <c r="N317" s="2">
        <f t="shared" si="93"/>
        <v>29035188.885123093</v>
      </c>
      <c r="O317" s="2">
        <f t="shared" si="94"/>
        <v>121271471.64870687</v>
      </c>
      <c r="P317" s="189">
        <f t="shared" si="95"/>
        <v>367001677.98304182</v>
      </c>
      <c r="R317" s="308">
        <f t="shared" si="96"/>
        <v>339816.36850281648</v>
      </c>
      <c r="S317" s="730"/>
      <c r="T317" s="730"/>
    </row>
    <row r="318" spans="5:20" x14ac:dyDescent="0.25">
      <c r="I318" s="1" t="s">
        <v>1174</v>
      </c>
      <c r="J318" s="2">
        <f t="shared" si="89"/>
        <v>82211996.680918694</v>
      </c>
      <c r="K318" s="2">
        <f t="shared" si="90"/>
        <v>17351275.681399923</v>
      </c>
      <c r="L318" s="2">
        <f t="shared" si="91"/>
        <v>10828239.710948825</v>
      </c>
      <c r="M318" s="2">
        <f t="shared" si="92"/>
        <v>10828239.710948825</v>
      </c>
      <c r="N318" s="2">
        <f t="shared" si="93"/>
        <v>16242359.566423235</v>
      </c>
      <c r="O318" s="2">
        <f t="shared" si="94"/>
        <v>67839574.092691422</v>
      </c>
      <c r="P318" s="189">
        <f t="shared" si="95"/>
        <v>205301685.44333091</v>
      </c>
      <c r="R318" s="308">
        <f t="shared" si="96"/>
        <v>190094.15318826935</v>
      </c>
      <c r="S318" s="730"/>
      <c r="T318" s="730"/>
    </row>
    <row r="319" spans="5:20" x14ac:dyDescent="0.25">
      <c r="I319" s="1" t="s">
        <v>1163</v>
      </c>
      <c r="J319" s="2">
        <f t="shared" si="89"/>
        <v>95731081.086579457</v>
      </c>
      <c r="K319" s="2">
        <f t="shared" si="90"/>
        <v>20204549.777067021</v>
      </c>
      <c r="L319" s="2">
        <f t="shared" si="91"/>
        <v>12608854.372154607</v>
      </c>
      <c r="M319" s="2">
        <f t="shared" si="92"/>
        <v>12608854.372154607</v>
      </c>
      <c r="N319" s="2">
        <f t="shared" si="93"/>
        <v>18913281.558231909</v>
      </c>
      <c r="O319" s="2">
        <f t="shared" si="94"/>
        <v>78995232.21108909</v>
      </c>
      <c r="P319" s="189">
        <f t="shared" si="95"/>
        <v>239061853.37727672</v>
      </c>
      <c r="R319" s="308">
        <f t="shared" si="96"/>
        <v>221353.5679419229</v>
      </c>
      <c r="S319" s="730"/>
      <c r="T319" s="730"/>
    </row>
    <row r="320" spans="5:20" x14ac:dyDescent="0.25">
      <c r="I320" s="1" t="s">
        <v>1164</v>
      </c>
      <c r="J320" s="2">
        <f t="shared" si="89"/>
        <v>163126959.43361902</v>
      </c>
      <c r="K320" s="2">
        <f t="shared" si="90"/>
        <v>34428805.508603014</v>
      </c>
      <c r="L320" s="2">
        <f t="shared" si="91"/>
        <v>21485645.542962782</v>
      </c>
      <c r="M320" s="2">
        <f t="shared" si="92"/>
        <v>21485645.542962782</v>
      </c>
      <c r="N320" s="2">
        <f t="shared" si="93"/>
        <v>32228468.314444169</v>
      </c>
      <c r="O320" s="2">
        <f t="shared" si="94"/>
        <v>134608863.64265838</v>
      </c>
      <c r="P320" s="189">
        <f t="shared" si="95"/>
        <v>407364387.98525012</v>
      </c>
      <c r="R320" s="308">
        <f t="shared" si="96"/>
        <v>377189.24813449086</v>
      </c>
      <c r="S320" s="730"/>
      <c r="T320" s="730"/>
    </row>
    <row r="321" spans="5:20" x14ac:dyDescent="0.25">
      <c r="I321" s="1" t="s">
        <v>1165</v>
      </c>
      <c r="J321" s="2">
        <f t="shared" si="89"/>
        <v>97187749.959809318</v>
      </c>
      <c r="K321" s="2">
        <f t="shared" si="90"/>
        <v>20511987.428703472</v>
      </c>
      <c r="L321" s="2">
        <f t="shared" si="91"/>
        <v>12800713.959266078</v>
      </c>
      <c r="M321" s="2">
        <f t="shared" si="92"/>
        <v>12800713.959266078</v>
      </c>
      <c r="N321" s="2">
        <f t="shared" si="93"/>
        <v>19201070.938899115</v>
      </c>
      <c r="O321" s="2">
        <f t="shared" si="94"/>
        <v>80197244.08214891</v>
      </c>
      <c r="P321" s="189">
        <f t="shared" si="95"/>
        <v>242699480.32809299</v>
      </c>
      <c r="R321" s="308">
        <f t="shared" si="96"/>
        <v>224721.74104453056</v>
      </c>
      <c r="S321" s="730"/>
      <c r="T321" s="730"/>
    </row>
    <row r="322" spans="5:20" x14ac:dyDescent="0.25">
      <c r="I322" s="1" t="s">
        <v>1166</v>
      </c>
      <c r="J322" s="2">
        <f t="shared" si="89"/>
        <v>88597394.481378376</v>
      </c>
      <c r="K322" s="2">
        <f t="shared" si="90"/>
        <v>18698947.57898438</v>
      </c>
      <c r="L322" s="2">
        <f t="shared" si="91"/>
        <v>11669268.038012808</v>
      </c>
      <c r="M322" s="2">
        <f t="shared" si="92"/>
        <v>11669268.038012808</v>
      </c>
      <c r="N322" s="2">
        <f t="shared" si="93"/>
        <v>17503902.057019215</v>
      </c>
      <c r="O322" s="2">
        <f t="shared" si="94"/>
        <v>73108667.226104334</v>
      </c>
      <c r="P322" s="189">
        <f t="shared" si="95"/>
        <v>221247447.41951191</v>
      </c>
      <c r="R322" s="308">
        <f t="shared" si="96"/>
        <v>204858.74761065919</v>
      </c>
      <c r="S322" s="730"/>
      <c r="T322" s="730"/>
    </row>
    <row r="323" spans="5:20" x14ac:dyDescent="0.25">
      <c r="I323" s="1" t="s">
        <v>1167</v>
      </c>
      <c r="J323" s="2">
        <f t="shared" si="89"/>
        <v>116912642.85279192</v>
      </c>
      <c r="K323" s="2">
        <f t="shared" si="90"/>
        <v>24675030.149835482</v>
      </c>
      <c r="L323" s="2">
        <f t="shared" si="91"/>
        <v>15398703.025837179</v>
      </c>
      <c r="M323" s="2">
        <f t="shared" si="92"/>
        <v>15398703.025837179</v>
      </c>
      <c r="N323" s="2">
        <f t="shared" si="93"/>
        <v>23098054.538755767</v>
      </c>
      <c r="O323" s="2">
        <f t="shared" si="94"/>
        <v>96473802.089582324</v>
      </c>
      <c r="P323" s="189">
        <f t="shared" si="95"/>
        <v>291956935.68263984</v>
      </c>
      <c r="R323" s="308">
        <f t="shared" si="96"/>
        <v>270330.4960024443</v>
      </c>
      <c r="S323" s="730"/>
      <c r="T323" s="730"/>
    </row>
    <row r="324" spans="5:20" x14ac:dyDescent="0.25">
      <c r="I324" s="1" t="s">
        <v>1168</v>
      </c>
      <c r="J324" s="2">
        <f t="shared" si="89"/>
        <v>102006729.86234376</v>
      </c>
      <c r="K324" s="2">
        <f t="shared" si="90"/>
        <v>21529058.563911751</v>
      </c>
      <c r="L324" s="2">
        <f t="shared" si="91"/>
        <v>13435427.524847182</v>
      </c>
      <c r="M324" s="2">
        <f t="shared" si="92"/>
        <v>13435427.524847182</v>
      </c>
      <c r="N324" s="2">
        <f t="shared" si="93"/>
        <v>20153141.287270769</v>
      </c>
      <c r="O324" s="2">
        <f t="shared" si="94"/>
        <v>84173762.806271493</v>
      </c>
      <c r="P324" s="189">
        <f t="shared" si="95"/>
        <v>254733547.56949216</v>
      </c>
      <c r="R324" s="308">
        <f t="shared" si="96"/>
        <v>235864.39589767792</v>
      </c>
      <c r="S324" s="730"/>
      <c r="T324" s="730"/>
    </row>
    <row r="325" spans="5:20" x14ac:dyDescent="0.25">
      <c r="I325" s="1" t="s">
        <v>1175</v>
      </c>
      <c r="J325" s="2">
        <f t="shared" si="89"/>
        <v>154646352.97988337</v>
      </c>
      <c r="K325" s="2">
        <f t="shared" si="90"/>
        <v>32638928.769623626</v>
      </c>
      <c r="L325" s="2">
        <f t="shared" si="91"/>
        <v>20368654.79608091</v>
      </c>
      <c r="M325" s="2">
        <f t="shared" si="92"/>
        <v>20368654.79608091</v>
      </c>
      <c r="N325" s="2">
        <f t="shared" si="93"/>
        <v>30552982.194121368</v>
      </c>
      <c r="O325" s="2">
        <f t="shared" si="94"/>
        <v>127610849.32484424</v>
      </c>
      <c r="P325" s="189">
        <f t="shared" si="95"/>
        <v>386186422.86063445</v>
      </c>
      <c r="R325" s="308">
        <f t="shared" si="96"/>
        <v>357580.02116725413</v>
      </c>
      <c r="S325" s="730"/>
      <c r="T325" s="730"/>
    </row>
    <row r="326" spans="5:20" x14ac:dyDescent="0.25">
      <c r="I326" s="1"/>
      <c r="J326" s="1"/>
      <c r="K326" s="1"/>
      <c r="L326" s="1"/>
      <c r="M326" s="1"/>
      <c r="N326" s="1"/>
      <c r="O326" s="1"/>
    </row>
    <row r="327" spans="5:20" x14ac:dyDescent="0.25">
      <c r="I327" s="4" t="s">
        <v>573</v>
      </c>
      <c r="J327" s="189">
        <f t="shared" ref="J327:N327" si="97">+SUM(J314:J325)</f>
        <v>1300216649.9345438</v>
      </c>
      <c r="K327" s="189">
        <f t="shared" si="97"/>
        <v>274417584.40829569</v>
      </c>
      <c r="L327" s="189">
        <f t="shared" si="97"/>
        <v>171253078.99164316</v>
      </c>
      <c r="M327" s="189">
        <f t="shared" si="97"/>
        <v>171253078.99164316</v>
      </c>
      <c r="N327" s="189">
        <f t="shared" si="97"/>
        <v>256879618.48746473</v>
      </c>
      <c r="O327" s="189">
        <f>+SUM(O314:O325)</f>
        <v>1072910856.333186</v>
      </c>
    </row>
    <row r="328" spans="5:20" x14ac:dyDescent="0.25">
      <c r="I328" s="190" t="s">
        <v>1186</v>
      </c>
      <c r="J328" s="711">
        <f>+SUM(J327:O327)</f>
        <v>3246930867.1467767</v>
      </c>
      <c r="K328" s="712"/>
      <c r="L328" s="712"/>
      <c r="M328" s="712"/>
      <c r="N328" s="712"/>
      <c r="O328" s="713"/>
      <c r="P328" s="189">
        <f>+SUM(P314:P325)</f>
        <v>3246930867.1467767</v>
      </c>
    </row>
    <row r="329" spans="5:20" s="119" customFormat="1" x14ac:dyDescent="0.25">
      <c r="F329" s="120"/>
      <c r="I329" s="12"/>
      <c r="J329" s="237"/>
      <c r="K329" s="238"/>
      <c r="L329" s="238"/>
      <c r="M329" s="238"/>
      <c r="N329" s="238"/>
      <c r="O329" s="238"/>
      <c r="P329" s="239"/>
    </row>
    <row r="330" spans="5:20" s="119" customFormat="1" x14ac:dyDescent="0.25">
      <c r="F330" s="120"/>
      <c r="I330" s="12"/>
      <c r="J330" s="237"/>
      <c r="K330" s="238"/>
      <c r="L330" s="238"/>
      <c r="M330" s="238"/>
      <c r="N330" s="238"/>
      <c r="O330" s="238"/>
      <c r="P330" s="239"/>
    </row>
    <row r="331" spans="5:20" s="119" customFormat="1" x14ac:dyDescent="0.25">
      <c r="F331" s="120"/>
      <c r="I331" s="12"/>
      <c r="J331" s="237"/>
      <c r="K331" s="238"/>
      <c r="L331" s="238"/>
      <c r="M331" s="238"/>
      <c r="N331" s="238"/>
      <c r="O331" s="238"/>
      <c r="P331" s="239"/>
    </row>
    <row r="332" spans="5:20" s="119" customFormat="1" x14ac:dyDescent="0.25">
      <c r="E332" s="707" t="s">
        <v>1265</v>
      </c>
      <c r="F332" s="708"/>
      <c r="G332" s="709"/>
      <c r="H332"/>
      <c r="I332"/>
      <c r="J332"/>
      <c r="K332"/>
      <c r="L332"/>
      <c r="M332"/>
      <c r="N332"/>
      <c r="O332"/>
      <c r="P332"/>
    </row>
    <row r="333" spans="5:20" s="119" customFormat="1" x14ac:dyDescent="0.25">
      <c r="E333" s="226" t="s">
        <v>1170</v>
      </c>
      <c r="F333" s="226">
        <v>36</v>
      </c>
      <c r="G333" s="182">
        <v>1</v>
      </c>
      <c r="H333" s="68"/>
      <c r="I333" s="68"/>
      <c r="J333" s="710" t="s">
        <v>1171</v>
      </c>
      <c r="K333" s="710"/>
      <c r="L333" s="710"/>
      <c r="M333" s="710"/>
      <c r="N333" s="710"/>
      <c r="O333" s="710"/>
      <c r="P333"/>
    </row>
    <row r="334" spans="5:20" s="119" customFormat="1" x14ac:dyDescent="0.25">
      <c r="E334" s="128" t="s">
        <v>1157</v>
      </c>
      <c r="F334" s="128" t="s">
        <v>1180</v>
      </c>
      <c r="G334" s="128" t="s">
        <v>1177</v>
      </c>
      <c r="H334" s="128" t="s">
        <v>1176</v>
      </c>
      <c r="I334" s="128" t="s">
        <v>1179</v>
      </c>
      <c r="J334" s="128" t="str">
        <f t="shared" ref="J334:O334" si="98">+J312</f>
        <v xml:space="preserve">Casa colonial </v>
      </c>
      <c r="K334" s="128" t="str">
        <f t="shared" si="98"/>
        <v xml:space="preserve">Casa en el árbol en bambú de lujo frente al río Deluxe  </v>
      </c>
      <c r="L334" s="128" t="str">
        <f t="shared" si="98"/>
        <v xml:space="preserve">Casa en el árbol en bambú frente al río Superiores </v>
      </c>
      <c r="M334" s="128" t="str">
        <f t="shared" si="98"/>
        <v xml:space="preserve">Casa en el árbol en bambú  suite </v>
      </c>
      <c r="N334" s="128" t="str">
        <f t="shared" si="98"/>
        <v>Casa en el árbol en bambú sencillo</v>
      </c>
      <c r="O334" s="128" t="str">
        <f t="shared" si="98"/>
        <v xml:space="preserve">Bohios Pool houses  </v>
      </c>
      <c r="P334" s="128" t="s">
        <v>1196</v>
      </c>
    </row>
    <row r="335" spans="5:20" s="119" customFormat="1" x14ac:dyDescent="0.25">
      <c r="E335" s="128"/>
      <c r="F335" s="128"/>
      <c r="G335" s="128"/>
      <c r="H335" s="128"/>
      <c r="I335" s="128"/>
      <c r="J335" s="128">
        <v>19</v>
      </c>
      <c r="K335" s="128">
        <v>2</v>
      </c>
      <c r="L335" s="128">
        <v>2</v>
      </c>
      <c r="M335" s="128">
        <v>2</v>
      </c>
      <c r="N335" s="128">
        <v>3</v>
      </c>
      <c r="O335" s="128">
        <v>8</v>
      </c>
      <c r="P335" s="194">
        <f>+SUM(J335:O335)</f>
        <v>36</v>
      </c>
    </row>
    <row r="336" spans="5:20" s="119" customFormat="1" x14ac:dyDescent="0.25">
      <c r="E336" s="1" t="s">
        <v>1158</v>
      </c>
      <c r="F336" s="16">
        <f>+F146*$F$333</f>
        <v>19.999540300237289</v>
      </c>
      <c r="G336" s="23">
        <v>5</v>
      </c>
      <c r="H336" s="227">
        <v>4</v>
      </c>
      <c r="I336" s="16">
        <f>+(F336*G336*H336)+(F336*H336)+(F336*1)</f>
        <v>499.9885075059322</v>
      </c>
      <c r="J336" s="16">
        <f>+($J$335/$F$153)*I336</f>
        <v>263.88282340590865</v>
      </c>
      <c r="K336" s="16">
        <f>+($K$335/$F$153)*I336</f>
        <v>27.777139305885122</v>
      </c>
      <c r="L336" s="16">
        <f>+($L$335/$F$153)*I336</f>
        <v>27.777139305885122</v>
      </c>
      <c r="M336" s="16">
        <f>+($M$335/$F$153)*I336</f>
        <v>27.777139305885122</v>
      </c>
      <c r="N336" s="16">
        <f>+($N$335/$F$153)*I336</f>
        <v>41.665708958827679</v>
      </c>
      <c r="O336" s="16">
        <f>+($O$335/$F$153)*I336</f>
        <v>111.10855722354049</v>
      </c>
      <c r="P336" s="196">
        <f>+SUM(J336:O336)</f>
        <v>499.98850750593215</v>
      </c>
    </row>
    <row r="337" spans="5:16" s="119" customFormat="1" x14ac:dyDescent="0.25">
      <c r="E337" s="1" t="s">
        <v>1159</v>
      </c>
      <c r="F337" s="16">
        <f>+G146*$F$333</f>
        <v>19.959461061158656</v>
      </c>
      <c r="G337" s="71">
        <v>2</v>
      </c>
      <c r="H337" s="227">
        <v>4</v>
      </c>
      <c r="I337" s="16">
        <f>+(F337*G337*H337)+(F337*H337)</f>
        <v>239.51353273390387</v>
      </c>
      <c r="J337" s="16">
        <f t="shared" ref="J337:J347" si="99">+($J$335/$F$153)*I337</f>
        <v>126.40992005400483</v>
      </c>
      <c r="K337" s="16">
        <f t="shared" ref="K337:K347" si="100">+($K$335/$F$153)*I337</f>
        <v>13.306307374105771</v>
      </c>
      <c r="L337" s="16">
        <f t="shared" ref="L337:L347" si="101">+($L$335/$F$153)*I337</f>
        <v>13.306307374105771</v>
      </c>
      <c r="M337" s="16">
        <f t="shared" ref="M337:M347" si="102">+($M$335/$F$153)*I337</f>
        <v>13.306307374105771</v>
      </c>
      <c r="N337" s="16">
        <f t="shared" ref="N337:N347" si="103">+($N$335/$F$153)*I337</f>
        <v>19.959461061158656</v>
      </c>
      <c r="O337" s="16">
        <f t="shared" ref="O337:O347" si="104">+($O$335/$F$153)*I337</f>
        <v>53.225229496423083</v>
      </c>
      <c r="P337" s="196">
        <f t="shared" ref="P337:P347" si="105">+SUM(J337:O337)</f>
        <v>239.51353273390384</v>
      </c>
    </row>
    <row r="338" spans="5:16" s="119" customFormat="1" x14ac:dyDescent="0.25">
      <c r="E338" s="1" t="s">
        <v>1172</v>
      </c>
      <c r="F338" s="16">
        <f>+H146*$F$333</f>
        <v>21.241996711674876</v>
      </c>
      <c r="G338" s="71">
        <v>2</v>
      </c>
      <c r="H338" s="227">
        <v>4</v>
      </c>
      <c r="I338" s="16">
        <f>+(F338*G338*H338)+(F338*H338)+(F338*1)</f>
        <v>276.14595725177338</v>
      </c>
      <c r="J338" s="16">
        <f t="shared" si="99"/>
        <v>145.74369966065817</v>
      </c>
      <c r="K338" s="16">
        <f t="shared" si="100"/>
        <v>15.341442069542964</v>
      </c>
      <c r="L338" s="16">
        <f t="shared" si="101"/>
        <v>15.341442069542964</v>
      </c>
      <c r="M338" s="16">
        <f t="shared" si="102"/>
        <v>15.341442069542964</v>
      </c>
      <c r="N338" s="16">
        <f t="shared" si="103"/>
        <v>23.012163104314446</v>
      </c>
      <c r="O338" s="16">
        <f t="shared" si="104"/>
        <v>61.365768278171856</v>
      </c>
      <c r="P338" s="196">
        <f t="shared" si="105"/>
        <v>276.14595725177332</v>
      </c>
    </row>
    <row r="339" spans="5:16" s="119" customFormat="1" x14ac:dyDescent="0.25">
      <c r="E339" s="1" t="s">
        <v>1173</v>
      </c>
      <c r="F339" s="16">
        <f>+I146*$F$333</f>
        <v>19.67890638760823</v>
      </c>
      <c r="G339" s="23">
        <v>5</v>
      </c>
      <c r="H339" s="227">
        <v>5</v>
      </c>
      <c r="I339" s="16">
        <f t="shared" ref="I339:I347" si="106">+(F339*G339*H339)+(F339*H339)</f>
        <v>590.36719162824693</v>
      </c>
      <c r="J339" s="16">
        <f t="shared" si="99"/>
        <v>311.58268447046368</v>
      </c>
      <c r="K339" s="16">
        <f t="shared" si="100"/>
        <v>32.79817731268038</v>
      </c>
      <c r="L339" s="16">
        <f t="shared" si="101"/>
        <v>32.79817731268038</v>
      </c>
      <c r="M339" s="16">
        <f t="shared" si="102"/>
        <v>32.79817731268038</v>
      </c>
      <c r="N339" s="16">
        <f t="shared" si="103"/>
        <v>49.197265969020577</v>
      </c>
      <c r="O339" s="16">
        <f t="shared" si="104"/>
        <v>131.19270925072152</v>
      </c>
      <c r="P339" s="196">
        <f t="shared" si="105"/>
        <v>590.36719162824693</v>
      </c>
    </row>
    <row r="340" spans="5:16" s="119" customFormat="1" x14ac:dyDescent="0.25">
      <c r="E340" s="1" t="s">
        <v>1174</v>
      </c>
      <c r="F340" s="16">
        <f>+J146*$F$333</f>
        <v>20.640808125495397</v>
      </c>
      <c r="G340" s="227">
        <v>3</v>
      </c>
      <c r="H340" s="227">
        <v>4</v>
      </c>
      <c r="I340" s="16">
        <f>+(F340*G340*H340)+(F340*H340)+(F340*1)</f>
        <v>350.89373813342172</v>
      </c>
      <c r="J340" s="16">
        <f t="shared" si="99"/>
        <v>185.19391734819479</v>
      </c>
      <c r="K340" s="16">
        <f t="shared" si="100"/>
        <v>19.494096562967872</v>
      </c>
      <c r="L340" s="16">
        <f t="shared" si="101"/>
        <v>19.494096562967872</v>
      </c>
      <c r="M340" s="16">
        <f t="shared" si="102"/>
        <v>19.494096562967872</v>
      </c>
      <c r="N340" s="16">
        <f t="shared" si="103"/>
        <v>29.24114484445181</v>
      </c>
      <c r="O340" s="16">
        <f t="shared" si="104"/>
        <v>77.976386251871489</v>
      </c>
      <c r="P340" s="196">
        <f t="shared" si="105"/>
        <v>350.89373813342172</v>
      </c>
    </row>
    <row r="341" spans="5:16" s="119" customFormat="1" x14ac:dyDescent="0.25">
      <c r="E341" s="1" t="s">
        <v>1163</v>
      </c>
      <c r="F341" s="16">
        <f>+K146*$F$333</f>
        <v>20.240015734709075</v>
      </c>
      <c r="G341" s="227">
        <v>3</v>
      </c>
      <c r="H341" s="227">
        <v>4</v>
      </c>
      <c r="I341" s="16">
        <f>+(F341*G341*H341)+(F341*H341)+(F341*3)</f>
        <v>384.56029895947245</v>
      </c>
      <c r="J341" s="16">
        <f t="shared" si="99"/>
        <v>202.96238000638823</v>
      </c>
      <c r="K341" s="16">
        <f t="shared" si="100"/>
        <v>21.364461053304023</v>
      </c>
      <c r="L341" s="16">
        <f t="shared" si="101"/>
        <v>21.364461053304023</v>
      </c>
      <c r="M341" s="16">
        <f t="shared" si="102"/>
        <v>21.364461053304023</v>
      </c>
      <c r="N341" s="16">
        <f t="shared" si="103"/>
        <v>32.046691579956033</v>
      </c>
      <c r="O341" s="16">
        <f t="shared" si="104"/>
        <v>85.457844213216092</v>
      </c>
      <c r="P341" s="196">
        <f t="shared" si="105"/>
        <v>384.56029895947239</v>
      </c>
    </row>
    <row r="342" spans="5:16" s="119" customFormat="1" x14ac:dyDescent="0.25">
      <c r="E342" s="1" t="s">
        <v>1164</v>
      </c>
      <c r="F342" s="16">
        <f>+L146*$F$333</f>
        <v>21.843185297854355</v>
      </c>
      <c r="G342" s="23">
        <v>5</v>
      </c>
      <c r="H342" s="227">
        <v>5</v>
      </c>
      <c r="I342" s="16">
        <f>+(F342*G342*H342)+(F342*H342)+(F342*1)</f>
        <v>677.13874423348489</v>
      </c>
      <c r="J342" s="16">
        <f t="shared" si="99"/>
        <v>357.3787816787837</v>
      </c>
      <c r="K342" s="16">
        <f t="shared" si="100"/>
        <v>37.618819124082492</v>
      </c>
      <c r="L342" s="16">
        <f t="shared" si="101"/>
        <v>37.618819124082492</v>
      </c>
      <c r="M342" s="16">
        <f t="shared" si="102"/>
        <v>37.618819124082492</v>
      </c>
      <c r="N342" s="16">
        <f t="shared" si="103"/>
        <v>56.428228686123738</v>
      </c>
      <c r="O342" s="16">
        <f t="shared" si="104"/>
        <v>150.47527649632997</v>
      </c>
      <c r="P342" s="196">
        <f t="shared" si="105"/>
        <v>677.13874423348489</v>
      </c>
    </row>
    <row r="343" spans="5:16" s="119" customFormat="1" x14ac:dyDescent="0.25">
      <c r="E343" s="1" t="s">
        <v>1165</v>
      </c>
      <c r="F343" s="16">
        <f>+M146*$F$333</f>
        <v>22.965403992056036</v>
      </c>
      <c r="G343" s="227">
        <v>3</v>
      </c>
      <c r="H343" s="227">
        <v>4</v>
      </c>
      <c r="I343" s="16">
        <f>+(F343*G343*H343)+(F343*H343)+(F343*1)</f>
        <v>390.41186786495263</v>
      </c>
      <c r="J343" s="16">
        <f t="shared" si="99"/>
        <v>206.05070803983611</v>
      </c>
      <c r="K343" s="16">
        <f t="shared" si="100"/>
        <v>21.68954821471959</v>
      </c>
      <c r="L343" s="16">
        <f t="shared" si="101"/>
        <v>21.68954821471959</v>
      </c>
      <c r="M343" s="16">
        <f t="shared" si="102"/>
        <v>21.68954821471959</v>
      </c>
      <c r="N343" s="16">
        <f t="shared" si="103"/>
        <v>32.534322322079383</v>
      </c>
      <c r="O343" s="16">
        <f t="shared" si="104"/>
        <v>86.75819285887836</v>
      </c>
      <c r="P343" s="196">
        <f t="shared" si="105"/>
        <v>390.41186786495263</v>
      </c>
    </row>
    <row r="344" spans="5:16" s="119" customFormat="1" x14ac:dyDescent="0.25">
      <c r="E344" s="1" t="s">
        <v>1166</v>
      </c>
      <c r="F344" s="16">
        <f>+N146*$F$333</f>
        <v>22.243977688640669</v>
      </c>
      <c r="G344" s="227">
        <v>3</v>
      </c>
      <c r="H344" s="227">
        <v>4</v>
      </c>
      <c r="I344" s="16">
        <f t="shared" si="106"/>
        <v>355.9036430182507</v>
      </c>
      <c r="J344" s="16">
        <f t="shared" si="99"/>
        <v>187.83803381518788</v>
      </c>
      <c r="K344" s="16">
        <f t="shared" si="100"/>
        <v>19.77242461212504</v>
      </c>
      <c r="L344" s="16">
        <f t="shared" si="101"/>
        <v>19.77242461212504</v>
      </c>
      <c r="M344" s="16">
        <f t="shared" si="102"/>
        <v>19.77242461212504</v>
      </c>
      <c r="N344" s="16">
        <f t="shared" si="103"/>
        <v>29.658636918187558</v>
      </c>
      <c r="O344" s="16">
        <f t="shared" si="104"/>
        <v>79.089698448500158</v>
      </c>
      <c r="P344" s="196">
        <f t="shared" si="105"/>
        <v>355.9036430182507</v>
      </c>
    </row>
    <row r="345" spans="5:16" s="119" customFormat="1" x14ac:dyDescent="0.25">
      <c r="E345" s="1" t="s">
        <v>1167</v>
      </c>
      <c r="F345" s="16">
        <f>+O146*$F$333</f>
        <v>22.364215405876568</v>
      </c>
      <c r="G345" s="227">
        <v>3</v>
      </c>
      <c r="H345" s="227">
        <v>5</v>
      </c>
      <c r="I345" s="16">
        <f>+(F345*G345*H345)+(F345*H345)+(F345*1)</f>
        <v>469.6485235234079</v>
      </c>
      <c r="J345" s="16">
        <f t="shared" si="99"/>
        <v>247.87005408179863</v>
      </c>
      <c r="K345" s="16">
        <f t="shared" si="100"/>
        <v>26.091584640189325</v>
      </c>
      <c r="L345" s="16">
        <f t="shared" si="101"/>
        <v>26.091584640189325</v>
      </c>
      <c r="M345" s="16">
        <f t="shared" si="102"/>
        <v>26.091584640189325</v>
      </c>
      <c r="N345" s="16">
        <f t="shared" si="103"/>
        <v>39.137376960283987</v>
      </c>
      <c r="O345" s="16">
        <f t="shared" si="104"/>
        <v>104.3663385607573</v>
      </c>
      <c r="P345" s="196">
        <f t="shared" si="105"/>
        <v>469.6485235234079</v>
      </c>
    </row>
    <row r="346" spans="5:16" s="119" customFormat="1" x14ac:dyDescent="0.25">
      <c r="E346" s="1" t="s">
        <v>1168</v>
      </c>
      <c r="F346" s="16">
        <f>+P146*$F$333</f>
        <v>22.765007796662882</v>
      </c>
      <c r="G346" s="227">
        <v>3</v>
      </c>
      <c r="H346" s="227">
        <v>4</v>
      </c>
      <c r="I346" s="16">
        <f>+(F346*G346*H346)+(F346*H346)+(F346*2)</f>
        <v>409.77014033993186</v>
      </c>
      <c r="J346" s="16">
        <f t="shared" si="99"/>
        <v>216.26757406829736</v>
      </c>
      <c r="K346" s="16">
        <f t="shared" si="100"/>
        <v>22.765007796662879</v>
      </c>
      <c r="L346" s="16">
        <f t="shared" si="101"/>
        <v>22.765007796662879</v>
      </c>
      <c r="M346" s="16">
        <f t="shared" si="102"/>
        <v>22.765007796662879</v>
      </c>
      <c r="N346" s="16">
        <f t="shared" si="103"/>
        <v>34.147511694994321</v>
      </c>
      <c r="O346" s="16">
        <f t="shared" si="104"/>
        <v>91.060031186651514</v>
      </c>
      <c r="P346" s="196">
        <f t="shared" si="105"/>
        <v>409.7701403399318</v>
      </c>
    </row>
    <row r="347" spans="5:16" s="119" customFormat="1" x14ac:dyDescent="0.25">
      <c r="E347" s="1" t="s">
        <v>1175</v>
      </c>
      <c r="F347" s="16">
        <f>+Q146*$F$333</f>
        <v>20.039619539315915</v>
      </c>
      <c r="G347" s="23">
        <v>5</v>
      </c>
      <c r="H347" s="227">
        <v>5</v>
      </c>
      <c r="I347" s="16">
        <f t="shared" si="106"/>
        <v>601.1885861794774</v>
      </c>
      <c r="J347" s="16">
        <f t="shared" si="99"/>
        <v>317.29397603916863</v>
      </c>
      <c r="K347" s="16">
        <f t="shared" si="100"/>
        <v>33.399365898859855</v>
      </c>
      <c r="L347" s="16">
        <f t="shared" si="101"/>
        <v>33.399365898859855</v>
      </c>
      <c r="M347" s="16">
        <f t="shared" si="102"/>
        <v>33.399365898859855</v>
      </c>
      <c r="N347" s="16">
        <f t="shared" si="103"/>
        <v>50.099048848289783</v>
      </c>
      <c r="O347" s="16">
        <f t="shared" si="104"/>
        <v>133.59746359543942</v>
      </c>
      <c r="P347" s="196">
        <f t="shared" si="105"/>
        <v>601.1885861794774</v>
      </c>
    </row>
    <row r="348" spans="5:16" s="119" customFormat="1" x14ac:dyDescent="0.25">
      <c r="E348" s="1"/>
      <c r="F348" s="16"/>
      <c r="G348" s="227"/>
      <c r="H348" s="227"/>
      <c r="I348" s="227"/>
      <c r="J348" s="16"/>
      <c r="K348" s="1"/>
      <c r="L348" s="1"/>
      <c r="M348" s="1"/>
      <c r="N348" s="1"/>
      <c r="O348" s="1"/>
      <c r="P348" s="195"/>
    </row>
    <row r="349" spans="5:16" s="119" customFormat="1" x14ac:dyDescent="0.25">
      <c r="E349" s="6" t="s">
        <v>1205</v>
      </c>
      <c r="F349" s="184">
        <f>+SUM(F336:F347)</f>
        <v>253.98213804128991</v>
      </c>
      <c r="G349" s="6"/>
      <c r="H349" s="6">
        <f>+SUM(H336:H347)</f>
        <v>52</v>
      </c>
      <c r="I349" s="184">
        <f>+SUM(I336:I347)</f>
        <v>5245.5307313722551</v>
      </c>
      <c r="J349" s="184">
        <f>+SUM(J336:J347)</f>
        <v>2768.4745526686911</v>
      </c>
      <c r="K349" s="184">
        <f>+SUM(K336:K347)</f>
        <v>291.41837396512528</v>
      </c>
      <c r="L349" s="184">
        <f t="shared" ref="L349:P349" si="107">+SUM(L336:L347)</f>
        <v>291.41837396512528</v>
      </c>
      <c r="M349" s="184">
        <f t="shared" si="107"/>
        <v>291.41837396512528</v>
      </c>
      <c r="N349" s="184">
        <f t="shared" si="107"/>
        <v>437.12756094768787</v>
      </c>
      <c r="O349" s="184">
        <f t="shared" si="107"/>
        <v>1165.6734958605011</v>
      </c>
      <c r="P349" s="197">
        <f t="shared" si="107"/>
        <v>5245.5307313722542</v>
      </c>
    </row>
    <row r="350" spans="5:16" s="119" customFormat="1" x14ac:dyDescent="0.25">
      <c r="E350"/>
      <c r="F350" s="202"/>
      <c r="G350"/>
      <c r="H350"/>
      <c r="I350"/>
      <c r="J350"/>
      <c r="K350"/>
      <c r="L350"/>
      <c r="M350"/>
      <c r="N350"/>
      <c r="O350"/>
      <c r="P350"/>
    </row>
    <row r="351" spans="5:16" s="119" customFormat="1" x14ac:dyDescent="0.25">
      <c r="E351" s="3" t="s">
        <v>1178</v>
      </c>
      <c r="F351" s="15"/>
      <c r="G351"/>
      <c r="H351"/>
      <c r="I351"/>
      <c r="J351"/>
      <c r="K351"/>
      <c r="L351"/>
      <c r="M351"/>
      <c r="N351"/>
      <c r="O351"/>
      <c r="P351"/>
    </row>
    <row r="352" spans="5:16" s="119" customFormat="1" x14ac:dyDescent="0.25">
      <c r="E352" s="3" t="s">
        <v>1403</v>
      </c>
      <c r="F352" s="15"/>
      <c r="G352"/>
      <c r="H352"/>
      <c r="I352"/>
      <c r="J352"/>
      <c r="K352"/>
      <c r="L352"/>
      <c r="M352"/>
      <c r="N352"/>
      <c r="O352"/>
      <c r="P352"/>
    </row>
    <row r="353" spans="5:20" s="119" customFormat="1" x14ac:dyDescent="0.25">
      <c r="E353"/>
      <c r="F353" s="15"/>
      <c r="G353"/>
      <c r="H353"/>
      <c r="I353"/>
      <c r="J353"/>
      <c r="K353"/>
      <c r="L353"/>
      <c r="M353"/>
      <c r="N353"/>
      <c r="O353"/>
      <c r="P353"/>
    </row>
    <row r="354" spans="5:20" s="119" customFormat="1" x14ac:dyDescent="0.25">
      <c r="E354" s="12" t="s">
        <v>1404</v>
      </c>
      <c r="F354" s="15"/>
      <c r="G354"/>
      <c r="H354"/>
      <c r="I354"/>
      <c r="J354" s="710" t="s">
        <v>1815</v>
      </c>
      <c r="K354" s="710"/>
      <c r="L354" s="710"/>
      <c r="M354" s="710"/>
      <c r="N354" s="710"/>
      <c r="O354" s="710"/>
      <c r="P354"/>
    </row>
    <row r="355" spans="5:20" s="119" customFormat="1" x14ac:dyDescent="0.25">
      <c r="E355" s="12"/>
      <c r="F355" s="15"/>
      <c r="G355"/>
      <c r="H355"/>
      <c r="I355"/>
      <c r="J355" s="226"/>
      <c r="K355" s="226"/>
      <c r="L355" s="226"/>
      <c r="M355" s="226"/>
      <c r="N355" s="226"/>
      <c r="O355" s="226"/>
      <c r="P355"/>
      <c r="T355" s="321" t="s">
        <v>1411</v>
      </c>
    </row>
    <row r="356" spans="5:20" s="119" customFormat="1" x14ac:dyDescent="0.25">
      <c r="E356"/>
      <c r="F356" s="15"/>
      <c r="G356"/>
      <c r="H356"/>
      <c r="I356"/>
      <c r="J356" s="128" t="str">
        <f t="shared" ref="J356:O356" si="108">+J334</f>
        <v xml:space="preserve">Casa colonial </v>
      </c>
      <c r="K356" s="128" t="str">
        <f t="shared" si="108"/>
        <v xml:space="preserve">Casa en el árbol en bambú de lujo frente al río Deluxe  </v>
      </c>
      <c r="L356" s="128" t="str">
        <f t="shared" si="108"/>
        <v xml:space="preserve">Casa en el árbol en bambú frente al río Superiores </v>
      </c>
      <c r="M356" s="128" t="str">
        <f t="shared" si="108"/>
        <v xml:space="preserve">Casa en el árbol en bambú  suite </v>
      </c>
      <c r="N356" s="128" t="str">
        <f t="shared" si="108"/>
        <v>Casa en el árbol en bambú sencillo</v>
      </c>
      <c r="O356" s="128" t="str">
        <f t="shared" si="108"/>
        <v xml:space="preserve">Bohios Pool houses  </v>
      </c>
      <c r="P356" s="128" t="s">
        <v>1196</v>
      </c>
      <c r="R356" s="128" t="s">
        <v>1405</v>
      </c>
      <c r="S356" s="128" t="s">
        <v>1406</v>
      </c>
      <c r="T356" s="128" t="str">
        <f>+T312</f>
        <v xml:space="preserve">RevPAR -Febrero 2020-ANTIOQUIA </v>
      </c>
    </row>
    <row r="357" spans="5:20" s="119" customFormat="1" x14ac:dyDescent="0.25">
      <c r="E357"/>
      <c r="F357" s="15"/>
      <c r="G357"/>
      <c r="H357"/>
      <c r="I357" s="128" t="s">
        <v>1157</v>
      </c>
      <c r="J357" s="188">
        <f>+(J313*$C$76)+J313</f>
        <v>500698.57733861724</v>
      </c>
      <c r="K357" s="188">
        <f t="shared" ref="K357:O357" si="109">+(K313*$C$76)+K313</f>
        <v>1003913.2279301924</v>
      </c>
      <c r="L357" s="188">
        <f t="shared" si="109"/>
        <v>626502.23998651106</v>
      </c>
      <c r="M357" s="188">
        <f>+(M313*$C$76)+M313</f>
        <v>626502.23998651106</v>
      </c>
      <c r="N357" s="188">
        <f t="shared" si="109"/>
        <v>626502.23998651106</v>
      </c>
      <c r="O357" s="188">
        <f t="shared" si="109"/>
        <v>981268.56865357142</v>
      </c>
      <c r="P357"/>
      <c r="R357"/>
      <c r="S357"/>
      <c r="T357"/>
    </row>
    <row r="358" spans="5:20" s="119" customFormat="1" x14ac:dyDescent="0.25">
      <c r="E358"/>
      <c r="F358" s="15"/>
      <c r="G358"/>
      <c r="H358"/>
      <c r="I358" s="1" t="s">
        <v>1158</v>
      </c>
      <c r="J358" s="2">
        <f>+$J$357*J336</f>
        <v>132125754.26343603</v>
      </c>
      <c r="K358" s="2">
        <f>+K336*$K$357</f>
        <v>27885837.583237756</v>
      </c>
      <c r="L358" s="2">
        <f>+$L$357*L336</f>
        <v>17402439.995554391</v>
      </c>
      <c r="M358" s="2">
        <f>+$M$357*M336</f>
        <v>17402439.995554391</v>
      </c>
      <c r="N358" s="2">
        <f>+$N$357*N336</f>
        <v>26103659.993331581</v>
      </c>
      <c r="O358" s="2">
        <f>+$O$357*O336</f>
        <v>109027334.911907</v>
      </c>
      <c r="P358" s="189">
        <f>+SUM(J358:O358)</f>
        <v>329947466.74302113</v>
      </c>
      <c r="R358" s="308">
        <f>+P358/($F$153*30)</f>
        <v>305506.91365094547</v>
      </c>
      <c r="S358" s="729">
        <f>+AVERAGE(R358:R369)</f>
        <v>267097.12325799657</v>
      </c>
      <c r="T358" s="729">
        <f>+$T$178</f>
        <v>149314</v>
      </c>
    </row>
    <row r="359" spans="5:20" s="119" customFormat="1" x14ac:dyDescent="0.25">
      <c r="E359"/>
      <c r="F359" s="15"/>
      <c r="G359"/>
      <c r="H359"/>
      <c r="I359" s="1" t="s">
        <v>1159</v>
      </c>
      <c r="J359" s="2">
        <f t="shared" ref="J359:J369" si="110">+$J$357*J337</f>
        <v>63293267.132528558</v>
      </c>
      <c r="K359" s="2">
        <f t="shared" ref="K359:K369" si="111">+K337*$K$357</f>
        <v>13358377.987769846</v>
      </c>
      <c r="L359" s="2">
        <f t="shared" ref="L359:L369" si="112">+$L$357*L337</f>
        <v>8336431.3758262955</v>
      </c>
      <c r="M359" s="2">
        <f t="shared" ref="M359:M369" si="113">+$M$357*M337</f>
        <v>8336431.3758262955</v>
      </c>
      <c r="N359" s="2">
        <f t="shared" ref="N359:N369" si="114">+$N$357*N337</f>
        <v>12504647.063739443</v>
      </c>
      <c r="O359" s="2">
        <f t="shared" ref="O359:O369" si="115">+$O$357*O337</f>
        <v>52228244.764212929</v>
      </c>
      <c r="P359" s="189">
        <f t="shared" ref="P359:P369" si="116">+SUM(J359:O359)</f>
        <v>158057399.69990337</v>
      </c>
      <c r="R359" s="308">
        <f>+P359/($F$153*30)</f>
        <v>146349.44416657719</v>
      </c>
      <c r="S359" s="730"/>
      <c r="T359" s="730"/>
    </row>
    <row r="360" spans="5:20" s="119" customFormat="1" x14ac:dyDescent="0.25">
      <c r="E360"/>
      <c r="F360" s="15"/>
      <c r="G360"/>
      <c r="H360"/>
      <c r="I360" s="1" t="s">
        <v>1172</v>
      </c>
      <c r="J360" s="2">
        <f t="shared" si="110"/>
        <v>72973663.076158255</v>
      </c>
      <c r="K360" s="2">
        <f t="shared" si="111"/>
        <v>15401476.629138928</v>
      </c>
      <c r="L360" s="2">
        <f t="shared" si="112"/>
        <v>9611447.8211919628</v>
      </c>
      <c r="M360" s="2">
        <f t="shared" si="113"/>
        <v>9611447.8211919628</v>
      </c>
      <c r="N360" s="2">
        <f t="shared" si="114"/>
        <v>14417171.731787944</v>
      </c>
      <c r="O360" s="2">
        <f t="shared" si="115"/>
        <v>60216299.602648437</v>
      </c>
      <c r="P360" s="189">
        <f t="shared" si="116"/>
        <v>182231506.68211752</v>
      </c>
      <c r="R360" s="308">
        <f t="shared" ref="R360:R369" si="117">+P360/($F$153*30)</f>
        <v>168732.87655751623</v>
      </c>
      <c r="S360" s="730"/>
      <c r="T360" s="730"/>
    </row>
    <row r="361" spans="5:20" s="119" customFormat="1" x14ac:dyDescent="0.25">
      <c r="E361"/>
      <c r="F361" s="15"/>
      <c r="G361"/>
      <c r="H361"/>
      <c r="I361" s="1" t="s">
        <v>1173</v>
      </c>
      <c r="J361" s="2">
        <f t="shared" si="110"/>
        <v>156009006.83770844</v>
      </c>
      <c r="K361" s="2">
        <f t="shared" si="111"/>
        <v>32926524.056199763</v>
      </c>
      <c r="L361" s="2">
        <f t="shared" si="112"/>
        <v>20548131.553869028</v>
      </c>
      <c r="M361" s="2">
        <f t="shared" si="113"/>
        <v>20548131.553869028</v>
      </c>
      <c r="N361" s="2">
        <f t="shared" si="114"/>
        <v>30822197.330803543</v>
      </c>
      <c r="O361" s="2">
        <f t="shared" si="115"/>
        <v>128735282.02423966</v>
      </c>
      <c r="P361" s="189">
        <f t="shared" si="116"/>
        <v>389589273.35668945</v>
      </c>
      <c r="R361" s="308">
        <f t="shared" si="117"/>
        <v>360730.80866360135</v>
      </c>
      <c r="S361" s="730"/>
      <c r="T361" s="730"/>
    </row>
    <row r="362" spans="5:20" s="119" customFormat="1" x14ac:dyDescent="0.25">
      <c r="E362"/>
      <c r="F362" s="15"/>
      <c r="G362"/>
      <c r="H362"/>
      <c r="I362" s="1" t="s">
        <v>1174</v>
      </c>
      <c r="J362" s="2">
        <f t="shared" si="110"/>
        <v>92726330.9480066</v>
      </c>
      <c r="K362" s="2">
        <f t="shared" si="111"/>
        <v>19570381.406111944</v>
      </c>
      <c r="L362" s="2">
        <f t="shared" si="112"/>
        <v>12213095.163212718</v>
      </c>
      <c r="M362" s="2">
        <f t="shared" si="113"/>
        <v>12213095.163212718</v>
      </c>
      <c r="N362" s="2">
        <f t="shared" si="114"/>
        <v>18319642.744819079</v>
      </c>
      <c r="O362" s="2">
        <f t="shared" si="115"/>
        <v>76515776.926151961</v>
      </c>
      <c r="P362" s="189">
        <f t="shared" si="116"/>
        <v>231558322.35151502</v>
      </c>
      <c r="R362" s="308">
        <f t="shared" si="117"/>
        <v>214405.85402918057</v>
      </c>
      <c r="S362" s="730"/>
      <c r="T362" s="730"/>
    </row>
    <row r="363" spans="5:20" s="119" customFormat="1" x14ac:dyDescent="0.25">
      <c r="E363"/>
      <c r="F363" s="15"/>
      <c r="G363"/>
      <c r="H363"/>
      <c r="I363" s="1" t="s">
        <v>1163</v>
      </c>
      <c r="J363" s="2">
        <f t="shared" si="110"/>
        <v>101622974.9224584</v>
      </c>
      <c r="K363" s="2">
        <f t="shared" si="111"/>
        <v>21448065.059011318</v>
      </c>
      <c r="L363" s="2">
        <f t="shared" si="112"/>
        <v>13384882.705999546</v>
      </c>
      <c r="M363" s="2">
        <f t="shared" si="113"/>
        <v>13384882.705999546</v>
      </c>
      <c r="N363" s="2">
        <f t="shared" si="114"/>
        <v>20077324.058999319</v>
      </c>
      <c r="O363" s="2">
        <f t="shared" si="115"/>
        <v>83857096.471322447</v>
      </c>
      <c r="P363" s="189">
        <f t="shared" si="116"/>
        <v>253775225.9237906</v>
      </c>
      <c r="R363" s="308">
        <f t="shared" si="117"/>
        <v>234977.06104054686</v>
      </c>
      <c r="S363" s="730"/>
      <c r="T363" s="730"/>
    </row>
    <row r="364" spans="5:20" s="119" customFormat="1" x14ac:dyDescent="0.25">
      <c r="E364"/>
      <c r="F364" s="15"/>
      <c r="G364"/>
      <c r="H364"/>
      <c r="I364" s="1" t="s">
        <v>1164</v>
      </c>
      <c r="J364" s="2">
        <f t="shared" si="110"/>
        <v>178939047.55757529</v>
      </c>
      <c r="K364" s="2">
        <f t="shared" si="111"/>
        <v>37766030.137779705</v>
      </c>
      <c r="L364" s="2">
        <f t="shared" si="112"/>
        <v>23568274.446885083</v>
      </c>
      <c r="M364" s="2">
        <f t="shared" si="113"/>
        <v>23568274.446885083</v>
      </c>
      <c r="N364" s="2">
        <f t="shared" si="114"/>
        <v>35352411.670327619</v>
      </c>
      <c r="O364" s="2">
        <f t="shared" si="115"/>
        <v>147656659.18530411</v>
      </c>
      <c r="P364" s="189">
        <f t="shared" si="116"/>
        <v>446850697.44475687</v>
      </c>
      <c r="R364" s="308">
        <f t="shared" si="117"/>
        <v>413750.64578218228</v>
      </c>
      <c r="S364" s="730"/>
      <c r="T364" s="730"/>
    </row>
    <row r="365" spans="5:20" s="119" customFormat="1" x14ac:dyDescent="0.25">
      <c r="E365"/>
      <c r="F365" s="15"/>
      <c r="G365"/>
      <c r="H365"/>
      <c r="I365" s="1" t="s">
        <v>1165</v>
      </c>
      <c r="J365" s="2">
        <f t="shared" si="110"/>
        <v>103169296.37516072</v>
      </c>
      <c r="K365" s="2">
        <f t="shared" si="111"/>
        <v>21774424.360586684</v>
      </c>
      <c r="L365" s="2">
        <f t="shared" si="112"/>
        <v>13588550.540817255</v>
      </c>
      <c r="M365" s="2">
        <f t="shared" si="113"/>
        <v>13588550.540817255</v>
      </c>
      <c r="N365" s="2">
        <f t="shared" si="114"/>
        <v>20382825.81122588</v>
      </c>
      <c r="O365" s="2">
        <f t="shared" si="115"/>
        <v>85133087.725602075</v>
      </c>
      <c r="P365" s="189">
        <f t="shared" si="116"/>
        <v>257636735.3542099</v>
      </c>
      <c r="R365" s="308">
        <f t="shared" si="117"/>
        <v>238552.53273537953</v>
      </c>
      <c r="S365" s="730"/>
      <c r="T365" s="730"/>
    </row>
    <row r="366" spans="5:20" s="119" customFormat="1" x14ac:dyDescent="0.25">
      <c r="E366"/>
      <c r="F366" s="15"/>
      <c r="G366"/>
      <c r="H366"/>
      <c r="I366" s="1" t="s">
        <v>1166</v>
      </c>
      <c r="J366" s="2">
        <f t="shared" si="110"/>
        <v>94050236.301347658</v>
      </c>
      <c r="K366" s="2">
        <f t="shared" si="111"/>
        <v>19849798.616364829</v>
      </c>
      <c r="L366" s="2">
        <f t="shared" si="112"/>
        <v>12387468.309460759</v>
      </c>
      <c r="M366" s="2">
        <f t="shared" si="113"/>
        <v>12387468.309460759</v>
      </c>
      <c r="N366" s="2">
        <f t="shared" si="114"/>
        <v>18581202.464191139</v>
      </c>
      <c r="O366" s="2">
        <f t="shared" si="115"/>
        <v>77608235.191802338</v>
      </c>
      <c r="P366" s="189">
        <f t="shared" si="116"/>
        <v>234864409.19262749</v>
      </c>
      <c r="R366" s="308">
        <f t="shared" si="117"/>
        <v>217467.04554872916</v>
      </c>
      <c r="S366" s="730"/>
      <c r="T366" s="730"/>
    </row>
    <row r="367" spans="5:20" s="119" customFormat="1" x14ac:dyDescent="0.25">
      <c r="E367"/>
      <c r="F367" s="15"/>
      <c r="G367"/>
      <c r="H367"/>
      <c r="I367" s="1" t="s">
        <v>1167</v>
      </c>
      <c r="J367" s="2">
        <f t="shared" si="110"/>
        <v>124108183.44360268</v>
      </c>
      <c r="K367" s="2">
        <f t="shared" si="111"/>
        <v>26193686.957946293</v>
      </c>
      <c r="L367" s="2">
        <f t="shared" si="112"/>
        <v>16346436.221876258</v>
      </c>
      <c r="M367" s="2">
        <f t="shared" si="113"/>
        <v>16346436.221876258</v>
      </c>
      <c r="N367" s="2">
        <f t="shared" si="114"/>
        <v>24519654.332814388</v>
      </c>
      <c r="O367" s="2">
        <f t="shared" si="115"/>
        <v>102411407.65512834</v>
      </c>
      <c r="P367" s="189">
        <f t="shared" si="116"/>
        <v>309925804.83324426</v>
      </c>
      <c r="R367" s="308">
        <f t="shared" si="117"/>
        <v>286968.33780855953</v>
      </c>
      <c r="S367" s="730"/>
      <c r="T367" s="730"/>
    </row>
    <row r="368" spans="5:20" s="119" customFormat="1" x14ac:dyDescent="0.25">
      <c r="E368"/>
      <c r="F368" s="15"/>
      <c r="G368"/>
      <c r="H368"/>
      <c r="I368" s="1" t="s">
        <v>1168</v>
      </c>
      <c r="J368" s="2">
        <f t="shared" si="110"/>
        <v>108284866.66047052</v>
      </c>
      <c r="K368" s="2">
        <f t="shared" si="111"/>
        <v>22854092.461003825</v>
      </c>
      <c r="L368" s="2">
        <f t="shared" si="112"/>
        <v>14262328.377919681</v>
      </c>
      <c r="M368" s="2">
        <f t="shared" si="113"/>
        <v>14262328.377919681</v>
      </c>
      <c r="N368" s="2">
        <f t="shared" si="114"/>
        <v>21393492.566879526</v>
      </c>
      <c r="O368" s="2">
        <f t="shared" si="115"/>
        <v>89354346.464075103</v>
      </c>
      <c r="P368" s="189">
        <f t="shared" si="116"/>
        <v>270411454.90826833</v>
      </c>
      <c r="R368" s="308">
        <f t="shared" si="117"/>
        <v>250380.97676691512</v>
      </c>
      <c r="S368" s="730"/>
      <c r="T368" s="730"/>
    </row>
    <row r="369" spans="5:20" s="119" customFormat="1" x14ac:dyDescent="0.25">
      <c r="E369"/>
      <c r="F369" s="15"/>
      <c r="G369"/>
      <c r="H369"/>
      <c r="I369" s="1" t="s">
        <v>1175</v>
      </c>
      <c r="J369" s="2">
        <f t="shared" si="110"/>
        <v>158868642.40092504</v>
      </c>
      <c r="K369" s="2">
        <f t="shared" si="111"/>
        <v>33530065.230345987</v>
      </c>
      <c r="L369" s="2">
        <f t="shared" si="112"/>
        <v>20924777.54976479</v>
      </c>
      <c r="M369" s="2">
        <f t="shared" si="113"/>
        <v>20924777.54976479</v>
      </c>
      <c r="N369" s="2">
        <f t="shared" si="114"/>
        <v>31387166.324647188</v>
      </c>
      <c r="O369" s="2">
        <f t="shared" si="115"/>
        <v>131094991.87804446</v>
      </c>
      <c r="P369" s="189">
        <f t="shared" si="116"/>
        <v>396730420.93349224</v>
      </c>
      <c r="R369" s="308">
        <f t="shared" si="117"/>
        <v>367342.98234582617</v>
      </c>
      <c r="S369" s="730"/>
      <c r="T369" s="730"/>
    </row>
    <row r="370" spans="5:20" s="119" customFormat="1" x14ac:dyDescent="0.25">
      <c r="E370"/>
      <c r="F370" s="15"/>
      <c r="G370"/>
      <c r="H370"/>
      <c r="I370" s="1"/>
      <c r="J370" s="1"/>
      <c r="K370" s="1"/>
      <c r="L370" s="1"/>
      <c r="M370" s="1"/>
      <c r="N370" s="1"/>
      <c r="O370" s="1"/>
      <c r="P370"/>
    </row>
    <row r="371" spans="5:20" s="119" customFormat="1" x14ac:dyDescent="0.25">
      <c r="E371"/>
      <c r="F371" s="15"/>
      <c r="G371"/>
      <c r="H371"/>
      <c r="I371" s="4" t="s">
        <v>573</v>
      </c>
      <c r="J371" s="189">
        <f t="shared" ref="J371:N371" si="118">+SUM(J358:J369)</f>
        <v>1386171269.9193783</v>
      </c>
      <c r="K371" s="189">
        <f t="shared" si="118"/>
        <v>292558760.48549688</v>
      </c>
      <c r="L371" s="189">
        <f t="shared" si="118"/>
        <v>182574264.06237775</v>
      </c>
      <c r="M371" s="189">
        <f t="shared" si="118"/>
        <v>182574264.06237775</v>
      </c>
      <c r="N371" s="189">
        <f t="shared" si="118"/>
        <v>273861396.09356666</v>
      </c>
      <c r="O371" s="189">
        <f>+SUM(O358:O369)</f>
        <v>1143838762.8004389</v>
      </c>
      <c r="P371"/>
    </row>
    <row r="372" spans="5:20" s="119" customFormat="1" x14ac:dyDescent="0.25">
      <c r="E372"/>
      <c r="F372" s="15"/>
      <c r="G372"/>
      <c r="H372"/>
      <c r="I372" s="190" t="s">
        <v>1186</v>
      </c>
      <c r="J372" s="711">
        <f>+SUM(J371:O371)</f>
        <v>3461578717.4236364</v>
      </c>
      <c r="K372" s="712"/>
      <c r="L372" s="712"/>
      <c r="M372" s="712"/>
      <c r="N372" s="712"/>
      <c r="O372" s="713"/>
      <c r="P372" s="189">
        <f>+SUM(P358:P369)</f>
        <v>3461578717.4236364</v>
      </c>
    </row>
    <row r="373" spans="5:20" s="119" customFormat="1" x14ac:dyDescent="0.25">
      <c r="F373" s="120"/>
      <c r="I373" s="12"/>
      <c r="J373" s="237"/>
      <c r="K373" s="238"/>
      <c r="L373" s="238"/>
      <c r="M373" s="238"/>
      <c r="N373" s="238"/>
      <c r="O373" s="238"/>
      <c r="P373" s="239"/>
    </row>
    <row r="374" spans="5:20" s="119" customFormat="1" x14ac:dyDescent="0.25">
      <c r="F374" s="120"/>
      <c r="I374" s="12"/>
      <c r="J374" s="237"/>
      <c r="K374" s="238"/>
      <c r="L374" s="238"/>
      <c r="M374" s="238"/>
      <c r="N374" s="238"/>
      <c r="O374" s="238"/>
      <c r="P374" s="239"/>
    </row>
    <row r="375" spans="5:20" s="119" customFormat="1" x14ac:dyDescent="0.25">
      <c r="F375" s="120"/>
      <c r="I375" s="12"/>
      <c r="J375" s="237"/>
      <c r="K375" s="238"/>
      <c r="L375" s="238"/>
      <c r="M375" s="238"/>
      <c r="N375" s="238"/>
      <c r="O375" s="238"/>
      <c r="P375" s="239"/>
    </row>
    <row r="376" spans="5:20" s="119" customFormat="1" x14ac:dyDescent="0.25">
      <c r="E376" s="49" t="s">
        <v>1415</v>
      </c>
      <c r="F376" s="120"/>
      <c r="I376" s="12"/>
      <c r="J376" s="237"/>
      <c r="K376" s="238"/>
      <c r="L376" s="238"/>
      <c r="M376" s="238"/>
      <c r="N376" s="238"/>
      <c r="O376" s="238"/>
      <c r="P376" s="239"/>
    </row>
    <row r="377" spans="5:20" s="119" customFormat="1" x14ac:dyDescent="0.25">
      <c r="E377" s="49"/>
      <c r="F377" s="120"/>
      <c r="I377" s="12"/>
      <c r="J377" s="237"/>
      <c r="K377" s="238"/>
      <c r="L377" s="238"/>
      <c r="M377" s="238"/>
      <c r="N377" s="238"/>
      <c r="O377" s="238"/>
      <c r="P377" s="239"/>
    </row>
    <row r="378" spans="5:20" s="119" customFormat="1" x14ac:dyDescent="0.25">
      <c r="E378" s="49" t="s">
        <v>1416</v>
      </c>
      <c r="F378" s="120"/>
      <c r="I378" s="12"/>
      <c r="J378" s="237"/>
      <c r="K378" s="238"/>
      <c r="L378" s="238"/>
      <c r="M378" s="238"/>
      <c r="N378" s="238"/>
      <c r="O378" s="238"/>
      <c r="P378" s="239"/>
    </row>
    <row r="379" spans="5:20" s="119" customFormat="1" x14ac:dyDescent="0.25">
      <c r="E379" s="49" t="s">
        <v>1417</v>
      </c>
      <c r="F379" s="120"/>
      <c r="I379" s="12"/>
      <c r="J379" s="237"/>
      <c r="K379" s="238"/>
      <c r="L379" s="238"/>
      <c r="M379" s="238"/>
      <c r="N379" s="238"/>
      <c r="O379" s="238"/>
      <c r="P379" s="239"/>
    </row>
    <row r="380" spans="5:20" s="119" customFormat="1" x14ac:dyDescent="0.25">
      <c r="E380" s="49"/>
      <c r="F380" s="120"/>
      <c r="I380" s="12"/>
      <c r="J380" s="237"/>
      <c r="K380" s="238"/>
      <c r="L380" s="238"/>
      <c r="M380" s="238"/>
      <c r="N380" s="238"/>
      <c r="O380" s="238"/>
      <c r="P380" s="239"/>
    </row>
    <row r="381" spans="5:20" s="119" customFormat="1" x14ac:dyDescent="0.25">
      <c r="E381" s="49" t="s">
        <v>1419</v>
      </c>
      <c r="F381" s="120"/>
      <c r="I381" s="12"/>
      <c r="J381" s="237"/>
      <c r="K381" s="238"/>
      <c r="L381" s="238"/>
      <c r="M381" s="238"/>
      <c r="N381" s="238"/>
      <c r="O381" s="238"/>
      <c r="P381" s="239"/>
    </row>
    <row r="382" spans="5:20" s="119" customFormat="1" x14ac:dyDescent="0.25">
      <c r="E382" s="49"/>
      <c r="F382" s="120"/>
      <c r="I382" s="12"/>
      <c r="J382" s="237"/>
      <c r="K382" s="238"/>
      <c r="L382" s="238"/>
      <c r="M382" s="238"/>
      <c r="N382" s="238"/>
      <c r="O382" s="238"/>
      <c r="P382" s="239"/>
    </row>
    <row r="383" spans="5:20" s="119" customFormat="1" x14ac:dyDescent="0.25">
      <c r="E383" s="49" t="s">
        <v>1418</v>
      </c>
      <c r="F383" s="120"/>
      <c r="I383" s="12"/>
      <c r="J383" s="237"/>
      <c r="K383" s="238"/>
      <c r="L383" s="238"/>
      <c r="M383" s="238"/>
      <c r="N383" s="238"/>
      <c r="O383" s="238"/>
      <c r="P383" s="239"/>
    </row>
    <row r="384" spans="5:20" s="119" customFormat="1" x14ac:dyDescent="0.25">
      <c r="F384" s="120"/>
      <c r="I384" s="12"/>
      <c r="J384" s="237"/>
      <c r="K384" s="238"/>
      <c r="L384" s="238"/>
      <c r="M384" s="238"/>
      <c r="N384" s="238"/>
      <c r="O384" s="238"/>
      <c r="P384" s="239"/>
    </row>
    <row r="386" spans="5:9" x14ac:dyDescent="0.25">
      <c r="E386" s="4" t="s">
        <v>482</v>
      </c>
      <c r="F386" s="227"/>
      <c r="H386" s="707" t="s">
        <v>1402</v>
      </c>
      <c r="I386" s="708"/>
    </row>
    <row r="387" spans="5:9" x14ac:dyDescent="0.25">
      <c r="E387" s="4" t="s">
        <v>479</v>
      </c>
      <c r="F387" s="6" t="s">
        <v>526</v>
      </c>
      <c r="H387" s="1" t="s">
        <v>1158</v>
      </c>
      <c r="I387" s="1">
        <f>+(G156*H156)+(H156*1)</f>
        <v>24</v>
      </c>
    </row>
    <row r="388" spans="5:9" x14ac:dyDescent="0.25">
      <c r="E388" s="1" t="s">
        <v>464</v>
      </c>
      <c r="F388" s="227">
        <v>1</v>
      </c>
      <c r="H388" s="1" t="s">
        <v>1159</v>
      </c>
      <c r="I388" s="1">
        <f>+(G157*H157)+(H157*1)</f>
        <v>12</v>
      </c>
    </row>
    <row r="389" spans="5:9" x14ac:dyDescent="0.25">
      <c r="E389" s="1" t="s">
        <v>465</v>
      </c>
      <c r="F389" s="175">
        <v>1</v>
      </c>
      <c r="H389" s="1" t="s">
        <v>1172</v>
      </c>
      <c r="I389" s="1">
        <f>+(G158*H158)+(H158*1)</f>
        <v>12</v>
      </c>
    </row>
    <row r="390" spans="5:9" x14ac:dyDescent="0.25">
      <c r="E390" s="1" t="s">
        <v>466</v>
      </c>
      <c r="F390" s="175">
        <v>1</v>
      </c>
      <c r="H390" s="1" t="s">
        <v>1173</v>
      </c>
      <c r="I390" s="1">
        <f>+(G159*H159)+(H159*1)</f>
        <v>30</v>
      </c>
    </row>
    <row r="391" spans="5:9" x14ac:dyDescent="0.25">
      <c r="E391" s="1" t="s">
        <v>467</v>
      </c>
      <c r="F391" s="175">
        <v>1</v>
      </c>
      <c r="H391" s="1" t="s">
        <v>1174</v>
      </c>
      <c r="I391" s="1">
        <f>+(G160*H160)+(H160*1)</f>
        <v>16</v>
      </c>
    </row>
    <row r="392" spans="5:9" x14ac:dyDescent="0.25">
      <c r="E392" s="1" t="s">
        <v>468</v>
      </c>
      <c r="F392" s="175">
        <v>1</v>
      </c>
      <c r="H392" s="1" t="s">
        <v>1163</v>
      </c>
      <c r="I392" s="1">
        <f t="shared" ref="I392:I398" si="119">+(G161*H161)+(H161*1)</f>
        <v>16</v>
      </c>
    </row>
    <row r="393" spans="5:9" x14ac:dyDescent="0.25">
      <c r="E393" s="1" t="s">
        <v>469</v>
      </c>
      <c r="F393" s="175">
        <v>1</v>
      </c>
      <c r="H393" s="1" t="s">
        <v>1164</v>
      </c>
      <c r="I393" s="1">
        <f t="shared" si="119"/>
        <v>30</v>
      </c>
    </row>
    <row r="394" spans="5:9" x14ac:dyDescent="0.25">
      <c r="E394" s="1" t="s">
        <v>470</v>
      </c>
      <c r="F394" s="175">
        <v>1</v>
      </c>
      <c r="H394" s="1" t="s">
        <v>1165</v>
      </c>
      <c r="I394" s="1">
        <f t="shared" si="119"/>
        <v>16</v>
      </c>
    </row>
    <row r="395" spans="5:9" x14ac:dyDescent="0.25">
      <c r="E395" s="1" t="s">
        <v>471</v>
      </c>
      <c r="F395" s="175">
        <v>1</v>
      </c>
      <c r="H395" s="1" t="s">
        <v>1166</v>
      </c>
      <c r="I395" s="1">
        <f t="shared" si="119"/>
        <v>16</v>
      </c>
    </row>
    <row r="396" spans="5:9" x14ac:dyDescent="0.25">
      <c r="E396" s="1" t="s">
        <v>472</v>
      </c>
      <c r="F396" s="175">
        <v>1</v>
      </c>
      <c r="H396" s="1" t="s">
        <v>1167</v>
      </c>
      <c r="I396" s="1">
        <f t="shared" si="119"/>
        <v>20</v>
      </c>
    </row>
    <row r="397" spans="5:9" x14ac:dyDescent="0.25">
      <c r="E397" s="1"/>
      <c r="F397" s="175"/>
      <c r="H397" s="1" t="s">
        <v>1168</v>
      </c>
      <c r="I397" s="1">
        <f t="shared" si="119"/>
        <v>16</v>
      </c>
    </row>
    <row r="398" spans="5:9" x14ac:dyDescent="0.25">
      <c r="E398" s="20" t="s">
        <v>476</v>
      </c>
      <c r="F398" s="21">
        <f>+SUM(F388:F396)</f>
        <v>9</v>
      </c>
      <c r="H398" s="1" t="s">
        <v>1175</v>
      </c>
      <c r="I398" s="1">
        <f t="shared" si="119"/>
        <v>30</v>
      </c>
    </row>
    <row r="399" spans="5:9" x14ac:dyDescent="0.25">
      <c r="E399" s="4" t="s">
        <v>477</v>
      </c>
      <c r="F399" s="6"/>
      <c r="H399" s="227"/>
      <c r="I399" s="1"/>
    </row>
    <row r="400" spans="5:9" x14ac:dyDescent="0.25">
      <c r="E400" s="4" t="s">
        <v>478</v>
      </c>
      <c r="F400" s="6"/>
      <c r="H400" s="6" t="s">
        <v>569</v>
      </c>
      <c r="I400" s="4">
        <f>+SUM(I387:I398)</f>
        <v>238</v>
      </c>
    </row>
    <row r="402" spans="5:6" x14ac:dyDescent="0.25">
      <c r="E402" s="4" t="s">
        <v>480</v>
      </c>
      <c r="F402" s="175"/>
    </row>
    <row r="403" spans="5:6" x14ac:dyDescent="0.25">
      <c r="E403" s="1" t="s">
        <v>464</v>
      </c>
      <c r="F403" s="175">
        <v>1</v>
      </c>
    </row>
    <row r="404" spans="5:6" x14ac:dyDescent="0.25">
      <c r="E404" s="1" t="s">
        <v>465</v>
      </c>
      <c r="F404" s="175">
        <v>1</v>
      </c>
    </row>
    <row r="405" spans="5:6" x14ac:dyDescent="0.25">
      <c r="E405" s="1" t="s">
        <v>466</v>
      </c>
      <c r="F405" s="175">
        <v>1</v>
      </c>
    </row>
    <row r="406" spans="5:6" x14ac:dyDescent="0.25">
      <c r="E406" s="1" t="s">
        <v>467</v>
      </c>
      <c r="F406" s="175">
        <v>1</v>
      </c>
    </row>
    <row r="407" spans="5:6" x14ac:dyDescent="0.25">
      <c r="E407" s="1" t="s">
        <v>468</v>
      </c>
      <c r="F407" s="175">
        <v>1</v>
      </c>
    </row>
    <row r="408" spans="5:6" x14ac:dyDescent="0.25">
      <c r="E408" s="1" t="s">
        <v>469</v>
      </c>
      <c r="F408" s="175">
        <v>1</v>
      </c>
    </row>
    <row r="409" spans="5:6" x14ac:dyDescent="0.25">
      <c r="E409" s="1" t="s">
        <v>470</v>
      </c>
      <c r="F409" s="175">
        <v>1</v>
      </c>
    </row>
    <row r="410" spans="5:6" x14ac:dyDescent="0.25">
      <c r="E410" s="1" t="s">
        <v>471</v>
      </c>
      <c r="F410" s="175">
        <v>1</v>
      </c>
    </row>
    <row r="411" spans="5:6" x14ac:dyDescent="0.25">
      <c r="E411" s="1" t="s">
        <v>472</v>
      </c>
      <c r="F411" s="175">
        <v>1</v>
      </c>
    </row>
    <row r="412" spans="5:6" x14ac:dyDescent="0.25">
      <c r="E412" s="1" t="s">
        <v>481</v>
      </c>
      <c r="F412" s="175">
        <v>1</v>
      </c>
    </row>
    <row r="413" spans="5:6" x14ac:dyDescent="0.25">
      <c r="E413" s="1"/>
      <c r="F413" s="175"/>
    </row>
    <row r="414" spans="5:6" x14ac:dyDescent="0.25">
      <c r="E414" s="20" t="s">
        <v>476</v>
      </c>
      <c r="F414" s="21">
        <f>+SUM(F403:F412)</f>
        <v>10</v>
      </c>
    </row>
    <row r="417" spans="5:6" x14ac:dyDescent="0.25">
      <c r="E417" s="19" t="s">
        <v>487</v>
      </c>
    </row>
    <row r="419" spans="5:6" x14ac:dyDescent="0.25">
      <c r="E419" s="4" t="s">
        <v>483</v>
      </c>
      <c r="F419" s="175"/>
    </row>
    <row r="420" spans="5:6" x14ac:dyDescent="0.25">
      <c r="E420" s="1"/>
      <c r="F420" s="175"/>
    </row>
    <row r="421" spans="5:6" x14ac:dyDescent="0.25">
      <c r="E421" s="1" t="s">
        <v>528</v>
      </c>
      <c r="F421" s="175">
        <v>1</v>
      </c>
    </row>
    <row r="422" spans="5:6" x14ac:dyDescent="0.25">
      <c r="E422" s="1" t="s">
        <v>529</v>
      </c>
      <c r="F422" s="175">
        <v>1</v>
      </c>
    </row>
    <row r="423" spans="5:6" x14ac:dyDescent="0.25">
      <c r="E423" s="1" t="s">
        <v>530</v>
      </c>
      <c r="F423" s="175">
        <v>1</v>
      </c>
    </row>
    <row r="424" spans="5:6" x14ac:dyDescent="0.25">
      <c r="E424" s="1" t="s">
        <v>531</v>
      </c>
      <c r="F424" s="175">
        <v>1</v>
      </c>
    </row>
    <row r="425" spans="5:6" x14ac:dyDescent="0.25">
      <c r="E425" s="1" t="s">
        <v>532</v>
      </c>
      <c r="F425" s="175">
        <v>1</v>
      </c>
    </row>
    <row r="426" spans="5:6" x14ac:dyDescent="0.25">
      <c r="E426" s="1" t="s">
        <v>533</v>
      </c>
      <c r="F426" s="175">
        <v>1</v>
      </c>
    </row>
    <row r="427" spans="5:6" x14ac:dyDescent="0.25">
      <c r="E427" s="24" t="s">
        <v>486</v>
      </c>
      <c r="F427" s="25">
        <v>1</v>
      </c>
    </row>
    <row r="428" spans="5:6" x14ac:dyDescent="0.25">
      <c r="E428" s="24" t="s">
        <v>486</v>
      </c>
      <c r="F428" s="25">
        <v>1</v>
      </c>
    </row>
    <row r="429" spans="5:6" x14ac:dyDescent="0.25">
      <c r="E429" s="24" t="s">
        <v>486</v>
      </c>
      <c r="F429" s="25">
        <v>1</v>
      </c>
    </row>
    <row r="430" spans="5:6" x14ac:dyDescent="0.25">
      <c r="E430" s="1"/>
      <c r="F430" s="175"/>
    </row>
    <row r="431" spans="5:6" x14ac:dyDescent="0.25">
      <c r="E431" s="20" t="s">
        <v>476</v>
      </c>
      <c r="F431" s="21">
        <f>+SUM(F421:F429)</f>
        <v>9</v>
      </c>
    </row>
    <row r="434" spans="5:11" x14ac:dyDescent="0.25">
      <c r="E434" s="22" t="s">
        <v>488</v>
      </c>
      <c r="F434" s="175"/>
    </row>
    <row r="435" spans="5:11" x14ac:dyDescent="0.25">
      <c r="E435" s="4"/>
      <c r="F435" s="175"/>
    </row>
    <row r="436" spans="5:11" x14ac:dyDescent="0.25">
      <c r="E436" s="4" t="s">
        <v>489</v>
      </c>
      <c r="F436" s="175"/>
    </row>
    <row r="437" spans="5:11" x14ac:dyDescent="0.25">
      <c r="E437" s="1"/>
      <c r="F437" s="175"/>
    </row>
    <row r="438" spans="5:11" x14ac:dyDescent="0.25">
      <c r="E438" s="1" t="s">
        <v>490</v>
      </c>
      <c r="F438" s="175">
        <v>2</v>
      </c>
    </row>
    <row r="439" spans="5:11" x14ac:dyDescent="0.25">
      <c r="E439" s="1" t="s">
        <v>491</v>
      </c>
      <c r="F439" s="175">
        <v>2</v>
      </c>
    </row>
    <row r="440" spans="5:11" x14ac:dyDescent="0.25">
      <c r="E440" s="1" t="s">
        <v>492</v>
      </c>
      <c r="F440" s="175">
        <v>2</v>
      </c>
    </row>
    <row r="441" spans="5:11" x14ac:dyDescent="0.25">
      <c r="E441" s="1" t="s">
        <v>493</v>
      </c>
      <c r="F441" s="175">
        <v>2</v>
      </c>
    </row>
    <row r="442" spans="5:11" x14ac:dyDescent="0.25">
      <c r="E442" s="1"/>
      <c r="F442" s="175"/>
    </row>
    <row r="443" spans="5:11" x14ac:dyDescent="0.25">
      <c r="E443" s="20" t="s">
        <v>476</v>
      </c>
      <c r="F443" s="21">
        <f>+SUM(F438:F441)</f>
        <v>8</v>
      </c>
    </row>
    <row r="445" spans="5:11" x14ac:dyDescent="0.25">
      <c r="E445" s="4" t="s">
        <v>494</v>
      </c>
      <c r="F445" s="6">
        <f>+F443+F431+F414+F398</f>
        <v>36</v>
      </c>
    </row>
    <row r="446" spans="5:11" x14ac:dyDescent="0.25">
      <c r="K446" s="48"/>
    </row>
    <row r="447" spans="5:11" x14ac:dyDescent="0.25">
      <c r="K447" s="48"/>
    </row>
    <row r="448" spans="5:11" x14ac:dyDescent="0.25">
      <c r="K448" s="48"/>
    </row>
    <row r="449" spans="5:11" x14ac:dyDescent="0.25">
      <c r="E449" s="181" t="s">
        <v>1189</v>
      </c>
      <c r="K449" s="48"/>
    </row>
    <row r="451" spans="5:11" x14ac:dyDescent="0.25">
      <c r="E451" s="181" t="s">
        <v>1190</v>
      </c>
    </row>
    <row r="453" spans="5:11" x14ac:dyDescent="0.25">
      <c r="E453" s="181" t="s">
        <v>1191</v>
      </c>
    </row>
    <row r="455" spans="5:11" x14ac:dyDescent="0.25">
      <c r="E455" s="181" t="s">
        <v>1192</v>
      </c>
      <c r="J455" s="35"/>
    </row>
    <row r="458" spans="5:11" x14ac:dyDescent="0.25">
      <c r="E458" t="s">
        <v>1204</v>
      </c>
    </row>
    <row r="460" spans="5:11" x14ac:dyDescent="0.25">
      <c r="E460" t="s">
        <v>1258</v>
      </c>
    </row>
    <row r="461" spans="5:11" x14ac:dyDescent="0.25">
      <c r="E461" s="181" t="s">
        <v>1257</v>
      </c>
    </row>
    <row r="464" spans="5:11" x14ac:dyDescent="0.25">
      <c r="E464" s="53"/>
    </row>
    <row r="465" spans="5:6" x14ac:dyDescent="0.25">
      <c r="E465" s="53"/>
      <c r="F465" s="232"/>
    </row>
  </sheetData>
  <mergeCells count="51">
    <mergeCell ref="W181:AB181"/>
    <mergeCell ref="U178:U189"/>
    <mergeCell ref="V178:V189"/>
    <mergeCell ref="T175:V175"/>
    <mergeCell ref="S314:S325"/>
    <mergeCell ref="T314:T325"/>
    <mergeCell ref="S358:S369"/>
    <mergeCell ref="T358:T369"/>
    <mergeCell ref="S178:S189"/>
    <mergeCell ref="T178:T189"/>
    <mergeCell ref="S223:S234"/>
    <mergeCell ref="T223:T234"/>
    <mergeCell ref="S269:S280"/>
    <mergeCell ref="T269:T280"/>
    <mergeCell ref="H386:I386"/>
    <mergeCell ref="D20:D23"/>
    <mergeCell ref="E20:F20"/>
    <mergeCell ref="E21:F21"/>
    <mergeCell ref="D25:F25"/>
    <mergeCell ref="D26:D29"/>
    <mergeCell ref="E197:G197"/>
    <mergeCell ref="E332:G332"/>
    <mergeCell ref="E243:G243"/>
    <mergeCell ref="D39:J39"/>
    <mergeCell ref="J198:O198"/>
    <mergeCell ref="J219:O219"/>
    <mergeCell ref="J237:O237"/>
    <mergeCell ref="J244:O244"/>
    <mergeCell ref="J265:O265"/>
    <mergeCell ref="J283:O283"/>
    <mergeCell ref="D3:F3"/>
    <mergeCell ref="D5:D13"/>
    <mergeCell ref="E6:F6"/>
    <mergeCell ref="D15:D18"/>
    <mergeCell ref="E15:F15"/>
    <mergeCell ref="E16:F16"/>
    <mergeCell ref="H7:I7"/>
    <mergeCell ref="D31:D32"/>
    <mergeCell ref="J153:O153"/>
    <mergeCell ref="J174:O174"/>
    <mergeCell ref="J192:O192"/>
    <mergeCell ref="E152:G152"/>
    <mergeCell ref="D30:F30"/>
    <mergeCell ref="J175:O175"/>
    <mergeCell ref="E288:G288"/>
    <mergeCell ref="J354:O354"/>
    <mergeCell ref="J372:O372"/>
    <mergeCell ref="J289:O289"/>
    <mergeCell ref="J310:O310"/>
    <mergeCell ref="J328:O328"/>
    <mergeCell ref="J333:O333"/>
  </mergeCells>
  <hyperlinks>
    <hyperlink ref="E107" r:id="rId1"/>
    <hyperlink ref="E449" r:id="rId2"/>
    <hyperlink ref="E451" r:id="rId3"/>
    <hyperlink ref="E453" r:id="rId4"/>
    <hyperlink ref="E455" r:id="rId5"/>
    <hyperlink ref="J9" r:id="rId6"/>
    <hyperlink ref="E461" display="https://caldas.gov.co/index.php/component/easyfolderlistingpro/?view=download&amp;format=raw&amp;data=eNpNUEFugzAQ_Arae4WhEWmXE4qKxAFa5QORAwuxBBjZpo1U9dA39Em95lGxMag9eXfGOzO7HKMIPzUmCK3sG1KQatwxhIEawcNG1vNAo5E6LKr89Vhmh-L3pwryosqqQ_FyzNx_KwGzJuUV9AIhsI3qZtLmT32Pc"/>
  </hyperlinks>
  <pageMargins left="0.7" right="0.7" top="0.75" bottom="0.75" header="0.3" footer="0.3"/>
  <pageSetup paperSize="9" orientation="portrait" horizontalDpi="360" verticalDpi="360" r:id="rId7"/>
  <legacy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C2:L92"/>
  <sheetViews>
    <sheetView topLeftCell="A25" workbookViewId="0">
      <selection activeCell="H45" sqref="H45"/>
    </sheetView>
  </sheetViews>
  <sheetFormatPr baseColWidth="10" defaultRowHeight="15" x14ac:dyDescent="0.25"/>
  <cols>
    <col min="2" max="2" width="11" customWidth="1"/>
    <col min="3" max="3" width="61.140625" bestFit="1" customWidth="1"/>
    <col min="4" max="4" width="30.85546875" hidden="1" customWidth="1"/>
    <col min="5" max="5" width="30.85546875" style="15" bestFit="1" customWidth="1"/>
    <col min="6" max="6" width="26.42578125" bestFit="1" customWidth="1"/>
    <col min="7" max="7" width="22.140625" bestFit="1" customWidth="1"/>
    <col min="8" max="8" width="40" bestFit="1" customWidth="1"/>
    <col min="9" max="9" width="23.28515625" bestFit="1" customWidth="1"/>
    <col min="10" max="10" width="26.42578125" bestFit="1" customWidth="1"/>
    <col min="11" max="11" width="22.140625" bestFit="1" customWidth="1"/>
    <col min="12" max="12" width="23.28515625" bestFit="1" customWidth="1"/>
  </cols>
  <sheetData>
    <row r="2" spans="3:12" x14ac:dyDescent="0.25">
      <c r="C2" s="721" t="s">
        <v>1801</v>
      </c>
      <c r="D2" s="721"/>
      <c r="E2" s="721"/>
      <c r="F2" s="721"/>
    </row>
    <row r="4" spans="3:12" x14ac:dyDescent="0.25">
      <c r="C4" s="127" t="s">
        <v>1802</v>
      </c>
      <c r="D4" s="128" t="s">
        <v>1481</v>
      </c>
      <c r="E4" s="128" t="s">
        <v>1480</v>
      </c>
      <c r="F4" s="128" t="s">
        <v>1092</v>
      </c>
      <c r="H4" s="718" t="s">
        <v>1807</v>
      </c>
      <c r="I4" s="720"/>
    </row>
    <row r="5" spans="3:12" x14ac:dyDescent="0.25">
      <c r="C5" s="1"/>
      <c r="D5" s="30"/>
      <c r="E5" s="30"/>
      <c r="F5" s="1"/>
      <c r="H5" s="1" t="str">
        <f>+'Calculos oferta -demanda 2'!E59</f>
        <v xml:space="preserve">Valor esperado - personas alojadas por año </v>
      </c>
      <c r="I5" s="77">
        <f>+AVERAGE('Servicios complementarios'!E49:I49)</f>
        <v>7933.8531383797181</v>
      </c>
    </row>
    <row r="6" spans="3:12" x14ac:dyDescent="0.25">
      <c r="C6" s="1" t="s">
        <v>596</v>
      </c>
      <c r="D6" s="30">
        <v>7995669</v>
      </c>
      <c r="E6" s="30">
        <f>+(D6*'Calculos oferta -demanda 2'!$C$76)+'gastos de mantenimiento'!D6</f>
        <v>8307500.091</v>
      </c>
      <c r="F6" s="29">
        <f t="shared" ref="F6:F9" si="0">+E6*12</f>
        <v>99690001.092000008</v>
      </c>
      <c r="H6" s="1" t="s">
        <v>1808</v>
      </c>
      <c r="I6" s="77">
        <f>+I5/12</f>
        <v>661.1544281983098</v>
      </c>
    </row>
    <row r="7" spans="3:12" x14ac:dyDescent="0.25">
      <c r="C7" s="1" t="s">
        <v>1076</v>
      </c>
      <c r="D7" s="30">
        <v>1899228.6159962623</v>
      </c>
      <c r="E7" s="30">
        <f>+(D7*'Calculos oferta -demanda 2'!$C$76)+'gastos de mantenimiento'!D7</f>
        <v>1973298.5320201165</v>
      </c>
      <c r="F7" s="29">
        <f>+E7*12</f>
        <v>23679582.384241398</v>
      </c>
      <c r="I7" s="46"/>
    </row>
    <row r="8" spans="3:12" x14ac:dyDescent="0.25">
      <c r="C8" s="1" t="s">
        <v>1077</v>
      </c>
      <c r="D8" s="30">
        <v>13577176.848048033</v>
      </c>
      <c r="E8" s="30">
        <f>+(D8*'Calculos oferta -demanda 2'!$C$76)+'gastos de mantenimiento'!D8</f>
        <v>14106686.745121907</v>
      </c>
      <c r="F8" s="29">
        <f t="shared" si="0"/>
        <v>169280240.94146287</v>
      </c>
      <c r="I8" s="222" t="s">
        <v>1112</v>
      </c>
      <c r="J8" s="222" t="s">
        <v>1233</v>
      </c>
      <c r="K8" s="222" t="s">
        <v>1091</v>
      </c>
      <c r="L8" s="222" t="s">
        <v>1092</v>
      </c>
    </row>
    <row r="9" spans="3:12" x14ac:dyDescent="0.25">
      <c r="C9" s="1" t="s">
        <v>1078</v>
      </c>
      <c r="D9" s="30">
        <v>180000</v>
      </c>
      <c r="E9" s="30">
        <f>+(D9*'Calculos oferta -demanda 2'!$C$76)+'gastos de mantenimiento'!D9</f>
        <v>187020</v>
      </c>
      <c r="F9" s="29">
        <f t="shared" si="0"/>
        <v>2244240</v>
      </c>
      <c r="H9" s="1" t="s">
        <v>1244</v>
      </c>
      <c r="I9" s="29">
        <v>7500</v>
      </c>
      <c r="J9" s="77">
        <f>+I6</f>
        <v>661.1544281983098</v>
      </c>
      <c r="K9" s="77">
        <f>+I9*J9</f>
        <v>4958658.211487324</v>
      </c>
      <c r="L9" s="2">
        <f>+K9*12</f>
        <v>59503898.537847891</v>
      </c>
    </row>
    <row r="10" spans="3:12" x14ac:dyDescent="0.25">
      <c r="C10" s="1" t="s">
        <v>1079</v>
      </c>
      <c r="D10" s="30">
        <v>150000</v>
      </c>
      <c r="E10" s="30">
        <f>+(D10*'Calculos oferta -demanda 2'!$C$76)+'gastos de mantenimiento'!D10</f>
        <v>155850</v>
      </c>
      <c r="F10" s="29">
        <f t="shared" ref="F10:F15" si="1">+E10*12</f>
        <v>1870200</v>
      </c>
      <c r="H10" s="1" t="s">
        <v>1245</v>
      </c>
      <c r="I10" s="29">
        <v>15000</v>
      </c>
      <c r="J10" s="77">
        <f>+I6</f>
        <v>661.1544281983098</v>
      </c>
      <c r="K10" s="77">
        <f t="shared" ref="K10:K11" si="2">+I10*J10</f>
        <v>9917316.422974648</v>
      </c>
      <c r="L10" s="2">
        <f t="shared" ref="L10:L11" si="3">+K10*12</f>
        <v>119007797.07569578</v>
      </c>
    </row>
    <row r="11" spans="3:12" x14ac:dyDescent="0.25">
      <c r="C11" s="1" t="s">
        <v>1098</v>
      </c>
      <c r="D11" s="30">
        <v>150000</v>
      </c>
      <c r="E11" s="30">
        <f>+(D11*'Calculos oferta -demanda 2'!$C$76)+'gastos de mantenimiento'!D11</f>
        <v>155850</v>
      </c>
      <c r="F11" s="29">
        <f t="shared" si="1"/>
        <v>1870200</v>
      </c>
      <c r="H11" s="1" t="s">
        <v>1246</v>
      </c>
      <c r="I11" s="29">
        <v>15000</v>
      </c>
      <c r="J11" s="77">
        <f>+I6</f>
        <v>661.1544281983098</v>
      </c>
      <c r="K11" s="77">
        <f t="shared" si="2"/>
        <v>9917316.422974648</v>
      </c>
      <c r="L11" s="2">
        <f t="shared" si="3"/>
        <v>119007797.07569578</v>
      </c>
    </row>
    <row r="12" spans="3:12" x14ac:dyDescent="0.25">
      <c r="C12" s="5" t="s">
        <v>830</v>
      </c>
      <c r="D12" s="30">
        <v>500000</v>
      </c>
      <c r="E12" s="30">
        <f>+(D12*'Calculos oferta -demanda 2'!$C$76)+'gastos de mantenimiento'!D12</f>
        <v>519500</v>
      </c>
      <c r="F12" s="29">
        <f t="shared" si="1"/>
        <v>6234000</v>
      </c>
      <c r="H12" s="160" t="s">
        <v>1247</v>
      </c>
      <c r="I12" s="160"/>
      <c r="J12" s="160"/>
      <c r="K12" s="160">
        <f>+SUM(K9:K11)</f>
        <v>24793291.057436623</v>
      </c>
      <c r="L12" s="160">
        <f>+SUM(L9:L11)</f>
        <v>297519492.6892395</v>
      </c>
    </row>
    <row r="13" spans="3:12" x14ac:dyDescent="0.25">
      <c r="C13" s="5" t="s">
        <v>1080</v>
      </c>
      <c r="D13" s="30">
        <v>300000</v>
      </c>
      <c r="E13" s="30">
        <f>+(D13*'Calculos oferta -demanda 2'!$C$76)+'gastos de mantenimiento'!D13</f>
        <v>311700</v>
      </c>
      <c r="F13" s="29">
        <f t="shared" si="1"/>
        <v>3740400</v>
      </c>
      <c r="J13" s="35"/>
    </row>
    <row r="14" spans="3:12" x14ac:dyDescent="0.25">
      <c r="C14" s="5" t="s">
        <v>1099</v>
      </c>
      <c r="D14" s="30">
        <v>400000</v>
      </c>
      <c r="E14" s="30">
        <f>+(D14*'Calculos oferta -demanda 2'!$C$76)+'gastos de mantenimiento'!D14</f>
        <v>415600</v>
      </c>
      <c r="F14" s="29">
        <f t="shared" si="1"/>
        <v>4987200</v>
      </c>
      <c r="J14" s="35"/>
    </row>
    <row r="15" spans="3:12" x14ac:dyDescent="0.25">
      <c r="C15" s="5" t="s">
        <v>1450</v>
      </c>
      <c r="D15" s="30">
        <v>24793291.057436623</v>
      </c>
      <c r="E15" s="30">
        <f>+(D15*'Calculos oferta -demanda 2'!$C$76)+'gastos de mantenimiento'!D15</f>
        <v>25760229.40867665</v>
      </c>
      <c r="F15" s="29">
        <f t="shared" si="1"/>
        <v>309122752.90411979</v>
      </c>
    </row>
    <row r="16" spans="3:12" x14ac:dyDescent="0.25">
      <c r="C16" s="157" t="s">
        <v>1803</v>
      </c>
      <c r="D16" s="349"/>
      <c r="E16" s="158">
        <f>+SUM(E6:E15)</f>
        <v>51893234.776818678</v>
      </c>
      <c r="F16" s="158">
        <f>+SUM(F6:F15)</f>
        <v>622718817.32182407</v>
      </c>
      <c r="I16" s="161"/>
      <c r="J16" s="35"/>
    </row>
    <row r="17" spans="3:10" x14ac:dyDescent="0.25">
      <c r="I17" s="35"/>
    </row>
    <row r="18" spans="3:10" x14ac:dyDescent="0.25">
      <c r="J18" s="46"/>
    </row>
    <row r="19" spans="3:10" x14ac:dyDescent="0.25">
      <c r="C19" s="127" t="s">
        <v>1804</v>
      </c>
      <c r="D19" s="128" t="s">
        <v>1481</v>
      </c>
      <c r="E19" s="128" t="s">
        <v>1480</v>
      </c>
      <c r="F19" s="128" t="s">
        <v>1092</v>
      </c>
    </row>
    <row r="20" spans="3:10" x14ac:dyDescent="0.25">
      <c r="C20" s="1" t="s">
        <v>1081</v>
      </c>
      <c r="D20" s="29">
        <v>500000</v>
      </c>
      <c r="E20" s="30">
        <f>+(D20*'Calculos oferta -demanda 2'!$C$76)+'gastos de mantenimiento'!D20</f>
        <v>519500</v>
      </c>
      <c r="F20" s="29">
        <f>+E20*12</f>
        <v>6234000</v>
      </c>
      <c r="H20" s="46"/>
    </row>
    <row r="21" spans="3:10" x14ac:dyDescent="0.25">
      <c r="C21" s="1" t="s">
        <v>1082</v>
      </c>
      <c r="D21" s="29">
        <v>80000</v>
      </c>
      <c r="E21" s="30">
        <f>+(D21*'Calculos oferta -demanda 2'!$C$76)+'gastos de mantenimiento'!D21</f>
        <v>83120</v>
      </c>
      <c r="F21" s="29">
        <f t="shared" ref="F21:F35" si="4">+E21*12</f>
        <v>997440</v>
      </c>
      <c r="H21" s="46"/>
    </row>
    <row r="22" spans="3:10" x14ac:dyDescent="0.25">
      <c r="C22" s="1" t="s">
        <v>1083</v>
      </c>
      <c r="D22" s="29">
        <v>150000</v>
      </c>
      <c r="E22" s="30">
        <f>+(D22*'Calculos oferta -demanda 2'!$C$76)+'gastos de mantenimiento'!D22</f>
        <v>155850</v>
      </c>
      <c r="F22" s="29">
        <f t="shared" si="4"/>
        <v>1870200</v>
      </c>
      <c r="H22" s="46"/>
    </row>
    <row r="23" spans="3:10" x14ac:dyDescent="0.25">
      <c r="C23" s="1" t="s">
        <v>1084</v>
      </c>
      <c r="D23" s="29">
        <v>55000</v>
      </c>
      <c r="E23" s="30">
        <f>+(D23*'Calculos oferta -demanda 2'!$C$76)+'gastos de mantenimiento'!D23</f>
        <v>57145</v>
      </c>
      <c r="F23" s="29">
        <f>+E23*12</f>
        <v>685740</v>
      </c>
      <c r="H23" s="46"/>
    </row>
    <row r="24" spans="3:10" x14ac:dyDescent="0.25">
      <c r="C24" s="1" t="s">
        <v>1085</v>
      </c>
      <c r="D24" s="29">
        <v>379000</v>
      </c>
      <c r="E24" s="30">
        <f>+(D24*'Calculos oferta -demanda 2'!$C$76)+'gastos de mantenimiento'!D24</f>
        <v>393781</v>
      </c>
      <c r="F24" s="29">
        <f t="shared" si="4"/>
        <v>4725372</v>
      </c>
      <c r="H24" s="46"/>
    </row>
    <row r="25" spans="3:10" x14ac:dyDescent="0.25">
      <c r="C25" s="5" t="s">
        <v>1086</v>
      </c>
      <c r="D25" s="65">
        <v>130000</v>
      </c>
      <c r="E25" s="30">
        <f>+(D25*'Calculos oferta -demanda 2'!$C$76)+'gastos de mantenimiento'!D25</f>
        <v>135070</v>
      </c>
      <c r="F25" s="29">
        <f t="shared" si="4"/>
        <v>1620840</v>
      </c>
      <c r="H25" s="46"/>
    </row>
    <row r="26" spans="3:10" x14ac:dyDescent="0.25">
      <c r="C26" s="5" t="s">
        <v>1087</v>
      </c>
      <c r="D26" s="65">
        <v>1983463.2845949293</v>
      </c>
      <c r="E26" s="30">
        <f>+(D26*'Calculos oferta -demanda 2'!$C$76)+'gastos de mantenimiento'!D26</f>
        <v>2060818.3526941314</v>
      </c>
      <c r="F26" s="29">
        <f t="shared" si="4"/>
        <v>24729820.232329577</v>
      </c>
      <c r="H26" s="46"/>
    </row>
    <row r="27" spans="3:10" x14ac:dyDescent="0.25">
      <c r="C27" s="5" t="s">
        <v>1088</v>
      </c>
      <c r="D27" s="65">
        <v>150000</v>
      </c>
      <c r="E27" s="30">
        <f>+(D27*'Calculos oferta -demanda 2'!$C$76)+'gastos de mantenimiento'!D27</f>
        <v>155850</v>
      </c>
      <c r="F27" s="29">
        <f t="shared" si="4"/>
        <v>1870200</v>
      </c>
    </row>
    <row r="28" spans="3:10" x14ac:dyDescent="0.25">
      <c r="C28" s="5" t="s">
        <v>1089</v>
      </c>
      <c r="D28" s="65">
        <v>850000</v>
      </c>
      <c r="E28" s="30">
        <f>+(D28*'Calculos oferta -demanda 2'!$C$76)+'gastos de mantenimiento'!D28</f>
        <v>883150</v>
      </c>
      <c r="F28" s="29">
        <f t="shared" si="4"/>
        <v>10597800</v>
      </c>
      <c r="H28" s="35"/>
    </row>
    <row r="29" spans="3:10" x14ac:dyDescent="0.25">
      <c r="C29" s="5" t="s">
        <v>1090</v>
      </c>
      <c r="D29" s="65">
        <v>573000</v>
      </c>
      <c r="E29" s="30">
        <f>+(D29*'Calculos oferta -demanda 2'!$C$76)+'gastos de mantenimiento'!D29</f>
        <v>595347</v>
      </c>
      <c r="F29" s="29">
        <f t="shared" si="4"/>
        <v>7144164</v>
      </c>
    </row>
    <row r="30" spans="3:10" x14ac:dyDescent="0.25">
      <c r="C30" s="5" t="s">
        <v>1093</v>
      </c>
      <c r="D30" s="65">
        <v>250000</v>
      </c>
      <c r="E30" s="30">
        <f>+(D30*'Calculos oferta -demanda 2'!$C$76)+'gastos de mantenimiento'!D30</f>
        <v>259750</v>
      </c>
      <c r="F30" s="29">
        <f t="shared" si="4"/>
        <v>3117000</v>
      </c>
    </row>
    <row r="31" spans="3:10" x14ac:dyDescent="0.25">
      <c r="C31" s="5" t="s">
        <v>1094</v>
      </c>
      <c r="D31" s="65">
        <v>509000</v>
      </c>
      <c r="E31" s="30">
        <f>+(D31*'Calculos oferta -demanda 2'!$C$76)+'gastos de mantenimiento'!D31</f>
        <v>528851</v>
      </c>
      <c r="F31" s="29">
        <f t="shared" si="4"/>
        <v>6346212</v>
      </c>
    </row>
    <row r="32" spans="3:10" x14ac:dyDescent="0.25">
      <c r="C32" s="5" t="s">
        <v>1095</v>
      </c>
      <c r="D32" s="65">
        <v>400000</v>
      </c>
      <c r="E32" s="30">
        <f>+(D32*'Calculos oferta -demanda 2'!$C$76)+'gastos de mantenimiento'!D32</f>
        <v>415600</v>
      </c>
      <c r="F32" s="29">
        <f t="shared" si="4"/>
        <v>4987200</v>
      </c>
    </row>
    <row r="33" spans="3:8" x14ac:dyDescent="0.25">
      <c r="C33" s="5" t="s">
        <v>1100</v>
      </c>
      <c r="D33" s="65">
        <v>509000</v>
      </c>
      <c r="E33" s="30">
        <f>+(D33*'Calculos oferta -demanda 2'!$C$76)+'gastos de mantenimiento'!D33</f>
        <v>528851</v>
      </c>
      <c r="F33" s="29">
        <f t="shared" si="4"/>
        <v>6346212</v>
      </c>
    </row>
    <row r="34" spans="3:8" x14ac:dyDescent="0.25">
      <c r="C34" s="5" t="s">
        <v>1096</v>
      </c>
      <c r="D34" s="65">
        <v>120000</v>
      </c>
      <c r="E34" s="30">
        <f>+(D34*'Calculos oferta -demanda 2'!$C$76)+'gastos de mantenimiento'!D34</f>
        <v>124680</v>
      </c>
      <c r="F34" s="29">
        <f t="shared" si="4"/>
        <v>1496160</v>
      </c>
    </row>
    <row r="35" spans="3:8" x14ac:dyDescent="0.25">
      <c r="C35" s="5" t="s">
        <v>1097</v>
      </c>
      <c r="D35" s="65">
        <v>150000</v>
      </c>
      <c r="E35" s="30">
        <f>+(D35*'Calculos oferta -demanda 2'!$C$76)+'gastos de mantenimiento'!D35</f>
        <v>155850</v>
      </c>
      <c r="F35" s="29">
        <f t="shared" si="4"/>
        <v>1870200</v>
      </c>
    </row>
    <row r="36" spans="3:8" x14ac:dyDescent="0.25">
      <c r="C36" s="5" t="s">
        <v>1248</v>
      </c>
      <c r="D36" s="65">
        <v>300000</v>
      </c>
      <c r="E36" s="30">
        <f>+(D36*'Calculos oferta -demanda 2'!$C$76)+'gastos de mantenimiento'!D36</f>
        <v>311700</v>
      </c>
      <c r="F36" s="29">
        <f>+E36</f>
        <v>311700</v>
      </c>
    </row>
    <row r="37" spans="3:8" x14ac:dyDescent="0.25">
      <c r="C37" s="157" t="s">
        <v>1805</v>
      </c>
      <c r="D37" s="349"/>
      <c r="E37" s="158">
        <f>+SUM(E20:E35)</f>
        <v>7053213.3526941314</v>
      </c>
      <c r="F37" s="158">
        <f>+SUM(F20:F36)</f>
        <v>84950260.232329577</v>
      </c>
    </row>
    <row r="39" spans="3:8" x14ac:dyDescent="0.25">
      <c r="C39" s="123" t="s">
        <v>1806</v>
      </c>
      <c r="D39" s="123"/>
      <c r="E39" s="159">
        <f>+E37+E16</f>
        <v>58946448.129512809</v>
      </c>
      <c r="F39" s="160">
        <f>+F37+F16</f>
        <v>707669077.55415368</v>
      </c>
    </row>
    <row r="43" spans="3:8" x14ac:dyDescent="0.25">
      <c r="C43" s="128" t="s">
        <v>1228</v>
      </c>
      <c r="D43" s="128" t="s">
        <v>1482</v>
      </c>
      <c r="E43" s="128" t="s">
        <v>1483</v>
      </c>
      <c r="F43" s="128" t="s">
        <v>1233</v>
      </c>
      <c r="G43" s="128" t="s">
        <v>1091</v>
      </c>
      <c r="H43" s="128" t="s">
        <v>1092</v>
      </c>
    </row>
    <row r="44" spans="3:8" x14ac:dyDescent="0.25">
      <c r="C44" s="1"/>
      <c r="D44" s="29"/>
      <c r="E44" s="30"/>
      <c r="F44" s="29"/>
      <c r="G44" s="29"/>
      <c r="H44" s="1"/>
    </row>
    <row r="45" spans="3:8" x14ac:dyDescent="0.25">
      <c r="C45" s="1" t="s">
        <v>1104</v>
      </c>
      <c r="D45" s="29">
        <v>1200</v>
      </c>
      <c r="E45" s="30">
        <f>+(D45*'Calculos oferta -demanda 2'!$C$76)+'gastos de mantenimiento'!D45</f>
        <v>1246.8</v>
      </c>
      <c r="F45" s="29">
        <f>+$I$6</f>
        <v>661.1544281983098</v>
      </c>
      <c r="G45" s="29">
        <f>+E45*F45</f>
        <v>824327.34107765264</v>
      </c>
      <c r="H45" s="29">
        <f>+G45*12</f>
        <v>9891928.0929318313</v>
      </c>
    </row>
    <row r="46" spans="3:8" x14ac:dyDescent="0.25">
      <c r="C46" s="1" t="s">
        <v>1229</v>
      </c>
      <c r="D46" s="29">
        <v>2000</v>
      </c>
      <c r="E46" s="30">
        <f>+(D46*'Calculos oferta -demanda 2'!$C$76)+'gastos de mantenimiento'!D46</f>
        <v>2078</v>
      </c>
      <c r="F46" s="29">
        <f t="shared" ref="F46:F51" si="5">+$I$6</f>
        <v>661.1544281983098</v>
      </c>
      <c r="G46" s="29">
        <f>+E46*F46</f>
        <v>1373878.9017960879</v>
      </c>
      <c r="H46" s="29">
        <f t="shared" ref="H46:H51" si="6">+G46*12</f>
        <v>16486546.821553055</v>
      </c>
    </row>
    <row r="47" spans="3:8" x14ac:dyDescent="0.25">
      <c r="C47" s="1" t="s">
        <v>1105</v>
      </c>
      <c r="D47" s="29">
        <v>400</v>
      </c>
      <c r="E47" s="30">
        <f>+(D47*'Calculos oferta -demanda 2'!$C$76)+'gastos de mantenimiento'!D47</f>
        <v>415.6</v>
      </c>
      <c r="F47" s="29">
        <f t="shared" si="5"/>
        <v>661.1544281983098</v>
      </c>
      <c r="G47" s="29">
        <f t="shared" ref="G47:G51" si="7">+E47*F47</f>
        <v>274775.78035921755</v>
      </c>
      <c r="H47" s="29">
        <f t="shared" si="6"/>
        <v>3297309.3643106106</v>
      </c>
    </row>
    <row r="48" spans="3:8" x14ac:dyDescent="0.25">
      <c r="C48" s="1" t="s">
        <v>1109</v>
      </c>
      <c r="D48" s="29">
        <v>800</v>
      </c>
      <c r="E48" s="30">
        <f>+(D48*'Calculos oferta -demanda 2'!$C$76)+'gastos de mantenimiento'!D48</f>
        <v>831.2</v>
      </c>
      <c r="F48" s="29">
        <f t="shared" si="5"/>
        <v>661.1544281983098</v>
      </c>
      <c r="G48" s="29">
        <f t="shared" si="7"/>
        <v>549551.5607184351</v>
      </c>
      <c r="H48" s="29">
        <f t="shared" si="6"/>
        <v>6594618.7286212211</v>
      </c>
    </row>
    <row r="49" spans="3:10" x14ac:dyDescent="0.25">
      <c r="C49" s="1" t="s">
        <v>1110</v>
      </c>
      <c r="D49" s="29">
        <v>1000</v>
      </c>
      <c r="E49" s="30">
        <f>+(D49*'Calculos oferta -demanda 2'!$C$76)+'gastos de mantenimiento'!D49</f>
        <v>1039</v>
      </c>
      <c r="F49" s="29">
        <f t="shared" si="5"/>
        <v>661.1544281983098</v>
      </c>
      <c r="G49" s="29">
        <f t="shared" si="7"/>
        <v>686939.45089804393</v>
      </c>
      <c r="H49" s="29">
        <f t="shared" si="6"/>
        <v>8243273.4107765276</v>
      </c>
    </row>
    <row r="50" spans="3:10" x14ac:dyDescent="0.25">
      <c r="C50" s="1" t="s">
        <v>1111</v>
      </c>
      <c r="D50" s="29">
        <v>800</v>
      </c>
      <c r="E50" s="30">
        <f>+(D50*'Calculos oferta -demanda 2'!$C$76)+'gastos de mantenimiento'!D50</f>
        <v>831.2</v>
      </c>
      <c r="F50" s="29">
        <f t="shared" si="5"/>
        <v>661.1544281983098</v>
      </c>
      <c r="G50" s="29">
        <f t="shared" si="7"/>
        <v>549551.5607184351</v>
      </c>
      <c r="H50" s="29">
        <f t="shared" si="6"/>
        <v>6594618.7286212211</v>
      </c>
    </row>
    <row r="51" spans="3:10" x14ac:dyDescent="0.25">
      <c r="C51" s="1" t="s">
        <v>1230</v>
      </c>
      <c r="D51" s="29">
        <v>400</v>
      </c>
      <c r="E51" s="30">
        <f>+(D51*'Calculos oferta -demanda 2'!$C$76)+'gastos de mantenimiento'!D51</f>
        <v>415.6</v>
      </c>
      <c r="F51" s="29">
        <f t="shared" si="5"/>
        <v>661.1544281983098</v>
      </c>
      <c r="G51" s="29">
        <f t="shared" si="7"/>
        <v>274775.78035921755</v>
      </c>
      <c r="H51" s="29">
        <f t="shared" si="6"/>
        <v>3297309.3643106106</v>
      </c>
    </row>
    <row r="52" spans="3:10" x14ac:dyDescent="0.25">
      <c r="C52" s="1" t="s">
        <v>1231</v>
      </c>
      <c r="D52" s="29">
        <v>2500</v>
      </c>
      <c r="E52" s="30">
        <f>+(D52*'Calculos oferta -demanda 2'!$C$76)+'gastos de mantenimiento'!D52</f>
        <v>2597.5</v>
      </c>
      <c r="F52" s="29">
        <f>36</f>
        <v>36</v>
      </c>
      <c r="G52" s="29">
        <f>+E52*F52</f>
        <v>93510</v>
      </c>
      <c r="H52" s="29">
        <f>+G52*12</f>
        <v>1122120</v>
      </c>
    </row>
    <row r="53" spans="3:10" x14ac:dyDescent="0.25">
      <c r="C53" s="205" t="s">
        <v>569</v>
      </c>
      <c r="D53" s="205"/>
      <c r="E53" s="124"/>
      <c r="F53" s="123"/>
      <c r="G53" s="160">
        <f>+SUM(G45:G52)</f>
        <v>4627310.3759270897</v>
      </c>
      <c r="H53" s="160">
        <f>+SUM(H45:H52)</f>
        <v>55527724.511125073</v>
      </c>
    </row>
    <row r="54" spans="3:10" x14ac:dyDescent="0.25">
      <c r="C54" s="10"/>
      <c r="D54" s="10"/>
      <c r="E54" s="68"/>
      <c r="F54" s="10"/>
      <c r="G54" s="10"/>
      <c r="H54" s="10"/>
    </row>
    <row r="55" spans="3:10" x14ac:dyDescent="0.25">
      <c r="C55" s="12"/>
      <c r="D55" s="12"/>
      <c r="E55" s="68"/>
      <c r="F55" s="10"/>
      <c r="G55" s="10"/>
      <c r="H55" s="10"/>
      <c r="I55" s="206"/>
      <c r="J55" s="35"/>
    </row>
    <row r="56" spans="3:10" x14ac:dyDescent="0.25">
      <c r="C56" s="10"/>
      <c r="D56" s="10"/>
      <c r="E56" s="68"/>
      <c r="F56" s="10"/>
      <c r="G56" s="10"/>
      <c r="H56" s="10"/>
    </row>
    <row r="57" spans="3:10" x14ac:dyDescent="0.25">
      <c r="C57" s="128" t="s">
        <v>1232</v>
      </c>
      <c r="D57" s="128" t="s">
        <v>1482</v>
      </c>
      <c r="E57" s="128" t="s">
        <v>1483</v>
      </c>
      <c r="F57" s="128" t="s">
        <v>1233</v>
      </c>
      <c r="G57" s="128" t="s">
        <v>1091</v>
      </c>
      <c r="H57" s="128" t="s">
        <v>1092</v>
      </c>
    </row>
    <row r="58" spans="3:10" x14ac:dyDescent="0.25">
      <c r="C58" s="1" t="s">
        <v>1106</v>
      </c>
      <c r="D58" s="219">
        <v>23800</v>
      </c>
      <c r="E58" s="30">
        <f>+(D58*'Calculos oferta -demanda 2'!$C$76)+'gastos de mantenimiento'!D58</f>
        <v>24728.2</v>
      </c>
      <c r="F58" s="219">
        <v>36</v>
      </c>
      <c r="G58" s="219">
        <f>+F58*E58</f>
        <v>890215.20000000007</v>
      </c>
      <c r="H58" s="29">
        <f>+G58*12</f>
        <v>10682582.4</v>
      </c>
    </row>
    <row r="59" spans="3:10" x14ac:dyDescent="0.25">
      <c r="C59" s="1" t="s">
        <v>1107</v>
      </c>
      <c r="D59" s="29">
        <v>13400</v>
      </c>
      <c r="E59" s="30">
        <f>+(D59*'Calculos oferta -demanda 2'!$C$76)+'gastos de mantenimiento'!D59</f>
        <v>13922.6</v>
      </c>
      <c r="F59" s="29">
        <v>36</v>
      </c>
      <c r="G59" s="219">
        <f t="shared" ref="G59:G61" si="8">+F59*E59</f>
        <v>501213.60000000003</v>
      </c>
      <c r="H59" s="29">
        <f t="shared" ref="H59:H61" si="9">+G59*12</f>
        <v>6014563.2000000002</v>
      </c>
    </row>
    <row r="60" spans="3:10" x14ac:dyDescent="0.25">
      <c r="C60" s="1" t="s">
        <v>1108</v>
      </c>
      <c r="D60" s="29">
        <v>21600</v>
      </c>
      <c r="E60" s="30">
        <f>+(D60*'Calculos oferta -demanda 2'!$C$76)+'gastos de mantenimiento'!D60</f>
        <v>22442.400000000001</v>
      </c>
      <c r="F60" s="29">
        <v>36</v>
      </c>
      <c r="G60" s="219">
        <f t="shared" si="8"/>
        <v>807926.4</v>
      </c>
      <c r="H60" s="29">
        <f t="shared" si="9"/>
        <v>9695116.8000000007</v>
      </c>
    </row>
    <row r="61" spans="3:10" x14ac:dyDescent="0.25">
      <c r="C61" s="1" t="s">
        <v>1110</v>
      </c>
      <c r="D61" s="29">
        <v>6850</v>
      </c>
      <c r="E61" s="30">
        <f>+(D61*'Calculos oferta -demanda 2'!$C$76)+'gastos de mantenimiento'!D61</f>
        <v>7117.15</v>
      </c>
      <c r="F61" s="29">
        <v>36</v>
      </c>
      <c r="G61" s="219">
        <f t="shared" si="8"/>
        <v>256217.4</v>
      </c>
      <c r="H61" s="29">
        <f t="shared" si="9"/>
        <v>3074608.8</v>
      </c>
    </row>
    <row r="62" spans="3:10" x14ac:dyDescent="0.25">
      <c r="C62" s="205" t="s">
        <v>569</v>
      </c>
      <c r="D62" s="205"/>
      <c r="E62" s="124"/>
      <c r="F62" s="123"/>
      <c r="G62" s="123"/>
      <c r="H62" s="160">
        <f>+SUM(H58:H61)</f>
        <v>29466871.200000003</v>
      </c>
    </row>
    <row r="65" spans="6:8" x14ac:dyDescent="0.25">
      <c r="F65" s="162"/>
    </row>
    <row r="66" spans="6:8" x14ac:dyDescent="0.25">
      <c r="F66" s="44"/>
    </row>
    <row r="67" spans="6:8" x14ac:dyDescent="0.25">
      <c r="F67" s="44"/>
      <c r="H67" s="35">
        <f>+H62+H53+F39</f>
        <v>792663673.26527882</v>
      </c>
    </row>
    <row r="68" spans="6:8" x14ac:dyDescent="0.25">
      <c r="F68" s="44"/>
      <c r="H68" s="35">
        <f>+H67+'Costo nómina'!I29</f>
        <v>1290771615.3578959</v>
      </c>
    </row>
    <row r="69" spans="6:8" x14ac:dyDescent="0.25">
      <c r="F69" s="44"/>
      <c r="H69" s="35"/>
    </row>
    <row r="70" spans="6:8" x14ac:dyDescent="0.25">
      <c r="F70" s="162"/>
    </row>
    <row r="92" spans="9:9" x14ac:dyDescent="0.25">
      <c r="I92" s="46"/>
    </row>
  </sheetData>
  <mergeCells count="2">
    <mergeCell ref="C2:F2"/>
    <mergeCell ref="H4:I4"/>
  </mergeCells>
  <pageMargins left="0.7" right="0.7" top="0.75" bottom="0.75" header="0.3" footer="0.3"/>
  <pageSetup paperSize="9"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CDC14"/>
  </sheetPr>
  <dimension ref="A1:O271"/>
  <sheetViews>
    <sheetView showGridLines="0" topLeftCell="A151" zoomScale="80" zoomScaleNormal="80" workbookViewId="0">
      <selection activeCell="F169" sqref="F169"/>
    </sheetView>
  </sheetViews>
  <sheetFormatPr baseColWidth="10" defaultColWidth="9.140625" defaultRowHeight="0" customHeight="1" zeroHeight="1" x14ac:dyDescent="0.25"/>
  <cols>
    <col min="1" max="1" width="5.85546875" style="79" customWidth="1"/>
    <col min="2" max="2" width="6" style="79" customWidth="1"/>
    <col min="3" max="3" width="48" style="80" bestFit="1" customWidth="1"/>
    <col min="4" max="4" width="22.140625" style="82" bestFit="1" customWidth="1"/>
    <col min="5" max="5" width="25" style="82" bestFit="1" customWidth="1"/>
    <col min="6" max="6" width="20" style="80" bestFit="1" customWidth="1"/>
    <col min="7" max="7" width="35.5703125" style="80" customWidth="1"/>
    <col min="8" max="8" width="38.140625" style="80" customWidth="1"/>
    <col min="9" max="9" width="40.28515625" style="80" bestFit="1" customWidth="1"/>
    <col min="10" max="10" width="18.42578125" style="80" customWidth="1"/>
    <col min="11" max="11" width="13.5703125" style="80" customWidth="1"/>
    <col min="12" max="12" width="18" style="80" bestFit="1" customWidth="1"/>
    <col min="13" max="13" width="18.5703125" style="80" bestFit="1" customWidth="1"/>
    <col min="14" max="14" width="9.140625" style="80"/>
    <col min="15" max="15" width="16.28515625" style="80" bestFit="1" customWidth="1"/>
    <col min="16" max="164" width="9.140625" style="80"/>
    <col min="165" max="165" width="5.85546875" style="80" customWidth="1"/>
    <col min="166" max="166" width="6" style="80" customWidth="1"/>
    <col min="167" max="167" width="48" style="80" bestFit="1" customWidth="1"/>
    <col min="168" max="179" width="0" style="80" hidden="1" customWidth="1"/>
    <col min="180" max="180" width="21.28515625" style="80" bestFit="1" customWidth="1"/>
    <col min="181" max="192" width="16.7109375" style="80" customWidth="1"/>
    <col min="193" max="220" width="0" style="80" hidden="1" customWidth="1"/>
    <col min="221" max="221" width="13.5703125" style="80" customWidth="1"/>
    <col min="222" max="229" width="0" style="80" hidden="1" customWidth="1"/>
    <col min="230" max="230" width="12.28515625" style="80" bestFit="1" customWidth="1"/>
    <col min="231" max="231" width="9.140625" style="80"/>
    <col min="232" max="239" width="0" style="80" hidden="1" customWidth="1"/>
    <col min="240" max="240" width="14.5703125" style="80" bestFit="1" customWidth="1"/>
    <col min="241" max="241" width="15.85546875" style="80" bestFit="1" customWidth="1"/>
    <col min="242" max="242" width="17.42578125" style="80" bestFit="1" customWidth="1"/>
    <col min="243" max="243" width="27.5703125" style="80" bestFit="1" customWidth="1"/>
    <col min="244" max="244" width="9.140625" style="80"/>
    <col min="245" max="245" width="15.85546875" style="80" bestFit="1" customWidth="1"/>
    <col min="246" max="246" width="20.85546875" style="80" bestFit="1" customWidth="1"/>
    <col min="247" max="247" width="27.5703125" style="80" bestFit="1" customWidth="1"/>
    <col min="248" max="248" width="9.140625" style="80"/>
    <col min="249" max="249" width="16.7109375" style="80" bestFit="1" customWidth="1"/>
    <col min="250" max="250" width="21.42578125" style="80" bestFit="1" customWidth="1"/>
    <col min="251" max="251" width="22.28515625" style="80" bestFit="1" customWidth="1"/>
    <col min="252" max="253" width="9.140625" style="80"/>
    <col min="254" max="254" width="17.28515625" style="80" customWidth="1"/>
    <col min="255" max="255" width="21.42578125" style="80" bestFit="1" customWidth="1"/>
    <col min="256" max="256" width="22.28515625" style="80" bestFit="1" customWidth="1"/>
    <col min="257" max="420" width="9.140625" style="80"/>
    <col min="421" max="421" width="5.85546875" style="80" customWidth="1"/>
    <col min="422" max="422" width="6" style="80" customWidth="1"/>
    <col min="423" max="423" width="48" style="80" bestFit="1" customWidth="1"/>
    <col min="424" max="435" width="0" style="80" hidden="1" customWidth="1"/>
    <col min="436" max="436" width="21.28515625" style="80" bestFit="1" customWidth="1"/>
    <col min="437" max="448" width="16.7109375" style="80" customWidth="1"/>
    <col min="449" max="476" width="0" style="80" hidden="1" customWidth="1"/>
    <col min="477" max="477" width="13.5703125" style="80" customWidth="1"/>
    <col min="478" max="485" width="0" style="80" hidden="1" customWidth="1"/>
    <col min="486" max="486" width="12.28515625" style="80" bestFit="1" customWidth="1"/>
    <col min="487" max="487" width="9.140625" style="80"/>
    <col min="488" max="495" width="0" style="80" hidden="1" customWidth="1"/>
    <col min="496" max="496" width="14.5703125" style="80" bestFit="1" customWidth="1"/>
    <col min="497" max="497" width="15.85546875" style="80" bestFit="1" customWidth="1"/>
    <col min="498" max="498" width="17.42578125" style="80" bestFit="1" customWidth="1"/>
    <col min="499" max="499" width="27.5703125" style="80" bestFit="1" customWidth="1"/>
    <col min="500" max="500" width="9.140625" style="80"/>
    <col min="501" max="501" width="15.85546875" style="80" bestFit="1" customWidth="1"/>
    <col min="502" max="502" width="20.85546875" style="80" bestFit="1" customWidth="1"/>
    <col min="503" max="503" width="27.5703125" style="80" bestFit="1" customWidth="1"/>
    <col min="504" max="504" width="9.140625" style="80"/>
    <col min="505" max="505" width="16.7109375" style="80" bestFit="1" customWidth="1"/>
    <col min="506" max="506" width="21.42578125" style="80" bestFit="1" customWidth="1"/>
    <col min="507" max="507" width="22.28515625" style="80" bestFit="1" customWidth="1"/>
    <col min="508" max="509" width="9.140625" style="80"/>
    <col min="510" max="510" width="17.28515625" style="80" customWidth="1"/>
    <col min="511" max="511" width="21.42578125" style="80" bestFit="1" customWidth="1"/>
    <col min="512" max="512" width="22.28515625" style="80" bestFit="1" customWidth="1"/>
    <col min="513" max="676" width="9.140625" style="80"/>
    <col min="677" max="677" width="5.85546875" style="80" customWidth="1"/>
    <col min="678" max="678" width="6" style="80" customWidth="1"/>
    <col min="679" max="679" width="48" style="80" bestFit="1" customWidth="1"/>
    <col min="680" max="691" width="0" style="80" hidden="1" customWidth="1"/>
    <col min="692" max="692" width="21.28515625" style="80" bestFit="1" customWidth="1"/>
    <col min="693" max="704" width="16.7109375" style="80" customWidth="1"/>
    <col min="705" max="732" width="0" style="80" hidden="1" customWidth="1"/>
    <col min="733" max="733" width="13.5703125" style="80" customWidth="1"/>
    <col min="734" max="741" width="0" style="80" hidden="1" customWidth="1"/>
    <col min="742" max="742" width="12.28515625" style="80" bestFit="1" customWidth="1"/>
    <col min="743" max="743" width="9.140625" style="80"/>
    <col min="744" max="751" width="0" style="80" hidden="1" customWidth="1"/>
    <col min="752" max="752" width="14.5703125" style="80" bestFit="1" customWidth="1"/>
    <col min="753" max="753" width="15.85546875" style="80" bestFit="1" customWidth="1"/>
    <col min="754" max="754" width="17.42578125" style="80" bestFit="1" customWidth="1"/>
    <col min="755" max="755" width="27.5703125" style="80" bestFit="1" customWidth="1"/>
    <col min="756" max="756" width="9.140625" style="80"/>
    <col min="757" max="757" width="15.85546875" style="80" bestFit="1" customWidth="1"/>
    <col min="758" max="758" width="20.85546875" style="80" bestFit="1" customWidth="1"/>
    <col min="759" max="759" width="27.5703125" style="80" bestFit="1" customWidth="1"/>
    <col min="760" max="760" width="9.140625" style="80"/>
    <col min="761" max="761" width="16.7109375" style="80" bestFit="1" customWidth="1"/>
    <col min="762" max="762" width="21.42578125" style="80" bestFit="1" customWidth="1"/>
    <col min="763" max="763" width="22.28515625" style="80" bestFit="1" customWidth="1"/>
    <col min="764" max="765" width="9.140625" style="80"/>
    <col min="766" max="766" width="17.28515625" style="80" customWidth="1"/>
    <col min="767" max="767" width="21.42578125" style="80" bestFit="1" customWidth="1"/>
    <col min="768" max="768" width="22.28515625" style="80" bestFit="1" customWidth="1"/>
    <col min="769" max="932" width="9.140625" style="80"/>
    <col min="933" max="933" width="5.85546875" style="80" customWidth="1"/>
    <col min="934" max="934" width="6" style="80" customWidth="1"/>
    <col min="935" max="935" width="48" style="80" bestFit="1" customWidth="1"/>
    <col min="936" max="947" width="0" style="80" hidden="1" customWidth="1"/>
    <col min="948" max="948" width="21.28515625" style="80" bestFit="1" customWidth="1"/>
    <col min="949" max="960" width="16.7109375" style="80" customWidth="1"/>
    <col min="961" max="988" width="0" style="80" hidden="1" customWidth="1"/>
    <col min="989" max="989" width="13.5703125" style="80" customWidth="1"/>
    <col min="990" max="997" width="0" style="80" hidden="1" customWidth="1"/>
    <col min="998" max="998" width="12.28515625" style="80" bestFit="1" customWidth="1"/>
    <col min="999" max="999" width="9.140625" style="80"/>
    <col min="1000" max="1007" width="0" style="80" hidden="1" customWidth="1"/>
    <col min="1008" max="1008" width="14.5703125" style="80" bestFit="1" customWidth="1"/>
    <col min="1009" max="1009" width="15.85546875" style="80" bestFit="1" customWidth="1"/>
    <col min="1010" max="1010" width="17.42578125" style="80" bestFit="1" customWidth="1"/>
    <col min="1011" max="1011" width="27.5703125" style="80" bestFit="1" customWidth="1"/>
    <col min="1012" max="1012" width="9.140625" style="80"/>
    <col min="1013" max="1013" width="15.85546875" style="80" bestFit="1" customWidth="1"/>
    <col min="1014" max="1014" width="20.85546875" style="80" bestFit="1" customWidth="1"/>
    <col min="1015" max="1015" width="27.5703125" style="80" bestFit="1" customWidth="1"/>
    <col min="1016" max="1016" width="9.140625" style="80"/>
    <col min="1017" max="1017" width="16.7109375" style="80" bestFit="1" customWidth="1"/>
    <col min="1018" max="1018" width="21.42578125" style="80" bestFit="1" customWidth="1"/>
    <col min="1019" max="1019" width="22.28515625" style="80" bestFit="1" customWidth="1"/>
    <col min="1020" max="1021" width="9.140625" style="80"/>
    <col min="1022" max="1022" width="17.28515625" style="80" customWidth="1"/>
    <col min="1023" max="1023" width="21.42578125" style="80" bestFit="1" customWidth="1"/>
    <col min="1024" max="1024" width="22.28515625" style="80" bestFit="1" customWidth="1"/>
    <col min="1025" max="1188" width="9.140625" style="80"/>
    <col min="1189" max="1189" width="5.85546875" style="80" customWidth="1"/>
    <col min="1190" max="1190" width="6" style="80" customWidth="1"/>
    <col min="1191" max="1191" width="48" style="80" bestFit="1" customWidth="1"/>
    <col min="1192" max="1203" width="0" style="80" hidden="1" customWidth="1"/>
    <col min="1204" max="1204" width="21.28515625" style="80" bestFit="1" customWidth="1"/>
    <col min="1205" max="1216" width="16.7109375" style="80" customWidth="1"/>
    <col min="1217" max="1244" width="0" style="80" hidden="1" customWidth="1"/>
    <col min="1245" max="1245" width="13.5703125" style="80" customWidth="1"/>
    <col min="1246" max="1253" width="0" style="80" hidden="1" customWidth="1"/>
    <col min="1254" max="1254" width="12.28515625" style="80" bestFit="1" customWidth="1"/>
    <col min="1255" max="1255" width="9.140625" style="80"/>
    <col min="1256" max="1263" width="0" style="80" hidden="1" customWidth="1"/>
    <col min="1264" max="1264" width="14.5703125" style="80" bestFit="1" customWidth="1"/>
    <col min="1265" max="1265" width="15.85546875" style="80" bestFit="1" customWidth="1"/>
    <col min="1266" max="1266" width="17.42578125" style="80" bestFit="1" customWidth="1"/>
    <col min="1267" max="1267" width="27.5703125" style="80" bestFit="1" customWidth="1"/>
    <col min="1268" max="1268" width="9.140625" style="80"/>
    <col min="1269" max="1269" width="15.85546875" style="80" bestFit="1" customWidth="1"/>
    <col min="1270" max="1270" width="20.85546875" style="80" bestFit="1" customWidth="1"/>
    <col min="1271" max="1271" width="27.5703125" style="80" bestFit="1" customWidth="1"/>
    <col min="1272" max="1272" width="9.140625" style="80"/>
    <col min="1273" max="1273" width="16.7109375" style="80" bestFit="1" customWidth="1"/>
    <col min="1274" max="1274" width="21.42578125" style="80" bestFit="1" customWidth="1"/>
    <col min="1275" max="1275" width="22.28515625" style="80" bestFit="1" customWidth="1"/>
    <col min="1276" max="1277" width="9.140625" style="80"/>
    <col min="1278" max="1278" width="17.28515625" style="80" customWidth="1"/>
    <col min="1279" max="1279" width="21.42578125" style="80" bestFit="1" customWidth="1"/>
    <col min="1280" max="1280" width="22.28515625" style="80" bestFit="1" customWidth="1"/>
    <col min="1281" max="1444" width="9.140625" style="80"/>
    <col min="1445" max="1445" width="5.85546875" style="80" customWidth="1"/>
    <col min="1446" max="1446" width="6" style="80" customWidth="1"/>
    <col min="1447" max="1447" width="48" style="80" bestFit="1" customWidth="1"/>
    <col min="1448" max="1459" width="0" style="80" hidden="1" customWidth="1"/>
    <col min="1460" max="1460" width="21.28515625" style="80" bestFit="1" customWidth="1"/>
    <col min="1461" max="1472" width="16.7109375" style="80" customWidth="1"/>
    <col min="1473" max="1500" width="0" style="80" hidden="1" customWidth="1"/>
    <col min="1501" max="1501" width="13.5703125" style="80" customWidth="1"/>
    <col min="1502" max="1509" width="0" style="80" hidden="1" customWidth="1"/>
    <col min="1510" max="1510" width="12.28515625" style="80" bestFit="1" customWidth="1"/>
    <col min="1511" max="1511" width="9.140625" style="80"/>
    <col min="1512" max="1519" width="0" style="80" hidden="1" customWidth="1"/>
    <col min="1520" max="1520" width="14.5703125" style="80" bestFit="1" customWidth="1"/>
    <col min="1521" max="1521" width="15.85546875" style="80" bestFit="1" customWidth="1"/>
    <col min="1522" max="1522" width="17.42578125" style="80" bestFit="1" customWidth="1"/>
    <col min="1523" max="1523" width="27.5703125" style="80" bestFit="1" customWidth="1"/>
    <col min="1524" max="1524" width="9.140625" style="80"/>
    <col min="1525" max="1525" width="15.85546875" style="80" bestFit="1" customWidth="1"/>
    <col min="1526" max="1526" width="20.85546875" style="80" bestFit="1" customWidth="1"/>
    <col min="1527" max="1527" width="27.5703125" style="80" bestFit="1" customWidth="1"/>
    <col min="1528" max="1528" width="9.140625" style="80"/>
    <col min="1529" max="1529" width="16.7109375" style="80" bestFit="1" customWidth="1"/>
    <col min="1530" max="1530" width="21.42578125" style="80" bestFit="1" customWidth="1"/>
    <col min="1531" max="1531" width="22.28515625" style="80" bestFit="1" customWidth="1"/>
    <col min="1532" max="1533" width="9.140625" style="80"/>
    <col min="1534" max="1534" width="17.28515625" style="80" customWidth="1"/>
    <col min="1535" max="1535" width="21.42578125" style="80" bestFit="1" customWidth="1"/>
    <col min="1536" max="1536" width="22.28515625" style="80" bestFit="1" customWidth="1"/>
    <col min="1537" max="1700" width="9.140625" style="80"/>
    <col min="1701" max="1701" width="5.85546875" style="80" customWidth="1"/>
    <col min="1702" max="1702" width="6" style="80" customWidth="1"/>
    <col min="1703" max="1703" width="48" style="80" bestFit="1" customWidth="1"/>
    <col min="1704" max="1715" width="0" style="80" hidden="1" customWidth="1"/>
    <col min="1716" max="1716" width="21.28515625" style="80" bestFit="1" customWidth="1"/>
    <col min="1717" max="1728" width="16.7109375" style="80" customWidth="1"/>
    <col min="1729" max="1756" width="0" style="80" hidden="1" customWidth="1"/>
    <col min="1757" max="1757" width="13.5703125" style="80" customWidth="1"/>
    <col min="1758" max="1765" width="0" style="80" hidden="1" customWidth="1"/>
    <col min="1766" max="1766" width="12.28515625" style="80" bestFit="1" customWidth="1"/>
    <col min="1767" max="1767" width="9.140625" style="80"/>
    <col min="1768" max="1775" width="0" style="80" hidden="1" customWidth="1"/>
    <col min="1776" max="1776" width="14.5703125" style="80" bestFit="1" customWidth="1"/>
    <col min="1777" max="1777" width="15.85546875" style="80" bestFit="1" customWidth="1"/>
    <col min="1778" max="1778" width="17.42578125" style="80" bestFit="1" customWidth="1"/>
    <col min="1779" max="1779" width="27.5703125" style="80" bestFit="1" customWidth="1"/>
    <col min="1780" max="1780" width="9.140625" style="80"/>
    <col min="1781" max="1781" width="15.85546875" style="80" bestFit="1" customWidth="1"/>
    <col min="1782" max="1782" width="20.85546875" style="80" bestFit="1" customWidth="1"/>
    <col min="1783" max="1783" width="27.5703125" style="80" bestFit="1" customWidth="1"/>
    <col min="1784" max="1784" width="9.140625" style="80"/>
    <col min="1785" max="1785" width="16.7109375" style="80" bestFit="1" customWidth="1"/>
    <col min="1786" max="1786" width="21.42578125" style="80" bestFit="1" customWidth="1"/>
    <col min="1787" max="1787" width="22.28515625" style="80" bestFit="1" customWidth="1"/>
    <col min="1788" max="1789" width="9.140625" style="80"/>
    <col min="1790" max="1790" width="17.28515625" style="80" customWidth="1"/>
    <col min="1791" max="1791" width="21.42578125" style="80" bestFit="1" customWidth="1"/>
    <col min="1792" max="1792" width="22.28515625" style="80" bestFit="1" customWidth="1"/>
    <col min="1793" max="1956" width="9.140625" style="80"/>
    <col min="1957" max="1957" width="5.85546875" style="80" customWidth="1"/>
    <col min="1958" max="1958" width="6" style="80" customWidth="1"/>
    <col min="1959" max="1959" width="48" style="80" bestFit="1" customWidth="1"/>
    <col min="1960" max="1971" width="0" style="80" hidden="1" customWidth="1"/>
    <col min="1972" max="1972" width="21.28515625" style="80" bestFit="1" customWidth="1"/>
    <col min="1973" max="1984" width="16.7109375" style="80" customWidth="1"/>
    <col min="1985" max="2012" width="0" style="80" hidden="1" customWidth="1"/>
    <col min="2013" max="2013" width="13.5703125" style="80" customWidth="1"/>
    <col min="2014" max="2021" width="0" style="80" hidden="1" customWidth="1"/>
    <col min="2022" max="2022" width="12.28515625" style="80" bestFit="1" customWidth="1"/>
    <col min="2023" max="2023" width="9.140625" style="80"/>
    <col min="2024" max="2031" width="0" style="80" hidden="1" customWidth="1"/>
    <col min="2032" max="2032" width="14.5703125" style="80" bestFit="1" customWidth="1"/>
    <col min="2033" max="2033" width="15.85546875" style="80" bestFit="1" customWidth="1"/>
    <col min="2034" max="2034" width="17.42578125" style="80" bestFit="1" customWidth="1"/>
    <col min="2035" max="2035" width="27.5703125" style="80" bestFit="1" customWidth="1"/>
    <col min="2036" max="2036" width="9.140625" style="80"/>
    <col min="2037" max="2037" width="15.85546875" style="80" bestFit="1" customWidth="1"/>
    <col min="2038" max="2038" width="20.85546875" style="80" bestFit="1" customWidth="1"/>
    <col min="2039" max="2039" width="27.5703125" style="80" bestFit="1" customWidth="1"/>
    <col min="2040" max="2040" width="9.140625" style="80"/>
    <col min="2041" max="2041" width="16.7109375" style="80" bestFit="1" customWidth="1"/>
    <col min="2042" max="2042" width="21.42578125" style="80" bestFit="1" customWidth="1"/>
    <col min="2043" max="2043" width="22.28515625" style="80" bestFit="1" customWidth="1"/>
    <col min="2044" max="2045" width="9.140625" style="80"/>
    <col min="2046" max="2046" width="17.28515625" style="80" customWidth="1"/>
    <col min="2047" max="2047" width="21.42578125" style="80" bestFit="1" customWidth="1"/>
    <col min="2048" max="2048" width="22.28515625" style="80" bestFit="1" customWidth="1"/>
    <col min="2049" max="2212" width="9.140625" style="80"/>
    <col min="2213" max="2213" width="5.85546875" style="80" customWidth="1"/>
    <col min="2214" max="2214" width="6" style="80" customWidth="1"/>
    <col min="2215" max="2215" width="48" style="80" bestFit="1" customWidth="1"/>
    <col min="2216" max="2227" width="0" style="80" hidden="1" customWidth="1"/>
    <col min="2228" max="2228" width="21.28515625" style="80" bestFit="1" customWidth="1"/>
    <col min="2229" max="2240" width="16.7109375" style="80" customWidth="1"/>
    <col min="2241" max="2268" width="0" style="80" hidden="1" customWidth="1"/>
    <col min="2269" max="2269" width="13.5703125" style="80" customWidth="1"/>
    <col min="2270" max="2277" width="0" style="80" hidden="1" customWidth="1"/>
    <col min="2278" max="2278" width="12.28515625" style="80" bestFit="1" customWidth="1"/>
    <col min="2279" max="2279" width="9.140625" style="80"/>
    <col min="2280" max="2287" width="0" style="80" hidden="1" customWidth="1"/>
    <col min="2288" max="2288" width="14.5703125" style="80" bestFit="1" customWidth="1"/>
    <col min="2289" max="2289" width="15.85546875" style="80" bestFit="1" customWidth="1"/>
    <col min="2290" max="2290" width="17.42578125" style="80" bestFit="1" customWidth="1"/>
    <col min="2291" max="2291" width="27.5703125" style="80" bestFit="1" customWidth="1"/>
    <col min="2292" max="2292" width="9.140625" style="80"/>
    <col min="2293" max="2293" width="15.85546875" style="80" bestFit="1" customWidth="1"/>
    <col min="2294" max="2294" width="20.85546875" style="80" bestFit="1" customWidth="1"/>
    <col min="2295" max="2295" width="27.5703125" style="80" bestFit="1" customWidth="1"/>
    <col min="2296" max="2296" width="9.140625" style="80"/>
    <col min="2297" max="2297" width="16.7109375" style="80" bestFit="1" customWidth="1"/>
    <col min="2298" max="2298" width="21.42578125" style="80" bestFit="1" customWidth="1"/>
    <col min="2299" max="2299" width="22.28515625" style="80" bestFit="1" customWidth="1"/>
    <col min="2300" max="2301" width="9.140625" style="80"/>
    <col min="2302" max="2302" width="17.28515625" style="80" customWidth="1"/>
    <col min="2303" max="2303" width="21.42578125" style="80" bestFit="1" customWidth="1"/>
    <col min="2304" max="2304" width="22.28515625" style="80" bestFit="1" customWidth="1"/>
    <col min="2305" max="2468" width="9.140625" style="80"/>
    <col min="2469" max="2469" width="5.85546875" style="80" customWidth="1"/>
    <col min="2470" max="2470" width="6" style="80" customWidth="1"/>
    <col min="2471" max="2471" width="48" style="80" bestFit="1" customWidth="1"/>
    <col min="2472" max="2483" width="0" style="80" hidden="1" customWidth="1"/>
    <col min="2484" max="2484" width="21.28515625" style="80" bestFit="1" customWidth="1"/>
    <col min="2485" max="2496" width="16.7109375" style="80" customWidth="1"/>
    <col min="2497" max="2524" width="0" style="80" hidden="1" customWidth="1"/>
    <col min="2525" max="2525" width="13.5703125" style="80" customWidth="1"/>
    <col min="2526" max="2533" width="0" style="80" hidden="1" customWidth="1"/>
    <col min="2534" max="2534" width="12.28515625" style="80" bestFit="1" customWidth="1"/>
    <col min="2535" max="2535" width="9.140625" style="80"/>
    <col min="2536" max="2543" width="0" style="80" hidden="1" customWidth="1"/>
    <col min="2544" max="2544" width="14.5703125" style="80" bestFit="1" customWidth="1"/>
    <col min="2545" max="2545" width="15.85546875" style="80" bestFit="1" customWidth="1"/>
    <col min="2546" max="2546" width="17.42578125" style="80" bestFit="1" customWidth="1"/>
    <col min="2547" max="2547" width="27.5703125" style="80" bestFit="1" customWidth="1"/>
    <col min="2548" max="2548" width="9.140625" style="80"/>
    <col min="2549" max="2549" width="15.85546875" style="80" bestFit="1" customWidth="1"/>
    <col min="2550" max="2550" width="20.85546875" style="80" bestFit="1" customWidth="1"/>
    <col min="2551" max="2551" width="27.5703125" style="80" bestFit="1" customWidth="1"/>
    <col min="2552" max="2552" width="9.140625" style="80"/>
    <col min="2553" max="2553" width="16.7109375" style="80" bestFit="1" customWidth="1"/>
    <col min="2554" max="2554" width="21.42578125" style="80" bestFit="1" customWidth="1"/>
    <col min="2555" max="2555" width="22.28515625" style="80" bestFit="1" customWidth="1"/>
    <col min="2556" max="2557" width="9.140625" style="80"/>
    <col min="2558" max="2558" width="17.28515625" style="80" customWidth="1"/>
    <col min="2559" max="2559" width="21.42578125" style="80" bestFit="1" customWidth="1"/>
    <col min="2560" max="2560" width="22.28515625" style="80" bestFit="1" customWidth="1"/>
    <col min="2561" max="2724" width="9.140625" style="80"/>
    <col min="2725" max="2725" width="5.85546875" style="80" customWidth="1"/>
    <col min="2726" max="2726" width="6" style="80" customWidth="1"/>
    <col min="2727" max="2727" width="48" style="80" bestFit="1" customWidth="1"/>
    <col min="2728" max="2739" width="0" style="80" hidden="1" customWidth="1"/>
    <col min="2740" max="2740" width="21.28515625" style="80" bestFit="1" customWidth="1"/>
    <col min="2741" max="2752" width="16.7109375" style="80" customWidth="1"/>
    <col min="2753" max="2780" width="0" style="80" hidden="1" customWidth="1"/>
    <col min="2781" max="2781" width="13.5703125" style="80" customWidth="1"/>
    <col min="2782" max="2789" width="0" style="80" hidden="1" customWidth="1"/>
    <col min="2790" max="2790" width="12.28515625" style="80" bestFit="1" customWidth="1"/>
    <col min="2791" max="2791" width="9.140625" style="80"/>
    <col min="2792" max="2799" width="0" style="80" hidden="1" customWidth="1"/>
    <col min="2800" max="2800" width="14.5703125" style="80" bestFit="1" customWidth="1"/>
    <col min="2801" max="2801" width="15.85546875" style="80" bestFit="1" customWidth="1"/>
    <col min="2802" max="2802" width="17.42578125" style="80" bestFit="1" customWidth="1"/>
    <col min="2803" max="2803" width="27.5703125" style="80" bestFit="1" customWidth="1"/>
    <col min="2804" max="2804" width="9.140625" style="80"/>
    <col min="2805" max="2805" width="15.85546875" style="80" bestFit="1" customWidth="1"/>
    <col min="2806" max="2806" width="20.85546875" style="80" bestFit="1" customWidth="1"/>
    <col min="2807" max="2807" width="27.5703125" style="80" bestFit="1" customWidth="1"/>
    <col min="2808" max="2808" width="9.140625" style="80"/>
    <col min="2809" max="2809" width="16.7109375" style="80" bestFit="1" customWidth="1"/>
    <col min="2810" max="2810" width="21.42578125" style="80" bestFit="1" customWidth="1"/>
    <col min="2811" max="2811" width="22.28515625" style="80" bestFit="1" customWidth="1"/>
    <col min="2812" max="2813" width="9.140625" style="80"/>
    <col min="2814" max="2814" width="17.28515625" style="80" customWidth="1"/>
    <col min="2815" max="2815" width="21.42578125" style="80" bestFit="1" customWidth="1"/>
    <col min="2816" max="2816" width="22.28515625" style="80" bestFit="1" customWidth="1"/>
    <col min="2817" max="2980" width="9.140625" style="80"/>
    <col min="2981" max="2981" width="5.85546875" style="80" customWidth="1"/>
    <col min="2982" max="2982" width="6" style="80" customWidth="1"/>
    <col min="2983" max="2983" width="48" style="80" bestFit="1" customWidth="1"/>
    <col min="2984" max="2995" width="0" style="80" hidden="1" customWidth="1"/>
    <col min="2996" max="2996" width="21.28515625" style="80" bestFit="1" customWidth="1"/>
    <col min="2997" max="3008" width="16.7109375" style="80" customWidth="1"/>
    <col min="3009" max="3036" width="0" style="80" hidden="1" customWidth="1"/>
    <col min="3037" max="3037" width="13.5703125" style="80" customWidth="1"/>
    <col min="3038" max="3045" width="0" style="80" hidden="1" customWidth="1"/>
    <col min="3046" max="3046" width="12.28515625" style="80" bestFit="1" customWidth="1"/>
    <col min="3047" max="3047" width="9.140625" style="80"/>
    <col min="3048" max="3055" width="0" style="80" hidden="1" customWidth="1"/>
    <col min="3056" max="3056" width="14.5703125" style="80" bestFit="1" customWidth="1"/>
    <col min="3057" max="3057" width="15.85546875" style="80" bestFit="1" customWidth="1"/>
    <col min="3058" max="3058" width="17.42578125" style="80" bestFit="1" customWidth="1"/>
    <col min="3059" max="3059" width="27.5703125" style="80" bestFit="1" customWidth="1"/>
    <col min="3060" max="3060" width="9.140625" style="80"/>
    <col min="3061" max="3061" width="15.85546875" style="80" bestFit="1" customWidth="1"/>
    <col min="3062" max="3062" width="20.85546875" style="80" bestFit="1" customWidth="1"/>
    <col min="3063" max="3063" width="27.5703125" style="80" bestFit="1" customWidth="1"/>
    <col min="3064" max="3064" width="9.140625" style="80"/>
    <col min="3065" max="3065" width="16.7109375" style="80" bestFit="1" customWidth="1"/>
    <col min="3066" max="3066" width="21.42578125" style="80" bestFit="1" customWidth="1"/>
    <col min="3067" max="3067" width="22.28515625" style="80" bestFit="1" customWidth="1"/>
    <col min="3068" max="3069" width="9.140625" style="80"/>
    <col min="3070" max="3070" width="17.28515625" style="80" customWidth="1"/>
    <col min="3071" max="3071" width="21.42578125" style="80" bestFit="1" customWidth="1"/>
    <col min="3072" max="3072" width="22.28515625" style="80" bestFit="1" customWidth="1"/>
    <col min="3073" max="3236" width="9.140625" style="80"/>
    <col min="3237" max="3237" width="5.85546875" style="80" customWidth="1"/>
    <col min="3238" max="3238" width="6" style="80" customWidth="1"/>
    <col min="3239" max="3239" width="48" style="80" bestFit="1" customWidth="1"/>
    <col min="3240" max="3251" width="0" style="80" hidden="1" customWidth="1"/>
    <col min="3252" max="3252" width="21.28515625" style="80" bestFit="1" customWidth="1"/>
    <col min="3253" max="3264" width="16.7109375" style="80" customWidth="1"/>
    <col min="3265" max="3292" width="0" style="80" hidden="1" customWidth="1"/>
    <col min="3293" max="3293" width="13.5703125" style="80" customWidth="1"/>
    <col min="3294" max="3301" width="0" style="80" hidden="1" customWidth="1"/>
    <col min="3302" max="3302" width="12.28515625" style="80" bestFit="1" customWidth="1"/>
    <col min="3303" max="3303" width="9.140625" style="80"/>
    <col min="3304" max="3311" width="0" style="80" hidden="1" customWidth="1"/>
    <col min="3312" max="3312" width="14.5703125" style="80" bestFit="1" customWidth="1"/>
    <col min="3313" max="3313" width="15.85546875" style="80" bestFit="1" customWidth="1"/>
    <col min="3314" max="3314" width="17.42578125" style="80" bestFit="1" customWidth="1"/>
    <col min="3315" max="3315" width="27.5703125" style="80" bestFit="1" customWidth="1"/>
    <col min="3316" max="3316" width="9.140625" style="80"/>
    <col min="3317" max="3317" width="15.85546875" style="80" bestFit="1" customWidth="1"/>
    <col min="3318" max="3318" width="20.85546875" style="80" bestFit="1" customWidth="1"/>
    <col min="3319" max="3319" width="27.5703125" style="80" bestFit="1" customWidth="1"/>
    <col min="3320" max="3320" width="9.140625" style="80"/>
    <col min="3321" max="3321" width="16.7109375" style="80" bestFit="1" customWidth="1"/>
    <col min="3322" max="3322" width="21.42578125" style="80" bestFit="1" customWidth="1"/>
    <col min="3323" max="3323" width="22.28515625" style="80" bestFit="1" customWidth="1"/>
    <col min="3324" max="3325" width="9.140625" style="80"/>
    <col min="3326" max="3326" width="17.28515625" style="80" customWidth="1"/>
    <col min="3327" max="3327" width="21.42578125" style="80" bestFit="1" customWidth="1"/>
    <col min="3328" max="3328" width="22.28515625" style="80" bestFit="1" customWidth="1"/>
    <col min="3329" max="3492" width="9.140625" style="80"/>
    <col min="3493" max="3493" width="5.85546875" style="80" customWidth="1"/>
    <col min="3494" max="3494" width="6" style="80" customWidth="1"/>
    <col min="3495" max="3495" width="48" style="80" bestFit="1" customWidth="1"/>
    <col min="3496" max="3507" width="0" style="80" hidden="1" customWidth="1"/>
    <col min="3508" max="3508" width="21.28515625" style="80" bestFit="1" customWidth="1"/>
    <col min="3509" max="3520" width="16.7109375" style="80" customWidth="1"/>
    <col min="3521" max="3548" width="0" style="80" hidden="1" customWidth="1"/>
    <col min="3549" max="3549" width="13.5703125" style="80" customWidth="1"/>
    <col min="3550" max="3557" width="0" style="80" hidden="1" customWidth="1"/>
    <col min="3558" max="3558" width="12.28515625" style="80" bestFit="1" customWidth="1"/>
    <col min="3559" max="3559" width="9.140625" style="80"/>
    <col min="3560" max="3567" width="0" style="80" hidden="1" customWidth="1"/>
    <col min="3568" max="3568" width="14.5703125" style="80" bestFit="1" customWidth="1"/>
    <col min="3569" max="3569" width="15.85546875" style="80" bestFit="1" customWidth="1"/>
    <col min="3570" max="3570" width="17.42578125" style="80" bestFit="1" customWidth="1"/>
    <col min="3571" max="3571" width="27.5703125" style="80" bestFit="1" customWidth="1"/>
    <col min="3572" max="3572" width="9.140625" style="80"/>
    <col min="3573" max="3573" width="15.85546875" style="80" bestFit="1" customWidth="1"/>
    <col min="3574" max="3574" width="20.85546875" style="80" bestFit="1" customWidth="1"/>
    <col min="3575" max="3575" width="27.5703125" style="80" bestFit="1" customWidth="1"/>
    <col min="3576" max="3576" width="9.140625" style="80"/>
    <col min="3577" max="3577" width="16.7109375" style="80" bestFit="1" customWidth="1"/>
    <col min="3578" max="3578" width="21.42578125" style="80" bestFit="1" customWidth="1"/>
    <col min="3579" max="3579" width="22.28515625" style="80" bestFit="1" customWidth="1"/>
    <col min="3580" max="3581" width="9.140625" style="80"/>
    <col min="3582" max="3582" width="17.28515625" style="80" customWidth="1"/>
    <col min="3583" max="3583" width="21.42578125" style="80" bestFit="1" customWidth="1"/>
    <col min="3584" max="3584" width="22.28515625" style="80" bestFit="1" customWidth="1"/>
    <col min="3585" max="3748" width="9.140625" style="80"/>
    <col min="3749" max="3749" width="5.85546875" style="80" customWidth="1"/>
    <col min="3750" max="3750" width="6" style="80" customWidth="1"/>
    <col min="3751" max="3751" width="48" style="80" bestFit="1" customWidth="1"/>
    <col min="3752" max="3763" width="0" style="80" hidden="1" customWidth="1"/>
    <col min="3764" max="3764" width="21.28515625" style="80" bestFit="1" customWidth="1"/>
    <col min="3765" max="3776" width="16.7109375" style="80" customWidth="1"/>
    <col min="3777" max="3804" width="0" style="80" hidden="1" customWidth="1"/>
    <col min="3805" max="3805" width="13.5703125" style="80" customWidth="1"/>
    <col min="3806" max="3813" width="0" style="80" hidden="1" customWidth="1"/>
    <col min="3814" max="3814" width="12.28515625" style="80" bestFit="1" customWidth="1"/>
    <col min="3815" max="3815" width="9.140625" style="80"/>
    <col min="3816" max="3823" width="0" style="80" hidden="1" customWidth="1"/>
    <col min="3824" max="3824" width="14.5703125" style="80" bestFit="1" customWidth="1"/>
    <col min="3825" max="3825" width="15.85546875" style="80" bestFit="1" customWidth="1"/>
    <col min="3826" max="3826" width="17.42578125" style="80" bestFit="1" customWidth="1"/>
    <col min="3827" max="3827" width="27.5703125" style="80" bestFit="1" customWidth="1"/>
    <col min="3828" max="3828" width="9.140625" style="80"/>
    <col min="3829" max="3829" width="15.85546875" style="80" bestFit="1" customWidth="1"/>
    <col min="3830" max="3830" width="20.85546875" style="80" bestFit="1" customWidth="1"/>
    <col min="3831" max="3831" width="27.5703125" style="80" bestFit="1" customWidth="1"/>
    <col min="3832" max="3832" width="9.140625" style="80"/>
    <col min="3833" max="3833" width="16.7109375" style="80" bestFit="1" customWidth="1"/>
    <col min="3834" max="3834" width="21.42578125" style="80" bestFit="1" customWidth="1"/>
    <col min="3835" max="3835" width="22.28515625" style="80" bestFit="1" customWidth="1"/>
    <col min="3836" max="3837" width="9.140625" style="80"/>
    <col min="3838" max="3838" width="17.28515625" style="80" customWidth="1"/>
    <col min="3839" max="3839" width="21.42578125" style="80" bestFit="1" customWidth="1"/>
    <col min="3840" max="3840" width="22.28515625" style="80" bestFit="1" customWidth="1"/>
    <col min="3841" max="4004" width="9.140625" style="80"/>
    <col min="4005" max="4005" width="5.85546875" style="80" customWidth="1"/>
    <col min="4006" max="4006" width="6" style="80" customWidth="1"/>
    <col min="4007" max="4007" width="48" style="80" bestFit="1" customWidth="1"/>
    <col min="4008" max="4019" width="0" style="80" hidden="1" customWidth="1"/>
    <col min="4020" max="4020" width="21.28515625" style="80" bestFit="1" customWidth="1"/>
    <col min="4021" max="4032" width="16.7109375" style="80" customWidth="1"/>
    <col min="4033" max="4060" width="0" style="80" hidden="1" customWidth="1"/>
    <col min="4061" max="4061" width="13.5703125" style="80" customWidth="1"/>
    <col min="4062" max="4069" width="0" style="80" hidden="1" customWidth="1"/>
    <col min="4070" max="4070" width="12.28515625" style="80" bestFit="1" customWidth="1"/>
    <col min="4071" max="4071" width="9.140625" style="80"/>
    <col min="4072" max="4079" width="0" style="80" hidden="1" customWidth="1"/>
    <col min="4080" max="4080" width="14.5703125" style="80" bestFit="1" customWidth="1"/>
    <col min="4081" max="4081" width="15.85546875" style="80" bestFit="1" customWidth="1"/>
    <col min="4082" max="4082" width="17.42578125" style="80" bestFit="1" customWidth="1"/>
    <col min="4083" max="4083" width="27.5703125" style="80" bestFit="1" customWidth="1"/>
    <col min="4084" max="4084" width="9.140625" style="80"/>
    <col min="4085" max="4085" width="15.85546875" style="80" bestFit="1" customWidth="1"/>
    <col min="4086" max="4086" width="20.85546875" style="80" bestFit="1" customWidth="1"/>
    <col min="4087" max="4087" width="27.5703125" style="80" bestFit="1" customWidth="1"/>
    <col min="4088" max="4088" width="9.140625" style="80"/>
    <col min="4089" max="4089" width="16.7109375" style="80" bestFit="1" customWidth="1"/>
    <col min="4090" max="4090" width="21.42578125" style="80" bestFit="1" customWidth="1"/>
    <col min="4091" max="4091" width="22.28515625" style="80" bestFit="1" customWidth="1"/>
    <col min="4092" max="4093" width="9.140625" style="80"/>
    <col min="4094" max="4094" width="17.28515625" style="80" customWidth="1"/>
    <col min="4095" max="4095" width="21.42578125" style="80" bestFit="1" customWidth="1"/>
    <col min="4096" max="4096" width="22.28515625" style="80" bestFit="1" customWidth="1"/>
    <col min="4097" max="4260" width="9.140625" style="80"/>
    <col min="4261" max="4261" width="5.85546875" style="80" customWidth="1"/>
    <col min="4262" max="4262" width="6" style="80" customWidth="1"/>
    <col min="4263" max="4263" width="48" style="80" bestFit="1" customWidth="1"/>
    <col min="4264" max="4275" width="0" style="80" hidden="1" customWidth="1"/>
    <col min="4276" max="4276" width="21.28515625" style="80" bestFit="1" customWidth="1"/>
    <col min="4277" max="4288" width="16.7109375" style="80" customWidth="1"/>
    <col min="4289" max="4316" width="0" style="80" hidden="1" customWidth="1"/>
    <col min="4317" max="4317" width="13.5703125" style="80" customWidth="1"/>
    <col min="4318" max="4325" width="0" style="80" hidden="1" customWidth="1"/>
    <col min="4326" max="4326" width="12.28515625" style="80" bestFit="1" customWidth="1"/>
    <col min="4327" max="4327" width="9.140625" style="80"/>
    <col min="4328" max="4335" width="0" style="80" hidden="1" customWidth="1"/>
    <col min="4336" max="4336" width="14.5703125" style="80" bestFit="1" customWidth="1"/>
    <col min="4337" max="4337" width="15.85546875" style="80" bestFit="1" customWidth="1"/>
    <col min="4338" max="4338" width="17.42578125" style="80" bestFit="1" customWidth="1"/>
    <col min="4339" max="4339" width="27.5703125" style="80" bestFit="1" customWidth="1"/>
    <col min="4340" max="4340" width="9.140625" style="80"/>
    <col min="4341" max="4341" width="15.85546875" style="80" bestFit="1" customWidth="1"/>
    <col min="4342" max="4342" width="20.85546875" style="80" bestFit="1" customWidth="1"/>
    <col min="4343" max="4343" width="27.5703125" style="80" bestFit="1" customWidth="1"/>
    <col min="4344" max="4344" width="9.140625" style="80"/>
    <col min="4345" max="4345" width="16.7109375" style="80" bestFit="1" customWidth="1"/>
    <col min="4346" max="4346" width="21.42578125" style="80" bestFit="1" customWidth="1"/>
    <col min="4347" max="4347" width="22.28515625" style="80" bestFit="1" customWidth="1"/>
    <col min="4348" max="4349" width="9.140625" style="80"/>
    <col min="4350" max="4350" width="17.28515625" style="80" customWidth="1"/>
    <col min="4351" max="4351" width="21.42578125" style="80" bestFit="1" customWidth="1"/>
    <col min="4352" max="4352" width="22.28515625" style="80" bestFit="1" customWidth="1"/>
    <col min="4353" max="4516" width="9.140625" style="80"/>
    <col min="4517" max="4517" width="5.85546875" style="80" customWidth="1"/>
    <col min="4518" max="4518" width="6" style="80" customWidth="1"/>
    <col min="4519" max="4519" width="48" style="80" bestFit="1" customWidth="1"/>
    <col min="4520" max="4531" width="0" style="80" hidden="1" customWidth="1"/>
    <col min="4532" max="4532" width="21.28515625" style="80" bestFit="1" customWidth="1"/>
    <col min="4533" max="4544" width="16.7109375" style="80" customWidth="1"/>
    <col min="4545" max="4572" width="0" style="80" hidden="1" customWidth="1"/>
    <col min="4573" max="4573" width="13.5703125" style="80" customWidth="1"/>
    <col min="4574" max="4581" width="0" style="80" hidden="1" customWidth="1"/>
    <col min="4582" max="4582" width="12.28515625" style="80" bestFit="1" customWidth="1"/>
    <col min="4583" max="4583" width="9.140625" style="80"/>
    <col min="4584" max="4591" width="0" style="80" hidden="1" customWidth="1"/>
    <col min="4592" max="4592" width="14.5703125" style="80" bestFit="1" customWidth="1"/>
    <col min="4593" max="4593" width="15.85546875" style="80" bestFit="1" customWidth="1"/>
    <col min="4594" max="4594" width="17.42578125" style="80" bestFit="1" customWidth="1"/>
    <col min="4595" max="4595" width="27.5703125" style="80" bestFit="1" customWidth="1"/>
    <col min="4596" max="4596" width="9.140625" style="80"/>
    <col min="4597" max="4597" width="15.85546875" style="80" bestFit="1" customWidth="1"/>
    <col min="4598" max="4598" width="20.85546875" style="80" bestFit="1" customWidth="1"/>
    <col min="4599" max="4599" width="27.5703125" style="80" bestFit="1" customWidth="1"/>
    <col min="4600" max="4600" width="9.140625" style="80"/>
    <col min="4601" max="4601" width="16.7109375" style="80" bestFit="1" customWidth="1"/>
    <col min="4602" max="4602" width="21.42578125" style="80" bestFit="1" customWidth="1"/>
    <col min="4603" max="4603" width="22.28515625" style="80" bestFit="1" customWidth="1"/>
    <col min="4604" max="4605" width="9.140625" style="80"/>
    <col min="4606" max="4606" width="17.28515625" style="80" customWidth="1"/>
    <col min="4607" max="4607" width="21.42578125" style="80" bestFit="1" customWidth="1"/>
    <col min="4608" max="4608" width="22.28515625" style="80" bestFit="1" customWidth="1"/>
    <col min="4609" max="4772" width="9.140625" style="80"/>
    <col min="4773" max="4773" width="5.85546875" style="80" customWidth="1"/>
    <col min="4774" max="4774" width="6" style="80" customWidth="1"/>
    <col min="4775" max="4775" width="48" style="80" bestFit="1" customWidth="1"/>
    <col min="4776" max="4787" width="0" style="80" hidden="1" customWidth="1"/>
    <col min="4788" max="4788" width="21.28515625" style="80" bestFit="1" customWidth="1"/>
    <col min="4789" max="4800" width="16.7109375" style="80" customWidth="1"/>
    <col min="4801" max="4828" width="0" style="80" hidden="1" customWidth="1"/>
    <col min="4829" max="4829" width="13.5703125" style="80" customWidth="1"/>
    <col min="4830" max="4837" width="0" style="80" hidden="1" customWidth="1"/>
    <col min="4838" max="4838" width="12.28515625" style="80" bestFit="1" customWidth="1"/>
    <col min="4839" max="4839" width="9.140625" style="80"/>
    <col min="4840" max="4847" width="0" style="80" hidden="1" customWidth="1"/>
    <col min="4848" max="4848" width="14.5703125" style="80" bestFit="1" customWidth="1"/>
    <col min="4849" max="4849" width="15.85546875" style="80" bestFit="1" customWidth="1"/>
    <col min="4850" max="4850" width="17.42578125" style="80" bestFit="1" customWidth="1"/>
    <col min="4851" max="4851" width="27.5703125" style="80" bestFit="1" customWidth="1"/>
    <col min="4852" max="4852" width="9.140625" style="80"/>
    <col min="4853" max="4853" width="15.85546875" style="80" bestFit="1" customWidth="1"/>
    <col min="4854" max="4854" width="20.85546875" style="80" bestFit="1" customWidth="1"/>
    <col min="4855" max="4855" width="27.5703125" style="80" bestFit="1" customWidth="1"/>
    <col min="4856" max="4856" width="9.140625" style="80"/>
    <col min="4857" max="4857" width="16.7109375" style="80" bestFit="1" customWidth="1"/>
    <col min="4858" max="4858" width="21.42578125" style="80" bestFit="1" customWidth="1"/>
    <col min="4859" max="4859" width="22.28515625" style="80" bestFit="1" customWidth="1"/>
    <col min="4860" max="4861" width="9.140625" style="80"/>
    <col min="4862" max="4862" width="17.28515625" style="80" customWidth="1"/>
    <col min="4863" max="4863" width="21.42578125" style="80" bestFit="1" customWidth="1"/>
    <col min="4864" max="4864" width="22.28515625" style="80" bestFit="1" customWidth="1"/>
    <col min="4865" max="5028" width="9.140625" style="80"/>
    <col min="5029" max="5029" width="5.85546875" style="80" customWidth="1"/>
    <col min="5030" max="5030" width="6" style="80" customWidth="1"/>
    <col min="5031" max="5031" width="48" style="80" bestFit="1" customWidth="1"/>
    <col min="5032" max="5043" width="0" style="80" hidden="1" customWidth="1"/>
    <col min="5044" max="5044" width="21.28515625" style="80" bestFit="1" customWidth="1"/>
    <col min="5045" max="5056" width="16.7109375" style="80" customWidth="1"/>
    <col min="5057" max="5084" width="0" style="80" hidden="1" customWidth="1"/>
    <col min="5085" max="5085" width="13.5703125" style="80" customWidth="1"/>
    <col min="5086" max="5093" width="0" style="80" hidden="1" customWidth="1"/>
    <col min="5094" max="5094" width="12.28515625" style="80" bestFit="1" customWidth="1"/>
    <col min="5095" max="5095" width="9.140625" style="80"/>
    <col min="5096" max="5103" width="0" style="80" hidden="1" customWidth="1"/>
    <col min="5104" max="5104" width="14.5703125" style="80" bestFit="1" customWidth="1"/>
    <col min="5105" max="5105" width="15.85546875" style="80" bestFit="1" customWidth="1"/>
    <col min="5106" max="5106" width="17.42578125" style="80" bestFit="1" customWidth="1"/>
    <col min="5107" max="5107" width="27.5703125" style="80" bestFit="1" customWidth="1"/>
    <col min="5108" max="5108" width="9.140625" style="80"/>
    <col min="5109" max="5109" width="15.85546875" style="80" bestFit="1" customWidth="1"/>
    <col min="5110" max="5110" width="20.85546875" style="80" bestFit="1" customWidth="1"/>
    <col min="5111" max="5111" width="27.5703125" style="80" bestFit="1" customWidth="1"/>
    <col min="5112" max="5112" width="9.140625" style="80"/>
    <col min="5113" max="5113" width="16.7109375" style="80" bestFit="1" customWidth="1"/>
    <col min="5114" max="5114" width="21.42578125" style="80" bestFit="1" customWidth="1"/>
    <col min="5115" max="5115" width="22.28515625" style="80" bestFit="1" customWidth="1"/>
    <col min="5116" max="5117" width="9.140625" style="80"/>
    <col min="5118" max="5118" width="17.28515625" style="80" customWidth="1"/>
    <col min="5119" max="5119" width="21.42578125" style="80" bestFit="1" customWidth="1"/>
    <col min="5120" max="5120" width="22.28515625" style="80" bestFit="1" customWidth="1"/>
    <col min="5121" max="5284" width="9.140625" style="80"/>
    <col min="5285" max="5285" width="5.85546875" style="80" customWidth="1"/>
    <col min="5286" max="5286" width="6" style="80" customWidth="1"/>
    <col min="5287" max="5287" width="48" style="80" bestFit="1" customWidth="1"/>
    <col min="5288" max="5299" width="0" style="80" hidden="1" customWidth="1"/>
    <col min="5300" max="5300" width="21.28515625" style="80" bestFit="1" customWidth="1"/>
    <col min="5301" max="5312" width="16.7109375" style="80" customWidth="1"/>
    <col min="5313" max="5340" width="0" style="80" hidden="1" customWidth="1"/>
    <col min="5341" max="5341" width="13.5703125" style="80" customWidth="1"/>
    <col min="5342" max="5349" width="0" style="80" hidden="1" customWidth="1"/>
    <col min="5350" max="5350" width="12.28515625" style="80" bestFit="1" customWidth="1"/>
    <col min="5351" max="5351" width="9.140625" style="80"/>
    <col min="5352" max="5359" width="0" style="80" hidden="1" customWidth="1"/>
    <col min="5360" max="5360" width="14.5703125" style="80" bestFit="1" customWidth="1"/>
    <col min="5361" max="5361" width="15.85546875" style="80" bestFit="1" customWidth="1"/>
    <col min="5362" max="5362" width="17.42578125" style="80" bestFit="1" customWidth="1"/>
    <col min="5363" max="5363" width="27.5703125" style="80" bestFit="1" customWidth="1"/>
    <col min="5364" max="5364" width="9.140625" style="80"/>
    <col min="5365" max="5365" width="15.85546875" style="80" bestFit="1" customWidth="1"/>
    <col min="5366" max="5366" width="20.85546875" style="80" bestFit="1" customWidth="1"/>
    <col min="5367" max="5367" width="27.5703125" style="80" bestFit="1" customWidth="1"/>
    <col min="5368" max="5368" width="9.140625" style="80"/>
    <col min="5369" max="5369" width="16.7109375" style="80" bestFit="1" customWidth="1"/>
    <col min="5370" max="5370" width="21.42578125" style="80" bestFit="1" customWidth="1"/>
    <col min="5371" max="5371" width="22.28515625" style="80" bestFit="1" customWidth="1"/>
    <col min="5372" max="5373" width="9.140625" style="80"/>
    <col min="5374" max="5374" width="17.28515625" style="80" customWidth="1"/>
    <col min="5375" max="5375" width="21.42578125" style="80" bestFit="1" customWidth="1"/>
    <col min="5376" max="5376" width="22.28515625" style="80" bestFit="1" customWidth="1"/>
    <col min="5377" max="5540" width="9.140625" style="80"/>
    <col min="5541" max="5541" width="5.85546875" style="80" customWidth="1"/>
    <col min="5542" max="5542" width="6" style="80" customWidth="1"/>
    <col min="5543" max="5543" width="48" style="80" bestFit="1" customWidth="1"/>
    <col min="5544" max="5555" width="0" style="80" hidden="1" customWidth="1"/>
    <col min="5556" max="5556" width="21.28515625" style="80" bestFit="1" customWidth="1"/>
    <col min="5557" max="5568" width="16.7109375" style="80" customWidth="1"/>
    <col min="5569" max="5596" width="0" style="80" hidden="1" customWidth="1"/>
    <col min="5597" max="5597" width="13.5703125" style="80" customWidth="1"/>
    <col min="5598" max="5605" width="0" style="80" hidden="1" customWidth="1"/>
    <col min="5606" max="5606" width="12.28515625" style="80" bestFit="1" customWidth="1"/>
    <col min="5607" max="5607" width="9.140625" style="80"/>
    <col min="5608" max="5615" width="0" style="80" hidden="1" customWidth="1"/>
    <col min="5616" max="5616" width="14.5703125" style="80" bestFit="1" customWidth="1"/>
    <col min="5617" max="5617" width="15.85546875" style="80" bestFit="1" customWidth="1"/>
    <col min="5618" max="5618" width="17.42578125" style="80" bestFit="1" customWidth="1"/>
    <col min="5619" max="5619" width="27.5703125" style="80" bestFit="1" customWidth="1"/>
    <col min="5620" max="5620" width="9.140625" style="80"/>
    <col min="5621" max="5621" width="15.85546875" style="80" bestFit="1" customWidth="1"/>
    <col min="5622" max="5622" width="20.85546875" style="80" bestFit="1" customWidth="1"/>
    <col min="5623" max="5623" width="27.5703125" style="80" bestFit="1" customWidth="1"/>
    <col min="5624" max="5624" width="9.140625" style="80"/>
    <col min="5625" max="5625" width="16.7109375" style="80" bestFit="1" customWidth="1"/>
    <col min="5626" max="5626" width="21.42578125" style="80" bestFit="1" customWidth="1"/>
    <col min="5627" max="5627" width="22.28515625" style="80" bestFit="1" customWidth="1"/>
    <col min="5628" max="5629" width="9.140625" style="80"/>
    <col min="5630" max="5630" width="17.28515625" style="80" customWidth="1"/>
    <col min="5631" max="5631" width="21.42578125" style="80" bestFit="1" customWidth="1"/>
    <col min="5632" max="5632" width="22.28515625" style="80" bestFit="1" customWidth="1"/>
    <col min="5633" max="5796" width="9.140625" style="80"/>
    <col min="5797" max="5797" width="5.85546875" style="80" customWidth="1"/>
    <col min="5798" max="5798" width="6" style="80" customWidth="1"/>
    <col min="5799" max="5799" width="48" style="80" bestFit="1" customWidth="1"/>
    <col min="5800" max="5811" width="0" style="80" hidden="1" customWidth="1"/>
    <col min="5812" max="5812" width="21.28515625" style="80" bestFit="1" customWidth="1"/>
    <col min="5813" max="5824" width="16.7109375" style="80" customWidth="1"/>
    <col min="5825" max="5852" width="0" style="80" hidden="1" customWidth="1"/>
    <col min="5853" max="5853" width="13.5703125" style="80" customWidth="1"/>
    <col min="5854" max="5861" width="0" style="80" hidden="1" customWidth="1"/>
    <col min="5862" max="5862" width="12.28515625" style="80" bestFit="1" customWidth="1"/>
    <col min="5863" max="5863" width="9.140625" style="80"/>
    <col min="5864" max="5871" width="0" style="80" hidden="1" customWidth="1"/>
    <col min="5872" max="5872" width="14.5703125" style="80" bestFit="1" customWidth="1"/>
    <col min="5873" max="5873" width="15.85546875" style="80" bestFit="1" customWidth="1"/>
    <col min="5874" max="5874" width="17.42578125" style="80" bestFit="1" customWidth="1"/>
    <col min="5875" max="5875" width="27.5703125" style="80" bestFit="1" customWidth="1"/>
    <col min="5876" max="5876" width="9.140625" style="80"/>
    <col min="5877" max="5877" width="15.85546875" style="80" bestFit="1" customWidth="1"/>
    <col min="5878" max="5878" width="20.85546875" style="80" bestFit="1" customWidth="1"/>
    <col min="5879" max="5879" width="27.5703125" style="80" bestFit="1" customWidth="1"/>
    <col min="5880" max="5880" width="9.140625" style="80"/>
    <col min="5881" max="5881" width="16.7109375" style="80" bestFit="1" customWidth="1"/>
    <col min="5882" max="5882" width="21.42578125" style="80" bestFit="1" customWidth="1"/>
    <col min="5883" max="5883" width="22.28515625" style="80" bestFit="1" customWidth="1"/>
    <col min="5884" max="5885" width="9.140625" style="80"/>
    <col min="5886" max="5886" width="17.28515625" style="80" customWidth="1"/>
    <col min="5887" max="5887" width="21.42578125" style="80" bestFit="1" customWidth="1"/>
    <col min="5888" max="5888" width="22.28515625" style="80" bestFit="1" customWidth="1"/>
    <col min="5889" max="6052" width="9.140625" style="80"/>
    <col min="6053" max="6053" width="5.85546875" style="80" customWidth="1"/>
    <col min="6054" max="6054" width="6" style="80" customWidth="1"/>
    <col min="6055" max="6055" width="48" style="80" bestFit="1" customWidth="1"/>
    <col min="6056" max="6067" width="0" style="80" hidden="1" customWidth="1"/>
    <col min="6068" max="6068" width="21.28515625" style="80" bestFit="1" customWidth="1"/>
    <col min="6069" max="6080" width="16.7109375" style="80" customWidth="1"/>
    <col min="6081" max="6108" width="0" style="80" hidden="1" customWidth="1"/>
    <col min="6109" max="6109" width="13.5703125" style="80" customWidth="1"/>
    <col min="6110" max="6117" width="0" style="80" hidden="1" customWidth="1"/>
    <col min="6118" max="6118" width="12.28515625" style="80" bestFit="1" customWidth="1"/>
    <col min="6119" max="6119" width="9.140625" style="80"/>
    <col min="6120" max="6127" width="0" style="80" hidden="1" customWidth="1"/>
    <col min="6128" max="6128" width="14.5703125" style="80" bestFit="1" customWidth="1"/>
    <col min="6129" max="6129" width="15.85546875" style="80" bestFit="1" customWidth="1"/>
    <col min="6130" max="6130" width="17.42578125" style="80" bestFit="1" customWidth="1"/>
    <col min="6131" max="6131" width="27.5703125" style="80" bestFit="1" customWidth="1"/>
    <col min="6132" max="6132" width="9.140625" style="80"/>
    <col min="6133" max="6133" width="15.85546875" style="80" bestFit="1" customWidth="1"/>
    <col min="6134" max="6134" width="20.85546875" style="80" bestFit="1" customWidth="1"/>
    <col min="6135" max="6135" width="27.5703125" style="80" bestFit="1" customWidth="1"/>
    <col min="6136" max="6136" width="9.140625" style="80"/>
    <col min="6137" max="6137" width="16.7109375" style="80" bestFit="1" customWidth="1"/>
    <col min="6138" max="6138" width="21.42578125" style="80" bestFit="1" customWidth="1"/>
    <col min="6139" max="6139" width="22.28515625" style="80" bestFit="1" customWidth="1"/>
    <col min="6140" max="6141" width="9.140625" style="80"/>
    <col min="6142" max="6142" width="17.28515625" style="80" customWidth="1"/>
    <col min="6143" max="6143" width="21.42578125" style="80" bestFit="1" customWidth="1"/>
    <col min="6144" max="6144" width="22.28515625" style="80" bestFit="1" customWidth="1"/>
    <col min="6145" max="6308" width="9.140625" style="80"/>
    <col min="6309" max="6309" width="5.85546875" style="80" customWidth="1"/>
    <col min="6310" max="6310" width="6" style="80" customWidth="1"/>
    <col min="6311" max="6311" width="48" style="80" bestFit="1" customWidth="1"/>
    <col min="6312" max="6323" width="0" style="80" hidden="1" customWidth="1"/>
    <col min="6324" max="6324" width="21.28515625" style="80" bestFit="1" customWidth="1"/>
    <col min="6325" max="6336" width="16.7109375" style="80" customWidth="1"/>
    <col min="6337" max="6364" width="0" style="80" hidden="1" customWidth="1"/>
    <col min="6365" max="6365" width="13.5703125" style="80" customWidth="1"/>
    <col min="6366" max="6373" width="0" style="80" hidden="1" customWidth="1"/>
    <col min="6374" max="6374" width="12.28515625" style="80" bestFit="1" customWidth="1"/>
    <col min="6375" max="6375" width="9.140625" style="80"/>
    <col min="6376" max="6383" width="0" style="80" hidden="1" customWidth="1"/>
    <col min="6384" max="6384" width="14.5703125" style="80" bestFit="1" customWidth="1"/>
    <col min="6385" max="6385" width="15.85546875" style="80" bestFit="1" customWidth="1"/>
    <col min="6386" max="6386" width="17.42578125" style="80" bestFit="1" customWidth="1"/>
    <col min="6387" max="6387" width="27.5703125" style="80" bestFit="1" customWidth="1"/>
    <col min="6388" max="6388" width="9.140625" style="80"/>
    <col min="6389" max="6389" width="15.85546875" style="80" bestFit="1" customWidth="1"/>
    <col min="6390" max="6390" width="20.85546875" style="80" bestFit="1" customWidth="1"/>
    <col min="6391" max="6391" width="27.5703125" style="80" bestFit="1" customWidth="1"/>
    <col min="6392" max="6392" width="9.140625" style="80"/>
    <col min="6393" max="6393" width="16.7109375" style="80" bestFit="1" customWidth="1"/>
    <col min="6394" max="6394" width="21.42578125" style="80" bestFit="1" customWidth="1"/>
    <col min="6395" max="6395" width="22.28515625" style="80" bestFit="1" customWidth="1"/>
    <col min="6396" max="6397" width="9.140625" style="80"/>
    <col min="6398" max="6398" width="17.28515625" style="80" customWidth="1"/>
    <col min="6399" max="6399" width="21.42578125" style="80" bestFit="1" customWidth="1"/>
    <col min="6400" max="6400" width="22.28515625" style="80" bestFit="1" customWidth="1"/>
    <col min="6401" max="6564" width="9.140625" style="80"/>
    <col min="6565" max="6565" width="5.85546875" style="80" customWidth="1"/>
    <col min="6566" max="6566" width="6" style="80" customWidth="1"/>
    <col min="6567" max="6567" width="48" style="80" bestFit="1" customWidth="1"/>
    <col min="6568" max="6579" width="0" style="80" hidden="1" customWidth="1"/>
    <col min="6580" max="6580" width="21.28515625" style="80" bestFit="1" customWidth="1"/>
    <col min="6581" max="6592" width="16.7109375" style="80" customWidth="1"/>
    <col min="6593" max="6620" width="0" style="80" hidden="1" customWidth="1"/>
    <col min="6621" max="6621" width="13.5703125" style="80" customWidth="1"/>
    <col min="6622" max="6629" width="0" style="80" hidden="1" customWidth="1"/>
    <col min="6630" max="6630" width="12.28515625" style="80" bestFit="1" customWidth="1"/>
    <col min="6631" max="6631" width="9.140625" style="80"/>
    <col min="6632" max="6639" width="0" style="80" hidden="1" customWidth="1"/>
    <col min="6640" max="6640" width="14.5703125" style="80" bestFit="1" customWidth="1"/>
    <col min="6641" max="6641" width="15.85546875" style="80" bestFit="1" customWidth="1"/>
    <col min="6642" max="6642" width="17.42578125" style="80" bestFit="1" customWidth="1"/>
    <col min="6643" max="6643" width="27.5703125" style="80" bestFit="1" customWidth="1"/>
    <col min="6644" max="6644" width="9.140625" style="80"/>
    <col min="6645" max="6645" width="15.85546875" style="80" bestFit="1" customWidth="1"/>
    <col min="6646" max="6646" width="20.85546875" style="80" bestFit="1" customWidth="1"/>
    <col min="6647" max="6647" width="27.5703125" style="80" bestFit="1" customWidth="1"/>
    <col min="6648" max="6648" width="9.140625" style="80"/>
    <col min="6649" max="6649" width="16.7109375" style="80" bestFit="1" customWidth="1"/>
    <col min="6650" max="6650" width="21.42578125" style="80" bestFit="1" customWidth="1"/>
    <col min="6651" max="6651" width="22.28515625" style="80" bestFit="1" customWidth="1"/>
    <col min="6652" max="6653" width="9.140625" style="80"/>
    <col min="6654" max="6654" width="17.28515625" style="80" customWidth="1"/>
    <col min="6655" max="6655" width="21.42578125" style="80" bestFit="1" customWidth="1"/>
    <col min="6656" max="6656" width="22.28515625" style="80" bestFit="1" customWidth="1"/>
    <col min="6657" max="6820" width="9.140625" style="80"/>
    <col min="6821" max="6821" width="5.85546875" style="80" customWidth="1"/>
    <col min="6822" max="6822" width="6" style="80" customWidth="1"/>
    <col min="6823" max="6823" width="48" style="80" bestFit="1" customWidth="1"/>
    <col min="6824" max="6835" width="0" style="80" hidden="1" customWidth="1"/>
    <col min="6836" max="6836" width="21.28515625" style="80" bestFit="1" customWidth="1"/>
    <col min="6837" max="6848" width="16.7109375" style="80" customWidth="1"/>
    <col min="6849" max="6876" width="0" style="80" hidden="1" customWidth="1"/>
    <col min="6877" max="6877" width="13.5703125" style="80" customWidth="1"/>
    <col min="6878" max="6885" width="0" style="80" hidden="1" customWidth="1"/>
    <col min="6886" max="6886" width="12.28515625" style="80" bestFit="1" customWidth="1"/>
    <col min="6887" max="6887" width="9.140625" style="80"/>
    <col min="6888" max="6895" width="0" style="80" hidden="1" customWidth="1"/>
    <col min="6896" max="6896" width="14.5703125" style="80" bestFit="1" customWidth="1"/>
    <col min="6897" max="6897" width="15.85546875" style="80" bestFit="1" customWidth="1"/>
    <col min="6898" max="6898" width="17.42578125" style="80" bestFit="1" customWidth="1"/>
    <col min="6899" max="6899" width="27.5703125" style="80" bestFit="1" customWidth="1"/>
    <col min="6900" max="6900" width="9.140625" style="80"/>
    <col min="6901" max="6901" width="15.85546875" style="80" bestFit="1" customWidth="1"/>
    <col min="6902" max="6902" width="20.85546875" style="80" bestFit="1" customWidth="1"/>
    <col min="6903" max="6903" width="27.5703125" style="80" bestFit="1" customWidth="1"/>
    <col min="6904" max="6904" width="9.140625" style="80"/>
    <col min="6905" max="6905" width="16.7109375" style="80" bestFit="1" customWidth="1"/>
    <col min="6906" max="6906" width="21.42578125" style="80" bestFit="1" customWidth="1"/>
    <col min="6907" max="6907" width="22.28515625" style="80" bestFit="1" customWidth="1"/>
    <col min="6908" max="6909" width="9.140625" style="80"/>
    <col min="6910" max="6910" width="17.28515625" style="80" customWidth="1"/>
    <col min="6911" max="6911" width="21.42578125" style="80" bestFit="1" customWidth="1"/>
    <col min="6912" max="6912" width="22.28515625" style="80" bestFit="1" customWidth="1"/>
    <col min="6913" max="7076" width="9.140625" style="80"/>
    <col min="7077" max="7077" width="5.85546875" style="80" customWidth="1"/>
    <col min="7078" max="7078" width="6" style="80" customWidth="1"/>
    <col min="7079" max="7079" width="48" style="80" bestFit="1" customWidth="1"/>
    <col min="7080" max="7091" width="0" style="80" hidden="1" customWidth="1"/>
    <col min="7092" max="7092" width="21.28515625" style="80" bestFit="1" customWidth="1"/>
    <col min="7093" max="7104" width="16.7109375" style="80" customWidth="1"/>
    <col min="7105" max="7132" width="0" style="80" hidden="1" customWidth="1"/>
    <col min="7133" max="7133" width="13.5703125" style="80" customWidth="1"/>
    <col min="7134" max="7141" width="0" style="80" hidden="1" customWidth="1"/>
    <col min="7142" max="7142" width="12.28515625" style="80" bestFit="1" customWidth="1"/>
    <col min="7143" max="7143" width="9.140625" style="80"/>
    <col min="7144" max="7151" width="0" style="80" hidden="1" customWidth="1"/>
    <col min="7152" max="7152" width="14.5703125" style="80" bestFit="1" customWidth="1"/>
    <col min="7153" max="7153" width="15.85546875" style="80" bestFit="1" customWidth="1"/>
    <col min="7154" max="7154" width="17.42578125" style="80" bestFit="1" customWidth="1"/>
    <col min="7155" max="7155" width="27.5703125" style="80" bestFit="1" customWidth="1"/>
    <col min="7156" max="7156" width="9.140625" style="80"/>
    <col min="7157" max="7157" width="15.85546875" style="80" bestFit="1" customWidth="1"/>
    <col min="7158" max="7158" width="20.85546875" style="80" bestFit="1" customWidth="1"/>
    <col min="7159" max="7159" width="27.5703125" style="80" bestFit="1" customWidth="1"/>
    <col min="7160" max="7160" width="9.140625" style="80"/>
    <col min="7161" max="7161" width="16.7109375" style="80" bestFit="1" customWidth="1"/>
    <col min="7162" max="7162" width="21.42578125" style="80" bestFit="1" customWidth="1"/>
    <col min="7163" max="7163" width="22.28515625" style="80" bestFit="1" customWidth="1"/>
    <col min="7164" max="7165" width="9.140625" style="80"/>
    <col min="7166" max="7166" width="17.28515625" style="80" customWidth="1"/>
    <col min="7167" max="7167" width="21.42578125" style="80" bestFit="1" customWidth="1"/>
    <col min="7168" max="7168" width="22.28515625" style="80" bestFit="1" customWidth="1"/>
    <col min="7169" max="7332" width="9.140625" style="80"/>
    <col min="7333" max="7333" width="5.85546875" style="80" customWidth="1"/>
    <col min="7334" max="7334" width="6" style="80" customWidth="1"/>
    <col min="7335" max="7335" width="48" style="80" bestFit="1" customWidth="1"/>
    <col min="7336" max="7347" width="0" style="80" hidden="1" customWidth="1"/>
    <col min="7348" max="7348" width="21.28515625" style="80" bestFit="1" customWidth="1"/>
    <col min="7349" max="7360" width="16.7109375" style="80" customWidth="1"/>
    <col min="7361" max="7388" width="0" style="80" hidden="1" customWidth="1"/>
    <col min="7389" max="7389" width="13.5703125" style="80" customWidth="1"/>
    <col min="7390" max="7397" width="0" style="80" hidden="1" customWidth="1"/>
    <col min="7398" max="7398" width="12.28515625" style="80" bestFit="1" customWidth="1"/>
    <col min="7399" max="7399" width="9.140625" style="80"/>
    <col min="7400" max="7407" width="0" style="80" hidden="1" customWidth="1"/>
    <col min="7408" max="7408" width="14.5703125" style="80" bestFit="1" customWidth="1"/>
    <col min="7409" max="7409" width="15.85546875" style="80" bestFit="1" customWidth="1"/>
    <col min="7410" max="7410" width="17.42578125" style="80" bestFit="1" customWidth="1"/>
    <col min="7411" max="7411" width="27.5703125" style="80" bestFit="1" customWidth="1"/>
    <col min="7412" max="7412" width="9.140625" style="80"/>
    <col min="7413" max="7413" width="15.85546875" style="80" bestFit="1" customWidth="1"/>
    <col min="7414" max="7414" width="20.85546875" style="80" bestFit="1" customWidth="1"/>
    <col min="7415" max="7415" width="27.5703125" style="80" bestFit="1" customWidth="1"/>
    <col min="7416" max="7416" width="9.140625" style="80"/>
    <col min="7417" max="7417" width="16.7109375" style="80" bestFit="1" customWidth="1"/>
    <col min="7418" max="7418" width="21.42578125" style="80" bestFit="1" customWidth="1"/>
    <col min="7419" max="7419" width="22.28515625" style="80" bestFit="1" customWidth="1"/>
    <col min="7420" max="7421" width="9.140625" style="80"/>
    <col min="7422" max="7422" width="17.28515625" style="80" customWidth="1"/>
    <col min="7423" max="7423" width="21.42578125" style="80" bestFit="1" customWidth="1"/>
    <col min="7424" max="7424" width="22.28515625" style="80" bestFit="1" customWidth="1"/>
    <col min="7425" max="7588" width="9.140625" style="80"/>
    <col min="7589" max="7589" width="5.85546875" style="80" customWidth="1"/>
    <col min="7590" max="7590" width="6" style="80" customWidth="1"/>
    <col min="7591" max="7591" width="48" style="80" bestFit="1" customWidth="1"/>
    <col min="7592" max="7603" width="0" style="80" hidden="1" customWidth="1"/>
    <col min="7604" max="7604" width="21.28515625" style="80" bestFit="1" customWidth="1"/>
    <col min="7605" max="7616" width="16.7109375" style="80" customWidth="1"/>
    <col min="7617" max="7644" width="0" style="80" hidden="1" customWidth="1"/>
    <col min="7645" max="7645" width="13.5703125" style="80" customWidth="1"/>
    <col min="7646" max="7653" width="0" style="80" hidden="1" customWidth="1"/>
    <col min="7654" max="7654" width="12.28515625" style="80" bestFit="1" customWidth="1"/>
    <col min="7655" max="7655" width="9.140625" style="80"/>
    <col min="7656" max="7663" width="0" style="80" hidden="1" customWidth="1"/>
    <col min="7664" max="7664" width="14.5703125" style="80" bestFit="1" customWidth="1"/>
    <col min="7665" max="7665" width="15.85546875" style="80" bestFit="1" customWidth="1"/>
    <col min="7666" max="7666" width="17.42578125" style="80" bestFit="1" customWidth="1"/>
    <col min="7667" max="7667" width="27.5703125" style="80" bestFit="1" customWidth="1"/>
    <col min="7668" max="7668" width="9.140625" style="80"/>
    <col min="7669" max="7669" width="15.85546875" style="80" bestFit="1" customWidth="1"/>
    <col min="7670" max="7670" width="20.85546875" style="80" bestFit="1" customWidth="1"/>
    <col min="7671" max="7671" width="27.5703125" style="80" bestFit="1" customWidth="1"/>
    <col min="7672" max="7672" width="9.140625" style="80"/>
    <col min="7673" max="7673" width="16.7109375" style="80" bestFit="1" customWidth="1"/>
    <col min="7674" max="7674" width="21.42578125" style="80" bestFit="1" customWidth="1"/>
    <col min="7675" max="7675" width="22.28515625" style="80" bestFit="1" customWidth="1"/>
    <col min="7676" max="7677" width="9.140625" style="80"/>
    <col min="7678" max="7678" width="17.28515625" style="80" customWidth="1"/>
    <col min="7679" max="7679" width="21.42578125" style="80" bestFit="1" customWidth="1"/>
    <col min="7680" max="7680" width="22.28515625" style="80" bestFit="1" customWidth="1"/>
    <col min="7681" max="7844" width="9.140625" style="80"/>
    <col min="7845" max="7845" width="5.85546875" style="80" customWidth="1"/>
    <col min="7846" max="7846" width="6" style="80" customWidth="1"/>
    <col min="7847" max="7847" width="48" style="80" bestFit="1" customWidth="1"/>
    <col min="7848" max="7859" width="0" style="80" hidden="1" customWidth="1"/>
    <col min="7860" max="7860" width="21.28515625" style="80" bestFit="1" customWidth="1"/>
    <col min="7861" max="7872" width="16.7109375" style="80" customWidth="1"/>
    <col min="7873" max="7900" width="0" style="80" hidden="1" customWidth="1"/>
    <col min="7901" max="7901" width="13.5703125" style="80" customWidth="1"/>
    <col min="7902" max="7909" width="0" style="80" hidden="1" customWidth="1"/>
    <col min="7910" max="7910" width="12.28515625" style="80" bestFit="1" customWidth="1"/>
    <col min="7911" max="7911" width="9.140625" style="80"/>
    <col min="7912" max="7919" width="0" style="80" hidden="1" customWidth="1"/>
    <col min="7920" max="7920" width="14.5703125" style="80" bestFit="1" customWidth="1"/>
    <col min="7921" max="7921" width="15.85546875" style="80" bestFit="1" customWidth="1"/>
    <col min="7922" max="7922" width="17.42578125" style="80" bestFit="1" customWidth="1"/>
    <col min="7923" max="7923" width="27.5703125" style="80" bestFit="1" customWidth="1"/>
    <col min="7924" max="7924" width="9.140625" style="80"/>
    <col min="7925" max="7925" width="15.85546875" style="80" bestFit="1" customWidth="1"/>
    <col min="7926" max="7926" width="20.85546875" style="80" bestFit="1" customWidth="1"/>
    <col min="7927" max="7927" width="27.5703125" style="80" bestFit="1" customWidth="1"/>
    <col min="7928" max="7928" width="9.140625" style="80"/>
    <col min="7929" max="7929" width="16.7109375" style="80" bestFit="1" customWidth="1"/>
    <col min="7930" max="7930" width="21.42578125" style="80" bestFit="1" customWidth="1"/>
    <col min="7931" max="7931" width="22.28515625" style="80" bestFit="1" customWidth="1"/>
    <col min="7932" max="7933" width="9.140625" style="80"/>
    <col min="7934" max="7934" width="17.28515625" style="80" customWidth="1"/>
    <col min="7935" max="7935" width="21.42578125" style="80" bestFit="1" customWidth="1"/>
    <col min="7936" max="7936" width="22.28515625" style="80" bestFit="1" customWidth="1"/>
    <col min="7937" max="8100" width="9.140625" style="80"/>
    <col min="8101" max="8101" width="5.85546875" style="80" customWidth="1"/>
    <col min="8102" max="8102" width="6" style="80" customWidth="1"/>
    <col min="8103" max="8103" width="48" style="80" bestFit="1" customWidth="1"/>
    <col min="8104" max="8115" width="0" style="80" hidden="1" customWidth="1"/>
    <col min="8116" max="8116" width="21.28515625" style="80" bestFit="1" customWidth="1"/>
    <col min="8117" max="8128" width="16.7109375" style="80" customWidth="1"/>
    <col min="8129" max="8156" width="0" style="80" hidden="1" customWidth="1"/>
    <col min="8157" max="8157" width="13.5703125" style="80" customWidth="1"/>
    <col min="8158" max="8165" width="0" style="80" hidden="1" customWidth="1"/>
    <col min="8166" max="8166" width="12.28515625" style="80" bestFit="1" customWidth="1"/>
    <col min="8167" max="8167" width="9.140625" style="80"/>
    <col min="8168" max="8175" width="0" style="80" hidden="1" customWidth="1"/>
    <col min="8176" max="8176" width="14.5703125" style="80" bestFit="1" customWidth="1"/>
    <col min="8177" max="8177" width="15.85546875" style="80" bestFit="1" customWidth="1"/>
    <col min="8178" max="8178" width="17.42578125" style="80" bestFit="1" customWidth="1"/>
    <col min="8179" max="8179" width="27.5703125" style="80" bestFit="1" customWidth="1"/>
    <col min="8180" max="8180" width="9.140625" style="80"/>
    <col min="8181" max="8181" width="15.85546875" style="80" bestFit="1" customWidth="1"/>
    <col min="8182" max="8182" width="20.85546875" style="80" bestFit="1" customWidth="1"/>
    <col min="8183" max="8183" width="27.5703125" style="80" bestFit="1" customWidth="1"/>
    <col min="8184" max="8184" width="9.140625" style="80"/>
    <col min="8185" max="8185" width="16.7109375" style="80" bestFit="1" customWidth="1"/>
    <col min="8186" max="8186" width="21.42578125" style="80" bestFit="1" customWidth="1"/>
    <col min="8187" max="8187" width="22.28515625" style="80" bestFit="1" customWidth="1"/>
    <col min="8188" max="8189" width="9.140625" style="80"/>
    <col min="8190" max="8190" width="17.28515625" style="80" customWidth="1"/>
    <col min="8191" max="8191" width="21.42578125" style="80" bestFit="1" customWidth="1"/>
    <col min="8192" max="8192" width="22.28515625" style="80" bestFit="1" customWidth="1"/>
    <col min="8193" max="8356" width="9.140625" style="80"/>
    <col min="8357" max="8357" width="5.85546875" style="80" customWidth="1"/>
    <col min="8358" max="8358" width="6" style="80" customWidth="1"/>
    <col min="8359" max="8359" width="48" style="80" bestFit="1" customWidth="1"/>
    <col min="8360" max="8371" width="0" style="80" hidden="1" customWidth="1"/>
    <col min="8372" max="8372" width="21.28515625" style="80" bestFit="1" customWidth="1"/>
    <col min="8373" max="8384" width="16.7109375" style="80" customWidth="1"/>
    <col min="8385" max="8412" width="0" style="80" hidden="1" customWidth="1"/>
    <col min="8413" max="8413" width="13.5703125" style="80" customWidth="1"/>
    <col min="8414" max="8421" width="0" style="80" hidden="1" customWidth="1"/>
    <col min="8422" max="8422" width="12.28515625" style="80" bestFit="1" customWidth="1"/>
    <col min="8423" max="8423" width="9.140625" style="80"/>
    <col min="8424" max="8431" width="0" style="80" hidden="1" customWidth="1"/>
    <col min="8432" max="8432" width="14.5703125" style="80" bestFit="1" customWidth="1"/>
    <col min="8433" max="8433" width="15.85546875" style="80" bestFit="1" customWidth="1"/>
    <col min="8434" max="8434" width="17.42578125" style="80" bestFit="1" customWidth="1"/>
    <col min="8435" max="8435" width="27.5703125" style="80" bestFit="1" customWidth="1"/>
    <col min="8436" max="8436" width="9.140625" style="80"/>
    <col min="8437" max="8437" width="15.85546875" style="80" bestFit="1" customWidth="1"/>
    <col min="8438" max="8438" width="20.85546875" style="80" bestFit="1" customWidth="1"/>
    <col min="8439" max="8439" width="27.5703125" style="80" bestFit="1" customWidth="1"/>
    <col min="8440" max="8440" width="9.140625" style="80"/>
    <col min="8441" max="8441" width="16.7109375" style="80" bestFit="1" customWidth="1"/>
    <col min="8442" max="8442" width="21.42578125" style="80" bestFit="1" customWidth="1"/>
    <col min="8443" max="8443" width="22.28515625" style="80" bestFit="1" customWidth="1"/>
    <col min="8444" max="8445" width="9.140625" style="80"/>
    <col min="8446" max="8446" width="17.28515625" style="80" customWidth="1"/>
    <col min="8447" max="8447" width="21.42578125" style="80" bestFit="1" customWidth="1"/>
    <col min="8448" max="8448" width="22.28515625" style="80" bestFit="1" customWidth="1"/>
    <col min="8449" max="8612" width="9.140625" style="80"/>
    <col min="8613" max="8613" width="5.85546875" style="80" customWidth="1"/>
    <col min="8614" max="8614" width="6" style="80" customWidth="1"/>
    <col min="8615" max="8615" width="48" style="80" bestFit="1" customWidth="1"/>
    <col min="8616" max="8627" width="0" style="80" hidden="1" customWidth="1"/>
    <col min="8628" max="8628" width="21.28515625" style="80" bestFit="1" customWidth="1"/>
    <col min="8629" max="8640" width="16.7109375" style="80" customWidth="1"/>
    <col min="8641" max="8668" width="0" style="80" hidden="1" customWidth="1"/>
    <col min="8669" max="8669" width="13.5703125" style="80" customWidth="1"/>
    <col min="8670" max="8677" width="0" style="80" hidden="1" customWidth="1"/>
    <col min="8678" max="8678" width="12.28515625" style="80" bestFit="1" customWidth="1"/>
    <col min="8679" max="8679" width="9.140625" style="80"/>
    <col min="8680" max="8687" width="0" style="80" hidden="1" customWidth="1"/>
    <col min="8688" max="8688" width="14.5703125" style="80" bestFit="1" customWidth="1"/>
    <col min="8689" max="8689" width="15.85546875" style="80" bestFit="1" customWidth="1"/>
    <col min="8690" max="8690" width="17.42578125" style="80" bestFit="1" customWidth="1"/>
    <col min="8691" max="8691" width="27.5703125" style="80" bestFit="1" customWidth="1"/>
    <col min="8692" max="8692" width="9.140625" style="80"/>
    <col min="8693" max="8693" width="15.85546875" style="80" bestFit="1" customWidth="1"/>
    <col min="8694" max="8694" width="20.85546875" style="80" bestFit="1" customWidth="1"/>
    <col min="8695" max="8695" width="27.5703125" style="80" bestFit="1" customWidth="1"/>
    <col min="8696" max="8696" width="9.140625" style="80"/>
    <col min="8697" max="8697" width="16.7109375" style="80" bestFit="1" customWidth="1"/>
    <col min="8698" max="8698" width="21.42578125" style="80" bestFit="1" customWidth="1"/>
    <col min="8699" max="8699" width="22.28515625" style="80" bestFit="1" customWidth="1"/>
    <col min="8700" max="8701" width="9.140625" style="80"/>
    <col min="8702" max="8702" width="17.28515625" style="80" customWidth="1"/>
    <col min="8703" max="8703" width="21.42578125" style="80" bestFit="1" customWidth="1"/>
    <col min="8704" max="8704" width="22.28515625" style="80" bestFit="1" customWidth="1"/>
    <col min="8705" max="8868" width="9.140625" style="80"/>
    <col min="8869" max="8869" width="5.85546875" style="80" customWidth="1"/>
    <col min="8870" max="8870" width="6" style="80" customWidth="1"/>
    <col min="8871" max="8871" width="48" style="80" bestFit="1" customWidth="1"/>
    <col min="8872" max="8883" width="0" style="80" hidden="1" customWidth="1"/>
    <col min="8884" max="8884" width="21.28515625" style="80" bestFit="1" customWidth="1"/>
    <col min="8885" max="8896" width="16.7109375" style="80" customWidth="1"/>
    <col min="8897" max="8924" width="0" style="80" hidden="1" customWidth="1"/>
    <col min="8925" max="8925" width="13.5703125" style="80" customWidth="1"/>
    <col min="8926" max="8933" width="0" style="80" hidden="1" customWidth="1"/>
    <col min="8934" max="8934" width="12.28515625" style="80" bestFit="1" customWidth="1"/>
    <col min="8935" max="8935" width="9.140625" style="80"/>
    <col min="8936" max="8943" width="0" style="80" hidden="1" customWidth="1"/>
    <col min="8944" max="8944" width="14.5703125" style="80" bestFit="1" customWidth="1"/>
    <col min="8945" max="8945" width="15.85546875" style="80" bestFit="1" customWidth="1"/>
    <col min="8946" max="8946" width="17.42578125" style="80" bestFit="1" customWidth="1"/>
    <col min="8947" max="8947" width="27.5703125" style="80" bestFit="1" customWidth="1"/>
    <col min="8948" max="8948" width="9.140625" style="80"/>
    <col min="8949" max="8949" width="15.85546875" style="80" bestFit="1" customWidth="1"/>
    <col min="8950" max="8950" width="20.85546875" style="80" bestFit="1" customWidth="1"/>
    <col min="8951" max="8951" width="27.5703125" style="80" bestFit="1" customWidth="1"/>
    <col min="8952" max="8952" width="9.140625" style="80"/>
    <col min="8953" max="8953" width="16.7109375" style="80" bestFit="1" customWidth="1"/>
    <col min="8954" max="8954" width="21.42578125" style="80" bestFit="1" customWidth="1"/>
    <col min="8955" max="8955" width="22.28515625" style="80" bestFit="1" customWidth="1"/>
    <col min="8956" max="8957" width="9.140625" style="80"/>
    <col min="8958" max="8958" width="17.28515625" style="80" customWidth="1"/>
    <col min="8959" max="8959" width="21.42578125" style="80" bestFit="1" customWidth="1"/>
    <col min="8960" max="8960" width="22.28515625" style="80" bestFit="1" customWidth="1"/>
    <col min="8961" max="9124" width="9.140625" style="80"/>
    <col min="9125" max="9125" width="5.85546875" style="80" customWidth="1"/>
    <col min="9126" max="9126" width="6" style="80" customWidth="1"/>
    <col min="9127" max="9127" width="48" style="80" bestFit="1" customWidth="1"/>
    <col min="9128" max="9139" width="0" style="80" hidden="1" customWidth="1"/>
    <col min="9140" max="9140" width="21.28515625" style="80" bestFit="1" customWidth="1"/>
    <col min="9141" max="9152" width="16.7109375" style="80" customWidth="1"/>
    <col min="9153" max="9180" width="0" style="80" hidden="1" customWidth="1"/>
    <col min="9181" max="9181" width="13.5703125" style="80" customWidth="1"/>
    <col min="9182" max="9189" width="0" style="80" hidden="1" customWidth="1"/>
    <col min="9190" max="9190" width="12.28515625" style="80" bestFit="1" customWidth="1"/>
    <col min="9191" max="9191" width="9.140625" style="80"/>
    <col min="9192" max="9199" width="0" style="80" hidden="1" customWidth="1"/>
    <col min="9200" max="9200" width="14.5703125" style="80" bestFit="1" customWidth="1"/>
    <col min="9201" max="9201" width="15.85546875" style="80" bestFit="1" customWidth="1"/>
    <col min="9202" max="9202" width="17.42578125" style="80" bestFit="1" customWidth="1"/>
    <col min="9203" max="9203" width="27.5703125" style="80" bestFit="1" customWidth="1"/>
    <col min="9204" max="9204" width="9.140625" style="80"/>
    <col min="9205" max="9205" width="15.85546875" style="80" bestFit="1" customWidth="1"/>
    <col min="9206" max="9206" width="20.85546875" style="80" bestFit="1" customWidth="1"/>
    <col min="9207" max="9207" width="27.5703125" style="80" bestFit="1" customWidth="1"/>
    <col min="9208" max="9208" width="9.140625" style="80"/>
    <col min="9209" max="9209" width="16.7109375" style="80" bestFit="1" customWidth="1"/>
    <col min="9210" max="9210" width="21.42578125" style="80" bestFit="1" customWidth="1"/>
    <col min="9211" max="9211" width="22.28515625" style="80" bestFit="1" customWidth="1"/>
    <col min="9212" max="9213" width="9.140625" style="80"/>
    <col min="9214" max="9214" width="17.28515625" style="80" customWidth="1"/>
    <col min="9215" max="9215" width="21.42578125" style="80" bestFit="1" customWidth="1"/>
    <col min="9216" max="9216" width="22.28515625" style="80" bestFit="1" customWidth="1"/>
    <col min="9217" max="9380" width="9.140625" style="80"/>
    <col min="9381" max="9381" width="5.85546875" style="80" customWidth="1"/>
    <col min="9382" max="9382" width="6" style="80" customWidth="1"/>
    <col min="9383" max="9383" width="48" style="80" bestFit="1" customWidth="1"/>
    <col min="9384" max="9395" width="0" style="80" hidden="1" customWidth="1"/>
    <col min="9396" max="9396" width="21.28515625" style="80" bestFit="1" customWidth="1"/>
    <col min="9397" max="9408" width="16.7109375" style="80" customWidth="1"/>
    <col min="9409" max="9436" width="0" style="80" hidden="1" customWidth="1"/>
    <col min="9437" max="9437" width="13.5703125" style="80" customWidth="1"/>
    <col min="9438" max="9445" width="0" style="80" hidden="1" customWidth="1"/>
    <col min="9446" max="9446" width="12.28515625" style="80" bestFit="1" customWidth="1"/>
    <col min="9447" max="9447" width="9.140625" style="80"/>
    <col min="9448" max="9455" width="0" style="80" hidden="1" customWidth="1"/>
    <col min="9456" max="9456" width="14.5703125" style="80" bestFit="1" customWidth="1"/>
    <col min="9457" max="9457" width="15.85546875" style="80" bestFit="1" customWidth="1"/>
    <col min="9458" max="9458" width="17.42578125" style="80" bestFit="1" customWidth="1"/>
    <col min="9459" max="9459" width="27.5703125" style="80" bestFit="1" customWidth="1"/>
    <col min="9460" max="9460" width="9.140625" style="80"/>
    <col min="9461" max="9461" width="15.85546875" style="80" bestFit="1" customWidth="1"/>
    <col min="9462" max="9462" width="20.85546875" style="80" bestFit="1" customWidth="1"/>
    <col min="9463" max="9463" width="27.5703125" style="80" bestFit="1" customWidth="1"/>
    <col min="9464" max="9464" width="9.140625" style="80"/>
    <col min="9465" max="9465" width="16.7109375" style="80" bestFit="1" customWidth="1"/>
    <col min="9466" max="9466" width="21.42578125" style="80" bestFit="1" customWidth="1"/>
    <col min="9467" max="9467" width="22.28515625" style="80" bestFit="1" customWidth="1"/>
    <col min="9468" max="9469" width="9.140625" style="80"/>
    <col min="9470" max="9470" width="17.28515625" style="80" customWidth="1"/>
    <col min="9471" max="9471" width="21.42578125" style="80" bestFit="1" customWidth="1"/>
    <col min="9472" max="9472" width="22.28515625" style="80" bestFit="1" customWidth="1"/>
    <col min="9473" max="9636" width="9.140625" style="80"/>
    <col min="9637" max="9637" width="5.85546875" style="80" customWidth="1"/>
    <col min="9638" max="9638" width="6" style="80" customWidth="1"/>
    <col min="9639" max="9639" width="48" style="80" bestFit="1" customWidth="1"/>
    <col min="9640" max="9651" width="0" style="80" hidden="1" customWidth="1"/>
    <col min="9652" max="9652" width="21.28515625" style="80" bestFit="1" customWidth="1"/>
    <col min="9653" max="9664" width="16.7109375" style="80" customWidth="1"/>
    <col min="9665" max="9692" width="0" style="80" hidden="1" customWidth="1"/>
    <col min="9693" max="9693" width="13.5703125" style="80" customWidth="1"/>
    <col min="9694" max="9701" width="0" style="80" hidden="1" customWidth="1"/>
    <col min="9702" max="9702" width="12.28515625" style="80" bestFit="1" customWidth="1"/>
    <col min="9703" max="9703" width="9.140625" style="80"/>
    <col min="9704" max="9711" width="0" style="80" hidden="1" customWidth="1"/>
    <col min="9712" max="9712" width="14.5703125" style="80" bestFit="1" customWidth="1"/>
    <col min="9713" max="9713" width="15.85546875" style="80" bestFit="1" customWidth="1"/>
    <col min="9714" max="9714" width="17.42578125" style="80" bestFit="1" customWidth="1"/>
    <col min="9715" max="9715" width="27.5703125" style="80" bestFit="1" customWidth="1"/>
    <col min="9716" max="9716" width="9.140625" style="80"/>
    <col min="9717" max="9717" width="15.85546875" style="80" bestFit="1" customWidth="1"/>
    <col min="9718" max="9718" width="20.85546875" style="80" bestFit="1" customWidth="1"/>
    <col min="9719" max="9719" width="27.5703125" style="80" bestFit="1" customWidth="1"/>
    <col min="9720" max="9720" width="9.140625" style="80"/>
    <col min="9721" max="9721" width="16.7109375" style="80" bestFit="1" customWidth="1"/>
    <col min="9722" max="9722" width="21.42578125" style="80" bestFit="1" customWidth="1"/>
    <col min="9723" max="9723" width="22.28515625" style="80" bestFit="1" customWidth="1"/>
    <col min="9724" max="9725" width="9.140625" style="80"/>
    <col min="9726" max="9726" width="17.28515625" style="80" customWidth="1"/>
    <col min="9727" max="9727" width="21.42578125" style="80" bestFit="1" customWidth="1"/>
    <col min="9728" max="9728" width="22.28515625" style="80" bestFit="1" customWidth="1"/>
    <col min="9729" max="9892" width="9.140625" style="80"/>
    <col min="9893" max="9893" width="5.85546875" style="80" customWidth="1"/>
    <col min="9894" max="9894" width="6" style="80" customWidth="1"/>
    <col min="9895" max="9895" width="48" style="80" bestFit="1" customWidth="1"/>
    <col min="9896" max="9907" width="0" style="80" hidden="1" customWidth="1"/>
    <col min="9908" max="9908" width="21.28515625" style="80" bestFit="1" customWidth="1"/>
    <col min="9909" max="9920" width="16.7109375" style="80" customWidth="1"/>
    <col min="9921" max="9948" width="0" style="80" hidden="1" customWidth="1"/>
    <col min="9949" max="9949" width="13.5703125" style="80" customWidth="1"/>
    <col min="9950" max="9957" width="0" style="80" hidden="1" customWidth="1"/>
    <col min="9958" max="9958" width="12.28515625" style="80" bestFit="1" customWidth="1"/>
    <col min="9959" max="9959" width="9.140625" style="80"/>
    <col min="9960" max="9967" width="0" style="80" hidden="1" customWidth="1"/>
    <col min="9968" max="9968" width="14.5703125" style="80" bestFit="1" customWidth="1"/>
    <col min="9969" max="9969" width="15.85546875" style="80" bestFit="1" customWidth="1"/>
    <col min="9970" max="9970" width="17.42578125" style="80" bestFit="1" customWidth="1"/>
    <col min="9971" max="9971" width="27.5703125" style="80" bestFit="1" customWidth="1"/>
    <col min="9972" max="9972" width="9.140625" style="80"/>
    <col min="9973" max="9973" width="15.85546875" style="80" bestFit="1" customWidth="1"/>
    <col min="9974" max="9974" width="20.85546875" style="80" bestFit="1" customWidth="1"/>
    <col min="9975" max="9975" width="27.5703125" style="80" bestFit="1" customWidth="1"/>
    <col min="9976" max="9976" width="9.140625" style="80"/>
    <col min="9977" max="9977" width="16.7109375" style="80" bestFit="1" customWidth="1"/>
    <col min="9978" max="9978" width="21.42578125" style="80" bestFit="1" customWidth="1"/>
    <col min="9979" max="9979" width="22.28515625" style="80" bestFit="1" customWidth="1"/>
    <col min="9980" max="9981" width="9.140625" style="80"/>
    <col min="9982" max="9982" width="17.28515625" style="80" customWidth="1"/>
    <col min="9983" max="9983" width="21.42578125" style="80" bestFit="1" customWidth="1"/>
    <col min="9984" max="9984" width="22.28515625" style="80" bestFit="1" customWidth="1"/>
    <col min="9985" max="10148" width="9.140625" style="80"/>
    <col min="10149" max="10149" width="5.85546875" style="80" customWidth="1"/>
    <col min="10150" max="10150" width="6" style="80" customWidth="1"/>
    <col min="10151" max="10151" width="48" style="80" bestFit="1" customWidth="1"/>
    <col min="10152" max="10163" width="0" style="80" hidden="1" customWidth="1"/>
    <col min="10164" max="10164" width="21.28515625" style="80" bestFit="1" customWidth="1"/>
    <col min="10165" max="10176" width="16.7109375" style="80" customWidth="1"/>
    <col min="10177" max="10204" width="0" style="80" hidden="1" customWidth="1"/>
    <col min="10205" max="10205" width="13.5703125" style="80" customWidth="1"/>
    <col min="10206" max="10213" width="0" style="80" hidden="1" customWidth="1"/>
    <col min="10214" max="10214" width="12.28515625" style="80" bestFit="1" customWidth="1"/>
    <col min="10215" max="10215" width="9.140625" style="80"/>
    <col min="10216" max="10223" width="0" style="80" hidden="1" customWidth="1"/>
    <col min="10224" max="10224" width="14.5703125" style="80" bestFit="1" customWidth="1"/>
    <col min="10225" max="10225" width="15.85546875" style="80" bestFit="1" customWidth="1"/>
    <col min="10226" max="10226" width="17.42578125" style="80" bestFit="1" customWidth="1"/>
    <col min="10227" max="10227" width="27.5703125" style="80" bestFit="1" customWidth="1"/>
    <col min="10228" max="10228" width="9.140625" style="80"/>
    <col min="10229" max="10229" width="15.85546875" style="80" bestFit="1" customWidth="1"/>
    <col min="10230" max="10230" width="20.85546875" style="80" bestFit="1" customWidth="1"/>
    <col min="10231" max="10231" width="27.5703125" style="80" bestFit="1" customWidth="1"/>
    <col min="10232" max="10232" width="9.140625" style="80"/>
    <col min="10233" max="10233" width="16.7109375" style="80" bestFit="1" customWidth="1"/>
    <col min="10234" max="10234" width="21.42578125" style="80" bestFit="1" customWidth="1"/>
    <col min="10235" max="10235" width="22.28515625" style="80" bestFit="1" customWidth="1"/>
    <col min="10236" max="10237" width="9.140625" style="80"/>
    <col min="10238" max="10238" width="17.28515625" style="80" customWidth="1"/>
    <col min="10239" max="10239" width="21.42578125" style="80" bestFit="1" customWidth="1"/>
    <col min="10240" max="10240" width="22.28515625" style="80" bestFit="1" customWidth="1"/>
    <col min="10241" max="10404" width="9.140625" style="80"/>
    <col min="10405" max="10405" width="5.85546875" style="80" customWidth="1"/>
    <col min="10406" max="10406" width="6" style="80" customWidth="1"/>
    <col min="10407" max="10407" width="48" style="80" bestFit="1" customWidth="1"/>
    <col min="10408" max="10419" width="0" style="80" hidden="1" customWidth="1"/>
    <col min="10420" max="10420" width="21.28515625" style="80" bestFit="1" customWidth="1"/>
    <col min="10421" max="10432" width="16.7109375" style="80" customWidth="1"/>
    <col min="10433" max="10460" width="0" style="80" hidden="1" customWidth="1"/>
    <col min="10461" max="10461" width="13.5703125" style="80" customWidth="1"/>
    <col min="10462" max="10469" width="0" style="80" hidden="1" customWidth="1"/>
    <col min="10470" max="10470" width="12.28515625" style="80" bestFit="1" customWidth="1"/>
    <col min="10471" max="10471" width="9.140625" style="80"/>
    <col min="10472" max="10479" width="0" style="80" hidden="1" customWidth="1"/>
    <col min="10480" max="10480" width="14.5703125" style="80" bestFit="1" customWidth="1"/>
    <col min="10481" max="10481" width="15.85546875" style="80" bestFit="1" customWidth="1"/>
    <col min="10482" max="10482" width="17.42578125" style="80" bestFit="1" customWidth="1"/>
    <col min="10483" max="10483" width="27.5703125" style="80" bestFit="1" customWidth="1"/>
    <col min="10484" max="10484" width="9.140625" style="80"/>
    <col min="10485" max="10485" width="15.85546875" style="80" bestFit="1" customWidth="1"/>
    <col min="10486" max="10486" width="20.85546875" style="80" bestFit="1" customWidth="1"/>
    <col min="10487" max="10487" width="27.5703125" style="80" bestFit="1" customWidth="1"/>
    <col min="10488" max="10488" width="9.140625" style="80"/>
    <col min="10489" max="10489" width="16.7109375" style="80" bestFit="1" customWidth="1"/>
    <col min="10490" max="10490" width="21.42578125" style="80" bestFit="1" customWidth="1"/>
    <col min="10491" max="10491" width="22.28515625" style="80" bestFit="1" customWidth="1"/>
    <col min="10492" max="10493" width="9.140625" style="80"/>
    <col min="10494" max="10494" width="17.28515625" style="80" customWidth="1"/>
    <col min="10495" max="10495" width="21.42578125" style="80" bestFit="1" customWidth="1"/>
    <col min="10496" max="10496" width="22.28515625" style="80" bestFit="1" customWidth="1"/>
    <col min="10497" max="10660" width="9.140625" style="80"/>
    <col min="10661" max="10661" width="5.85546875" style="80" customWidth="1"/>
    <col min="10662" max="10662" width="6" style="80" customWidth="1"/>
    <col min="10663" max="10663" width="48" style="80" bestFit="1" customWidth="1"/>
    <col min="10664" max="10675" width="0" style="80" hidden="1" customWidth="1"/>
    <col min="10676" max="10676" width="21.28515625" style="80" bestFit="1" customWidth="1"/>
    <col min="10677" max="10688" width="16.7109375" style="80" customWidth="1"/>
    <col min="10689" max="10716" width="0" style="80" hidden="1" customWidth="1"/>
    <col min="10717" max="10717" width="13.5703125" style="80" customWidth="1"/>
    <col min="10718" max="10725" width="0" style="80" hidden="1" customWidth="1"/>
    <col min="10726" max="10726" width="12.28515625" style="80" bestFit="1" customWidth="1"/>
    <col min="10727" max="10727" width="9.140625" style="80"/>
    <col min="10728" max="10735" width="0" style="80" hidden="1" customWidth="1"/>
    <col min="10736" max="10736" width="14.5703125" style="80" bestFit="1" customWidth="1"/>
    <col min="10737" max="10737" width="15.85546875" style="80" bestFit="1" customWidth="1"/>
    <col min="10738" max="10738" width="17.42578125" style="80" bestFit="1" customWidth="1"/>
    <col min="10739" max="10739" width="27.5703125" style="80" bestFit="1" customWidth="1"/>
    <col min="10740" max="10740" width="9.140625" style="80"/>
    <col min="10741" max="10741" width="15.85546875" style="80" bestFit="1" customWidth="1"/>
    <col min="10742" max="10742" width="20.85546875" style="80" bestFit="1" customWidth="1"/>
    <col min="10743" max="10743" width="27.5703125" style="80" bestFit="1" customWidth="1"/>
    <col min="10744" max="10744" width="9.140625" style="80"/>
    <col min="10745" max="10745" width="16.7109375" style="80" bestFit="1" customWidth="1"/>
    <col min="10746" max="10746" width="21.42578125" style="80" bestFit="1" customWidth="1"/>
    <col min="10747" max="10747" width="22.28515625" style="80" bestFit="1" customWidth="1"/>
    <col min="10748" max="10749" width="9.140625" style="80"/>
    <col min="10750" max="10750" width="17.28515625" style="80" customWidth="1"/>
    <col min="10751" max="10751" width="21.42578125" style="80" bestFit="1" customWidth="1"/>
    <col min="10752" max="10752" width="22.28515625" style="80" bestFit="1" customWidth="1"/>
    <col min="10753" max="10916" width="9.140625" style="80"/>
    <col min="10917" max="10917" width="5.85546875" style="80" customWidth="1"/>
    <col min="10918" max="10918" width="6" style="80" customWidth="1"/>
    <col min="10919" max="10919" width="48" style="80" bestFit="1" customWidth="1"/>
    <col min="10920" max="10931" width="0" style="80" hidden="1" customWidth="1"/>
    <col min="10932" max="10932" width="21.28515625" style="80" bestFit="1" customWidth="1"/>
    <col min="10933" max="10944" width="16.7109375" style="80" customWidth="1"/>
    <col min="10945" max="10972" width="0" style="80" hidden="1" customWidth="1"/>
    <col min="10973" max="10973" width="13.5703125" style="80" customWidth="1"/>
    <col min="10974" max="10981" width="0" style="80" hidden="1" customWidth="1"/>
    <col min="10982" max="10982" width="12.28515625" style="80" bestFit="1" customWidth="1"/>
    <col min="10983" max="10983" width="9.140625" style="80"/>
    <col min="10984" max="10991" width="0" style="80" hidden="1" customWidth="1"/>
    <col min="10992" max="10992" width="14.5703125" style="80" bestFit="1" customWidth="1"/>
    <col min="10993" max="10993" width="15.85546875" style="80" bestFit="1" customWidth="1"/>
    <col min="10994" max="10994" width="17.42578125" style="80" bestFit="1" customWidth="1"/>
    <col min="10995" max="10995" width="27.5703125" style="80" bestFit="1" customWidth="1"/>
    <col min="10996" max="10996" width="9.140625" style="80"/>
    <col min="10997" max="10997" width="15.85546875" style="80" bestFit="1" customWidth="1"/>
    <col min="10998" max="10998" width="20.85546875" style="80" bestFit="1" customWidth="1"/>
    <col min="10999" max="10999" width="27.5703125" style="80" bestFit="1" customWidth="1"/>
    <col min="11000" max="11000" width="9.140625" style="80"/>
    <col min="11001" max="11001" width="16.7109375" style="80" bestFit="1" customWidth="1"/>
    <col min="11002" max="11002" width="21.42578125" style="80" bestFit="1" customWidth="1"/>
    <col min="11003" max="11003" width="22.28515625" style="80" bestFit="1" customWidth="1"/>
    <col min="11004" max="11005" width="9.140625" style="80"/>
    <col min="11006" max="11006" width="17.28515625" style="80" customWidth="1"/>
    <col min="11007" max="11007" width="21.42578125" style="80" bestFit="1" customWidth="1"/>
    <col min="11008" max="11008" width="22.28515625" style="80" bestFit="1" customWidth="1"/>
    <col min="11009" max="11172" width="9.140625" style="80"/>
    <col min="11173" max="11173" width="5.85546875" style="80" customWidth="1"/>
    <col min="11174" max="11174" width="6" style="80" customWidth="1"/>
    <col min="11175" max="11175" width="48" style="80" bestFit="1" customWidth="1"/>
    <col min="11176" max="11187" width="0" style="80" hidden="1" customWidth="1"/>
    <col min="11188" max="11188" width="21.28515625" style="80" bestFit="1" customWidth="1"/>
    <col min="11189" max="11200" width="16.7109375" style="80" customWidth="1"/>
    <col min="11201" max="11228" width="0" style="80" hidden="1" customWidth="1"/>
    <col min="11229" max="11229" width="13.5703125" style="80" customWidth="1"/>
    <col min="11230" max="11237" width="0" style="80" hidden="1" customWidth="1"/>
    <col min="11238" max="11238" width="12.28515625" style="80" bestFit="1" customWidth="1"/>
    <col min="11239" max="11239" width="9.140625" style="80"/>
    <col min="11240" max="11247" width="0" style="80" hidden="1" customWidth="1"/>
    <col min="11248" max="11248" width="14.5703125" style="80" bestFit="1" customWidth="1"/>
    <col min="11249" max="11249" width="15.85546875" style="80" bestFit="1" customWidth="1"/>
    <col min="11250" max="11250" width="17.42578125" style="80" bestFit="1" customWidth="1"/>
    <col min="11251" max="11251" width="27.5703125" style="80" bestFit="1" customWidth="1"/>
    <col min="11252" max="11252" width="9.140625" style="80"/>
    <col min="11253" max="11253" width="15.85546875" style="80" bestFit="1" customWidth="1"/>
    <col min="11254" max="11254" width="20.85546875" style="80" bestFit="1" customWidth="1"/>
    <col min="11255" max="11255" width="27.5703125" style="80" bestFit="1" customWidth="1"/>
    <col min="11256" max="11256" width="9.140625" style="80"/>
    <col min="11257" max="11257" width="16.7109375" style="80" bestFit="1" customWidth="1"/>
    <col min="11258" max="11258" width="21.42578125" style="80" bestFit="1" customWidth="1"/>
    <col min="11259" max="11259" width="22.28515625" style="80" bestFit="1" customWidth="1"/>
    <col min="11260" max="11261" width="9.140625" style="80"/>
    <col min="11262" max="11262" width="17.28515625" style="80" customWidth="1"/>
    <col min="11263" max="11263" width="21.42578125" style="80" bestFit="1" customWidth="1"/>
    <col min="11264" max="11264" width="22.28515625" style="80" bestFit="1" customWidth="1"/>
    <col min="11265" max="11428" width="9.140625" style="80"/>
    <col min="11429" max="11429" width="5.85546875" style="80" customWidth="1"/>
    <col min="11430" max="11430" width="6" style="80" customWidth="1"/>
    <col min="11431" max="11431" width="48" style="80" bestFit="1" customWidth="1"/>
    <col min="11432" max="11443" width="0" style="80" hidden="1" customWidth="1"/>
    <col min="11444" max="11444" width="21.28515625" style="80" bestFit="1" customWidth="1"/>
    <col min="11445" max="11456" width="16.7109375" style="80" customWidth="1"/>
    <col min="11457" max="11484" width="0" style="80" hidden="1" customWidth="1"/>
    <col min="11485" max="11485" width="13.5703125" style="80" customWidth="1"/>
    <col min="11486" max="11493" width="0" style="80" hidden="1" customWidth="1"/>
    <col min="11494" max="11494" width="12.28515625" style="80" bestFit="1" customWidth="1"/>
    <col min="11495" max="11495" width="9.140625" style="80"/>
    <col min="11496" max="11503" width="0" style="80" hidden="1" customWidth="1"/>
    <col min="11504" max="11504" width="14.5703125" style="80" bestFit="1" customWidth="1"/>
    <col min="11505" max="11505" width="15.85546875" style="80" bestFit="1" customWidth="1"/>
    <col min="11506" max="11506" width="17.42578125" style="80" bestFit="1" customWidth="1"/>
    <col min="11507" max="11507" width="27.5703125" style="80" bestFit="1" customWidth="1"/>
    <col min="11508" max="11508" width="9.140625" style="80"/>
    <col min="11509" max="11509" width="15.85546875" style="80" bestFit="1" customWidth="1"/>
    <col min="11510" max="11510" width="20.85546875" style="80" bestFit="1" customWidth="1"/>
    <col min="11511" max="11511" width="27.5703125" style="80" bestFit="1" customWidth="1"/>
    <col min="11512" max="11512" width="9.140625" style="80"/>
    <col min="11513" max="11513" width="16.7109375" style="80" bestFit="1" customWidth="1"/>
    <col min="11514" max="11514" width="21.42578125" style="80" bestFit="1" customWidth="1"/>
    <col min="11515" max="11515" width="22.28515625" style="80" bestFit="1" customWidth="1"/>
    <col min="11516" max="11517" width="9.140625" style="80"/>
    <col min="11518" max="11518" width="17.28515625" style="80" customWidth="1"/>
    <col min="11519" max="11519" width="21.42578125" style="80" bestFit="1" customWidth="1"/>
    <col min="11520" max="11520" width="22.28515625" style="80" bestFit="1" customWidth="1"/>
    <col min="11521" max="11684" width="9.140625" style="80"/>
    <col min="11685" max="11685" width="5.85546875" style="80" customWidth="1"/>
    <col min="11686" max="11686" width="6" style="80" customWidth="1"/>
    <col min="11687" max="11687" width="48" style="80" bestFit="1" customWidth="1"/>
    <col min="11688" max="11699" width="0" style="80" hidden="1" customWidth="1"/>
    <col min="11700" max="11700" width="21.28515625" style="80" bestFit="1" customWidth="1"/>
    <col min="11701" max="11712" width="16.7109375" style="80" customWidth="1"/>
    <col min="11713" max="11740" width="0" style="80" hidden="1" customWidth="1"/>
    <col min="11741" max="11741" width="13.5703125" style="80" customWidth="1"/>
    <col min="11742" max="11749" width="0" style="80" hidden="1" customWidth="1"/>
    <col min="11750" max="11750" width="12.28515625" style="80" bestFit="1" customWidth="1"/>
    <col min="11751" max="11751" width="9.140625" style="80"/>
    <col min="11752" max="11759" width="0" style="80" hidden="1" customWidth="1"/>
    <col min="11760" max="11760" width="14.5703125" style="80" bestFit="1" customWidth="1"/>
    <col min="11761" max="11761" width="15.85546875" style="80" bestFit="1" customWidth="1"/>
    <col min="11762" max="11762" width="17.42578125" style="80" bestFit="1" customWidth="1"/>
    <col min="11763" max="11763" width="27.5703125" style="80" bestFit="1" customWidth="1"/>
    <col min="11764" max="11764" width="9.140625" style="80"/>
    <col min="11765" max="11765" width="15.85546875" style="80" bestFit="1" customWidth="1"/>
    <col min="11766" max="11766" width="20.85546875" style="80" bestFit="1" customWidth="1"/>
    <col min="11767" max="11767" width="27.5703125" style="80" bestFit="1" customWidth="1"/>
    <col min="11768" max="11768" width="9.140625" style="80"/>
    <col min="11769" max="11769" width="16.7109375" style="80" bestFit="1" customWidth="1"/>
    <col min="11770" max="11770" width="21.42578125" style="80" bestFit="1" customWidth="1"/>
    <col min="11771" max="11771" width="22.28515625" style="80" bestFit="1" customWidth="1"/>
    <col min="11772" max="11773" width="9.140625" style="80"/>
    <col min="11774" max="11774" width="17.28515625" style="80" customWidth="1"/>
    <col min="11775" max="11775" width="21.42578125" style="80" bestFit="1" customWidth="1"/>
    <col min="11776" max="11776" width="22.28515625" style="80" bestFit="1" customWidth="1"/>
    <col min="11777" max="11940" width="9.140625" style="80"/>
    <col min="11941" max="11941" width="5.85546875" style="80" customWidth="1"/>
    <col min="11942" max="11942" width="6" style="80" customWidth="1"/>
    <col min="11943" max="11943" width="48" style="80" bestFit="1" customWidth="1"/>
    <col min="11944" max="11955" width="0" style="80" hidden="1" customWidth="1"/>
    <col min="11956" max="11956" width="21.28515625" style="80" bestFit="1" customWidth="1"/>
    <col min="11957" max="11968" width="16.7109375" style="80" customWidth="1"/>
    <col min="11969" max="11996" width="0" style="80" hidden="1" customWidth="1"/>
    <col min="11997" max="11997" width="13.5703125" style="80" customWidth="1"/>
    <col min="11998" max="12005" width="0" style="80" hidden="1" customWidth="1"/>
    <col min="12006" max="12006" width="12.28515625" style="80" bestFit="1" customWidth="1"/>
    <col min="12007" max="12007" width="9.140625" style="80"/>
    <col min="12008" max="12015" width="0" style="80" hidden="1" customWidth="1"/>
    <col min="12016" max="12016" width="14.5703125" style="80" bestFit="1" customWidth="1"/>
    <col min="12017" max="12017" width="15.85546875" style="80" bestFit="1" customWidth="1"/>
    <col min="12018" max="12018" width="17.42578125" style="80" bestFit="1" customWidth="1"/>
    <col min="12019" max="12019" width="27.5703125" style="80" bestFit="1" customWidth="1"/>
    <col min="12020" max="12020" width="9.140625" style="80"/>
    <col min="12021" max="12021" width="15.85546875" style="80" bestFit="1" customWidth="1"/>
    <col min="12022" max="12022" width="20.85546875" style="80" bestFit="1" customWidth="1"/>
    <col min="12023" max="12023" width="27.5703125" style="80" bestFit="1" customWidth="1"/>
    <col min="12024" max="12024" width="9.140625" style="80"/>
    <col min="12025" max="12025" width="16.7109375" style="80" bestFit="1" customWidth="1"/>
    <col min="12026" max="12026" width="21.42578125" style="80" bestFit="1" customWidth="1"/>
    <col min="12027" max="12027" width="22.28515625" style="80" bestFit="1" customWidth="1"/>
    <col min="12028" max="12029" width="9.140625" style="80"/>
    <col min="12030" max="12030" width="17.28515625" style="80" customWidth="1"/>
    <col min="12031" max="12031" width="21.42578125" style="80" bestFit="1" customWidth="1"/>
    <col min="12032" max="12032" width="22.28515625" style="80" bestFit="1" customWidth="1"/>
    <col min="12033" max="12196" width="9.140625" style="80"/>
    <col min="12197" max="12197" width="5.85546875" style="80" customWidth="1"/>
    <col min="12198" max="12198" width="6" style="80" customWidth="1"/>
    <col min="12199" max="12199" width="48" style="80" bestFit="1" customWidth="1"/>
    <col min="12200" max="12211" width="0" style="80" hidden="1" customWidth="1"/>
    <col min="12212" max="12212" width="21.28515625" style="80" bestFit="1" customWidth="1"/>
    <col min="12213" max="12224" width="16.7109375" style="80" customWidth="1"/>
    <col min="12225" max="12252" width="0" style="80" hidden="1" customWidth="1"/>
    <col min="12253" max="12253" width="13.5703125" style="80" customWidth="1"/>
    <col min="12254" max="12261" width="0" style="80" hidden="1" customWidth="1"/>
    <col min="12262" max="12262" width="12.28515625" style="80" bestFit="1" customWidth="1"/>
    <col min="12263" max="12263" width="9.140625" style="80"/>
    <col min="12264" max="12271" width="0" style="80" hidden="1" customWidth="1"/>
    <col min="12272" max="12272" width="14.5703125" style="80" bestFit="1" customWidth="1"/>
    <col min="12273" max="12273" width="15.85546875" style="80" bestFit="1" customWidth="1"/>
    <col min="12274" max="12274" width="17.42578125" style="80" bestFit="1" customWidth="1"/>
    <col min="12275" max="12275" width="27.5703125" style="80" bestFit="1" customWidth="1"/>
    <col min="12276" max="12276" width="9.140625" style="80"/>
    <col min="12277" max="12277" width="15.85546875" style="80" bestFit="1" customWidth="1"/>
    <col min="12278" max="12278" width="20.85546875" style="80" bestFit="1" customWidth="1"/>
    <col min="12279" max="12279" width="27.5703125" style="80" bestFit="1" customWidth="1"/>
    <col min="12280" max="12280" width="9.140625" style="80"/>
    <col min="12281" max="12281" width="16.7109375" style="80" bestFit="1" customWidth="1"/>
    <col min="12282" max="12282" width="21.42578125" style="80" bestFit="1" customWidth="1"/>
    <col min="12283" max="12283" width="22.28515625" style="80" bestFit="1" customWidth="1"/>
    <col min="12284" max="12285" width="9.140625" style="80"/>
    <col min="12286" max="12286" width="17.28515625" style="80" customWidth="1"/>
    <col min="12287" max="12287" width="21.42578125" style="80" bestFit="1" customWidth="1"/>
    <col min="12288" max="12288" width="22.28515625" style="80" bestFit="1" customWidth="1"/>
    <col min="12289" max="12452" width="9.140625" style="80"/>
    <col min="12453" max="12453" width="5.85546875" style="80" customWidth="1"/>
    <col min="12454" max="12454" width="6" style="80" customWidth="1"/>
    <col min="12455" max="12455" width="48" style="80" bestFit="1" customWidth="1"/>
    <col min="12456" max="12467" width="0" style="80" hidden="1" customWidth="1"/>
    <col min="12468" max="12468" width="21.28515625" style="80" bestFit="1" customWidth="1"/>
    <col min="12469" max="12480" width="16.7109375" style="80" customWidth="1"/>
    <col min="12481" max="12508" width="0" style="80" hidden="1" customWidth="1"/>
    <col min="12509" max="12509" width="13.5703125" style="80" customWidth="1"/>
    <col min="12510" max="12517" width="0" style="80" hidden="1" customWidth="1"/>
    <col min="12518" max="12518" width="12.28515625" style="80" bestFit="1" customWidth="1"/>
    <col min="12519" max="12519" width="9.140625" style="80"/>
    <col min="12520" max="12527" width="0" style="80" hidden="1" customWidth="1"/>
    <col min="12528" max="12528" width="14.5703125" style="80" bestFit="1" customWidth="1"/>
    <col min="12529" max="12529" width="15.85546875" style="80" bestFit="1" customWidth="1"/>
    <col min="12530" max="12530" width="17.42578125" style="80" bestFit="1" customWidth="1"/>
    <col min="12531" max="12531" width="27.5703125" style="80" bestFit="1" customWidth="1"/>
    <col min="12532" max="12532" width="9.140625" style="80"/>
    <col min="12533" max="12533" width="15.85546875" style="80" bestFit="1" customWidth="1"/>
    <col min="12534" max="12534" width="20.85546875" style="80" bestFit="1" customWidth="1"/>
    <col min="12535" max="12535" width="27.5703125" style="80" bestFit="1" customWidth="1"/>
    <col min="12536" max="12536" width="9.140625" style="80"/>
    <col min="12537" max="12537" width="16.7109375" style="80" bestFit="1" customWidth="1"/>
    <col min="12538" max="12538" width="21.42578125" style="80" bestFit="1" customWidth="1"/>
    <col min="12539" max="12539" width="22.28515625" style="80" bestFit="1" customWidth="1"/>
    <col min="12540" max="12541" width="9.140625" style="80"/>
    <col min="12542" max="12542" width="17.28515625" style="80" customWidth="1"/>
    <col min="12543" max="12543" width="21.42578125" style="80" bestFit="1" customWidth="1"/>
    <col min="12544" max="12544" width="22.28515625" style="80" bestFit="1" customWidth="1"/>
    <col min="12545" max="12708" width="9.140625" style="80"/>
    <col min="12709" max="12709" width="5.85546875" style="80" customWidth="1"/>
    <col min="12710" max="12710" width="6" style="80" customWidth="1"/>
    <col min="12711" max="12711" width="48" style="80" bestFit="1" customWidth="1"/>
    <col min="12712" max="12723" width="0" style="80" hidden="1" customWidth="1"/>
    <col min="12724" max="12724" width="21.28515625" style="80" bestFit="1" customWidth="1"/>
    <col min="12725" max="12736" width="16.7109375" style="80" customWidth="1"/>
    <col min="12737" max="12764" width="0" style="80" hidden="1" customWidth="1"/>
    <col min="12765" max="12765" width="13.5703125" style="80" customWidth="1"/>
    <col min="12766" max="12773" width="0" style="80" hidden="1" customWidth="1"/>
    <col min="12774" max="12774" width="12.28515625" style="80" bestFit="1" customWidth="1"/>
    <col min="12775" max="12775" width="9.140625" style="80"/>
    <col min="12776" max="12783" width="0" style="80" hidden="1" customWidth="1"/>
    <col min="12784" max="12784" width="14.5703125" style="80" bestFit="1" customWidth="1"/>
    <col min="12785" max="12785" width="15.85546875" style="80" bestFit="1" customWidth="1"/>
    <col min="12786" max="12786" width="17.42578125" style="80" bestFit="1" customWidth="1"/>
    <col min="12787" max="12787" width="27.5703125" style="80" bestFit="1" customWidth="1"/>
    <col min="12788" max="12788" width="9.140625" style="80"/>
    <col min="12789" max="12789" width="15.85546875" style="80" bestFit="1" customWidth="1"/>
    <col min="12790" max="12790" width="20.85546875" style="80" bestFit="1" customWidth="1"/>
    <col min="12791" max="12791" width="27.5703125" style="80" bestFit="1" customWidth="1"/>
    <col min="12792" max="12792" width="9.140625" style="80"/>
    <col min="12793" max="12793" width="16.7109375" style="80" bestFit="1" customWidth="1"/>
    <col min="12794" max="12794" width="21.42578125" style="80" bestFit="1" customWidth="1"/>
    <col min="12795" max="12795" width="22.28515625" style="80" bestFit="1" customWidth="1"/>
    <col min="12796" max="12797" width="9.140625" style="80"/>
    <col min="12798" max="12798" width="17.28515625" style="80" customWidth="1"/>
    <col min="12799" max="12799" width="21.42578125" style="80" bestFit="1" customWidth="1"/>
    <col min="12800" max="12800" width="22.28515625" style="80" bestFit="1" customWidth="1"/>
    <col min="12801" max="12964" width="9.140625" style="80"/>
    <col min="12965" max="12965" width="5.85546875" style="80" customWidth="1"/>
    <col min="12966" max="12966" width="6" style="80" customWidth="1"/>
    <col min="12967" max="12967" width="48" style="80" bestFit="1" customWidth="1"/>
    <col min="12968" max="12979" width="0" style="80" hidden="1" customWidth="1"/>
    <col min="12980" max="12980" width="21.28515625" style="80" bestFit="1" customWidth="1"/>
    <col min="12981" max="12992" width="16.7109375" style="80" customWidth="1"/>
    <col min="12993" max="13020" width="0" style="80" hidden="1" customWidth="1"/>
    <col min="13021" max="13021" width="13.5703125" style="80" customWidth="1"/>
    <col min="13022" max="13029" width="0" style="80" hidden="1" customWidth="1"/>
    <col min="13030" max="13030" width="12.28515625" style="80" bestFit="1" customWidth="1"/>
    <col min="13031" max="13031" width="9.140625" style="80"/>
    <col min="13032" max="13039" width="0" style="80" hidden="1" customWidth="1"/>
    <col min="13040" max="13040" width="14.5703125" style="80" bestFit="1" customWidth="1"/>
    <col min="13041" max="13041" width="15.85546875" style="80" bestFit="1" customWidth="1"/>
    <col min="13042" max="13042" width="17.42578125" style="80" bestFit="1" customWidth="1"/>
    <col min="13043" max="13043" width="27.5703125" style="80" bestFit="1" customWidth="1"/>
    <col min="13044" max="13044" width="9.140625" style="80"/>
    <col min="13045" max="13045" width="15.85546875" style="80" bestFit="1" customWidth="1"/>
    <col min="13046" max="13046" width="20.85546875" style="80" bestFit="1" customWidth="1"/>
    <col min="13047" max="13047" width="27.5703125" style="80" bestFit="1" customWidth="1"/>
    <col min="13048" max="13048" width="9.140625" style="80"/>
    <col min="13049" max="13049" width="16.7109375" style="80" bestFit="1" customWidth="1"/>
    <col min="13050" max="13050" width="21.42578125" style="80" bestFit="1" customWidth="1"/>
    <col min="13051" max="13051" width="22.28515625" style="80" bestFit="1" customWidth="1"/>
    <col min="13052" max="13053" width="9.140625" style="80"/>
    <col min="13054" max="13054" width="17.28515625" style="80" customWidth="1"/>
    <col min="13055" max="13055" width="21.42578125" style="80" bestFit="1" customWidth="1"/>
    <col min="13056" max="13056" width="22.28515625" style="80" bestFit="1" customWidth="1"/>
    <col min="13057" max="13220" width="9.140625" style="80"/>
    <col min="13221" max="13221" width="5.85546875" style="80" customWidth="1"/>
    <col min="13222" max="13222" width="6" style="80" customWidth="1"/>
    <col min="13223" max="13223" width="48" style="80" bestFit="1" customWidth="1"/>
    <col min="13224" max="13235" width="0" style="80" hidden="1" customWidth="1"/>
    <col min="13236" max="13236" width="21.28515625" style="80" bestFit="1" customWidth="1"/>
    <col min="13237" max="13248" width="16.7109375" style="80" customWidth="1"/>
    <col min="13249" max="13276" width="0" style="80" hidden="1" customWidth="1"/>
    <col min="13277" max="13277" width="13.5703125" style="80" customWidth="1"/>
    <col min="13278" max="13285" width="0" style="80" hidden="1" customWidth="1"/>
    <col min="13286" max="13286" width="12.28515625" style="80" bestFit="1" customWidth="1"/>
    <col min="13287" max="13287" width="9.140625" style="80"/>
    <col min="13288" max="13295" width="0" style="80" hidden="1" customWidth="1"/>
    <col min="13296" max="13296" width="14.5703125" style="80" bestFit="1" customWidth="1"/>
    <col min="13297" max="13297" width="15.85546875" style="80" bestFit="1" customWidth="1"/>
    <col min="13298" max="13298" width="17.42578125" style="80" bestFit="1" customWidth="1"/>
    <col min="13299" max="13299" width="27.5703125" style="80" bestFit="1" customWidth="1"/>
    <col min="13300" max="13300" width="9.140625" style="80"/>
    <col min="13301" max="13301" width="15.85546875" style="80" bestFit="1" customWidth="1"/>
    <col min="13302" max="13302" width="20.85546875" style="80" bestFit="1" customWidth="1"/>
    <col min="13303" max="13303" width="27.5703125" style="80" bestFit="1" customWidth="1"/>
    <col min="13304" max="13304" width="9.140625" style="80"/>
    <col min="13305" max="13305" width="16.7109375" style="80" bestFit="1" customWidth="1"/>
    <col min="13306" max="13306" width="21.42578125" style="80" bestFit="1" customWidth="1"/>
    <col min="13307" max="13307" width="22.28515625" style="80" bestFit="1" customWidth="1"/>
    <col min="13308" max="13309" width="9.140625" style="80"/>
    <col min="13310" max="13310" width="17.28515625" style="80" customWidth="1"/>
    <col min="13311" max="13311" width="21.42578125" style="80" bestFit="1" customWidth="1"/>
    <col min="13312" max="13312" width="22.28515625" style="80" bestFit="1" customWidth="1"/>
    <col min="13313" max="13476" width="9.140625" style="80"/>
    <col min="13477" max="13477" width="5.85546875" style="80" customWidth="1"/>
    <col min="13478" max="13478" width="6" style="80" customWidth="1"/>
    <col min="13479" max="13479" width="48" style="80" bestFit="1" customWidth="1"/>
    <col min="13480" max="13491" width="0" style="80" hidden="1" customWidth="1"/>
    <col min="13492" max="13492" width="21.28515625" style="80" bestFit="1" customWidth="1"/>
    <col min="13493" max="13504" width="16.7109375" style="80" customWidth="1"/>
    <col min="13505" max="13532" width="0" style="80" hidden="1" customWidth="1"/>
    <col min="13533" max="13533" width="13.5703125" style="80" customWidth="1"/>
    <col min="13534" max="13541" width="0" style="80" hidden="1" customWidth="1"/>
    <col min="13542" max="13542" width="12.28515625" style="80" bestFit="1" customWidth="1"/>
    <col min="13543" max="13543" width="9.140625" style="80"/>
    <col min="13544" max="13551" width="0" style="80" hidden="1" customWidth="1"/>
    <col min="13552" max="13552" width="14.5703125" style="80" bestFit="1" customWidth="1"/>
    <col min="13553" max="13553" width="15.85546875" style="80" bestFit="1" customWidth="1"/>
    <col min="13554" max="13554" width="17.42578125" style="80" bestFit="1" customWidth="1"/>
    <col min="13555" max="13555" width="27.5703125" style="80" bestFit="1" customWidth="1"/>
    <col min="13556" max="13556" width="9.140625" style="80"/>
    <col min="13557" max="13557" width="15.85546875" style="80" bestFit="1" customWidth="1"/>
    <col min="13558" max="13558" width="20.85546875" style="80" bestFit="1" customWidth="1"/>
    <col min="13559" max="13559" width="27.5703125" style="80" bestFit="1" customWidth="1"/>
    <col min="13560" max="13560" width="9.140625" style="80"/>
    <col min="13561" max="13561" width="16.7109375" style="80" bestFit="1" customWidth="1"/>
    <col min="13562" max="13562" width="21.42578125" style="80" bestFit="1" customWidth="1"/>
    <col min="13563" max="13563" width="22.28515625" style="80" bestFit="1" customWidth="1"/>
    <col min="13564" max="13565" width="9.140625" style="80"/>
    <col min="13566" max="13566" width="17.28515625" style="80" customWidth="1"/>
    <col min="13567" max="13567" width="21.42578125" style="80" bestFit="1" customWidth="1"/>
    <col min="13568" max="13568" width="22.28515625" style="80" bestFit="1" customWidth="1"/>
    <col min="13569" max="13732" width="9.140625" style="80"/>
    <col min="13733" max="13733" width="5.85546875" style="80" customWidth="1"/>
    <col min="13734" max="13734" width="6" style="80" customWidth="1"/>
    <col min="13735" max="13735" width="48" style="80" bestFit="1" customWidth="1"/>
    <col min="13736" max="13747" width="0" style="80" hidden="1" customWidth="1"/>
    <col min="13748" max="13748" width="21.28515625" style="80" bestFit="1" customWidth="1"/>
    <col min="13749" max="13760" width="16.7109375" style="80" customWidth="1"/>
    <col min="13761" max="13788" width="0" style="80" hidden="1" customWidth="1"/>
    <col min="13789" max="13789" width="13.5703125" style="80" customWidth="1"/>
    <col min="13790" max="13797" width="0" style="80" hidden="1" customWidth="1"/>
    <col min="13798" max="13798" width="12.28515625" style="80" bestFit="1" customWidth="1"/>
    <col min="13799" max="13799" width="9.140625" style="80"/>
    <col min="13800" max="13807" width="0" style="80" hidden="1" customWidth="1"/>
    <col min="13808" max="13808" width="14.5703125" style="80" bestFit="1" customWidth="1"/>
    <col min="13809" max="13809" width="15.85546875" style="80" bestFit="1" customWidth="1"/>
    <col min="13810" max="13810" width="17.42578125" style="80" bestFit="1" customWidth="1"/>
    <col min="13811" max="13811" width="27.5703125" style="80" bestFit="1" customWidth="1"/>
    <col min="13812" max="13812" width="9.140625" style="80"/>
    <col min="13813" max="13813" width="15.85546875" style="80" bestFit="1" customWidth="1"/>
    <col min="13814" max="13814" width="20.85546875" style="80" bestFit="1" customWidth="1"/>
    <col min="13815" max="13815" width="27.5703125" style="80" bestFit="1" customWidth="1"/>
    <col min="13816" max="13816" width="9.140625" style="80"/>
    <col min="13817" max="13817" width="16.7109375" style="80" bestFit="1" customWidth="1"/>
    <col min="13818" max="13818" width="21.42578125" style="80" bestFit="1" customWidth="1"/>
    <col min="13819" max="13819" width="22.28515625" style="80" bestFit="1" customWidth="1"/>
    <col min="13820" max="13821" width="9.140625" style="80"/>
    <col min="13822" max="13822" width="17.28515625" style="80" customWidth="1"/>
    <col min="13823" max="13823" width="21.42578125" style="80" bestFit="1" customWidth="1"/>
    <col min="13824" max="13824" width="22.28515625" style="80" bestFit="1" customWidth="1"/>
    <col min="13825" max="13988" width="9.140625" style="80"/>
    <col min="13989" max="13989" width="5.85546875" style="80" customWidth="1"/>
    <col min="13990" max="13990" width="6" style="80" customWidth="1"/>
    <col min="13991" max="13991" width="48" style="80" bestFit="1" customWidth="1"/>
    <col min="13992" max="14003" width="0" style="80" hidden="1" customWidth="1"/>
    <col min="14004" max="14004" width="21.28515625" style="80" bestFit="1" customWidth="1"/>
    <col min="14005" max="14016" width="16.7109375" style="80" customWidth="1"/>
    <col min="14017" max="14044" width="0" style="80" hidden="1" customWidth="1"/>
    <col min="14045" max="14045" width="13.5703125" style="80" customWidth="1"/>
    <col min="14046" max="14053" width="0" style="80" hidden="1" customWidth="1"/>
    <col min="14054" max="14054" width="12.28515625" style="80" bestFit="1" customWidth="1"/>
    <col min="14055" max="14055" width="9.140625" style="80"/>
    <col min="14056" max="14063" width="0" style="80" hidden="1" customWidth="1"/>
    <col min="14064" max="14064" width="14.5703125" style="80" bestFit="1" customWidth="1"/>
    <col min="14065" max="14065" width="15.85546875" style="80" bestFit="1" customWidth="1"/>
    <col min="14066" max="14066" width="17.42578125" style="80" bestFit="1" customWidth="1"/>
    <col min="14067" max="14067" width="27.5703125" style="80" bestFit="1" customWidth="1"/>
    <col min="14068" max="14068" width="9.140625" style="80"/>
    <col min="14069" max="14069" width="15.85546875" style="80" bestFit="1" customWidth="1"/>
    <col min="14070" max="14070" width="20.85546875" style="80" bestFit="1" customWidth="1"/>
    <col min="14071" max="14071" width="27.5703125" style="80" bestFit="1" customWidth="1"/>
    <col min="14072" max="14072" width="9.140625" style="80"/>
    <col min="14073" max="14073" width="16.7109375" style="80" bestFit="1" customWidth="1"/>
    <col min="14074" max="14074" width="21.42578125" style="80" bestFit="1" customWidth="1"/>
    <col min="14075" max="14075" width="22.28515625" style="80" bestFit="1" customWidth="1"/>
    <col min="14076" max="14077" width="9.140625" style="80"/>
    <col min="14078" max="14078" width="17.28515625" style="80" customWidth="1"/>
    <col min="14079" max="14079" width="21.42578125" style="80" bestFit="1" customWidth="1"/>
    <col min="14080" max="14080" width="22.28515625" style="80" bestFit="1" customWidth="1"/>
    <col min="14081" max="14244" width="9.140625" style="80"/>
    <col min="14245" max="14245" width="5.85546875" style="80" customWidth="1"/>
    <col min="14246" max="14246" width="6" style="80" customWidth="1"/>
    <col min="14247" max="14247" width="48" style="80" bestFit="1" customWidth="1"/>
    <col min="14248" max="14259" width="0" style="80" hidden="1" customWidth="1"/>
    <col min="14260" max="14260" width="21.28515625" style="80" bestFit="1" customWidth="1"/>
    <col min="14261" max="14272" width="16.7109375" style="80" customWidth="1"/>
    <col min="14273" max="14300" width="0" style="80" hidden="1" customWidth="1"/>
    <col min="14301" max="14301" width="13.5703125" style="80" customWidth="1"/>
    <col min="14302" max="14309" width="0" style="80" hidden="1" customWidth="1"/>
    <col min="14310" max="14310" width="12.28515625" style="80" bestFit="1" customWidth="1"/>
    <col min="14311" max="14311" width="9.140625" style="80"/>
    <col min="14312" max="14319" width="0" style="80" hidden="1" customWidth="1"/>
    <col min="14320" max="14320" width="14.5703125" style="80" bestFit="1" customWidth="1"/>
    <col min="14321" max="14321" width="15.85546875" style="80" bestFit="1" customWidth="1"/>
    <col min="14322" max="14322" width="17.42578125" style="80" bestFit="1" customWidth="1"/>
    <col min="14323" max="14323" width="27.5703125" style="80" bestFit="1" customWidth="1"/>
    <col min="14324" max="14324" width="9.140625" style="80"/>
    <col min="14325" max="14325" width="15.85546875" style="80" bestFit="1" customWidth="1"/>
    <col min="14326" max="14326" width="20.85546875" style="80" bestFit="1" customWidth="1"/>
    <col min="14327" max="14327" width="27.5703125" style="80" bestFit="1" customWidth="1"/>
    <col min="14328" max="14328" width="9.140625" style="80"/>
    <col min="14329" max="14329" width="16.7109375" style="80" bestFit="1" customWidth="1"/>
    <col min="14330" max="14330" width="21.42578125" style="80" bestFit="1" customWidth="1"/>
    <col min="14331" max="14331" width="22.28515625" style="80" bestFit="1" customWidth="1"/>
    <col min="14332" max="14333" width="9.140625" style="80"/>
    <col min="14334" max="14334" width="17.28515625" style="80" customWidth="1"/>
    <col min="14335" max="14335" width="21.42578125" style="80" bestFit="1" customWidth="1"/>
    <col min="14336" max="14336" width="22.28515625" style="80" bestFit="1" customWidth="1"/>
    <col min="14337" max="14500" width="9.140625" style="80"/>
    <col min="14501" max="14501" width="5.85546875" style="80" customWidth="1"/>
    <col min="14502" max="14502" width="6" style="80" customWidth="1"/>
    <col min="14503" max="14503" width="48" style="80" bestFit="1" customWidth="1"/>
    <col min="14504" max="14515" width="0" style="80" hidden="1" customWidth="1"/>
    <col min="14516" max="14516" width="21.28515625" style="80" bestFit="1" customWidth="1"/>
    <col min="14517" max="14528" width="16.7109375" style="80" customWidth="1"/>
    <col min="14529" max="14556" width="0" style="80" hidden="1" customWidth="1"/>
    <col min="14557" max="14557" width="13.5703125" style="80" customWidth="1"/>
    <col min="14558" max="14565" width="0" style="80" hidden="1" customWidth="1"/>
    <col min="14566" max="14566" width="12.28515625" style="80" bestFit="1" customWidth="1"/>
    <col min="14567" max="14567" width="9.140625" style="80"/>
    <col min="14568" max="14575" width="0" style="80" hidden="1" customWidth="1"/>
    <col min="14576" max="14576" width="14.5703125" style="80" bestFit="1" customWidth="1"/>
    <col min="14577" max="14577" width="15.85546875" style="80" bestFit="1" customWidth="1"/>
    <col min="14578" max="14578" width="17.42578125" style="80" bestFit="1" customWidth="1"/>
    <col min="14579" max="14579" width="27.5703125" style="80" bestFit="1" customWidth="1"/>
    <col min="14580" max="14580" width="9.140625" style="80"/>
    <col min="14581" max="14581" width="15.85546875" style="80" bestFit="1" customWidth="1"/>
    <col min="14582" max="14582" width="20.85546875" style="80" bestFit="1" customWidth="1"/>
    <col min="14583" max="14583" width="27.5703125" style="80" bestFit="1" customWidth="1"/>
    <col min="14584" max="14584" width="9.140625" style="80"/>
    <col min="14585" max="14585" width="16.7109375" style="80" bestFit="1" customWidth="1"/>
    <col min="14586" max="14586" width="21.42578125" style="80" bestFit="1" customWidth="1"/>
    <col min="14587" max="14587" width="22.28515625" style="80" bestFit="1" customWidth="1"/>
    <col min="14588" max="14589" width="9.140625" style="80"/>
    <col min="14590" max="14590" width="17.28515625" style="80" customWidth="1"/>
    <col min="14591" max="14591" width="21.42578125" style="80" bestFit="1" customWidth="1"/>
    <col min="14592" max="14592" width="22.28515625" style="80" bestFit="1" customWidth="1"/>
    <col min="14593" max="14756" width="9.140625" style="80"/>
    <col min="14757" max="14757" width="5.85546875" style="80" customWidth="1"/>
    <col min="14758" max="14758" width="6" style="80" customWidth="1"/>
    <col min="14759" max="14759" width="48" style="80" bestFit="1" customWidth="1"/>
    <col min="14760" max="14771" width="0" style="80" hidden="1" customWidth="1"/>
    <col min="14772" max="14772" width="21.28515625" style="80" bestFit="1" customWidth="1"/>
    <col min="14773" max="14784" width="16.7109375" style="80" customWidth="1"/>
    <col min="14785" max="14812" width="0" style="80" hidden="1" customWidth="1"/>
    <col min="14813" max="14813" width="13.5703125" style="80" customWidth="1"/>
    <col min="14814" max="14821" width="0" style="80" hidden="1" customWidth="1"/>
    <col min="14822" max="14822" width="12.28515625" style="80" bestFit="1" customWidth="1"/>
    <col min="14823" max="14823" width="9.140625" style="80"/>
    <col min="14824" max="14831" width="0" style="80" hidden="1" customWidth="1"/>
    <col min="14832" max="14832" width="14.5703125" style="80" bestFit="1" customWidth="1"/>
    <col min="14833" max="14833" width="15.85546875" style="80" bestFit="1" customWidth="1"/>
    <col min="14834" max="14834" width="17.42578125" style="80" bestFit="1" customWidth="1"/>
    <col min="14835" max="14835" width="27.5703125" style="80" bestFit="1" customWidth="1"/>
    <col min="14836" max="14836" width="9.140625" style="80"/>
    <col min="14837" max="14837" width="15.85546875" style="80" bestFit="1" customWidth="1"/>
    <col min="14838" max="14838" width="20.85546875" style="80" bestFit="1" customWidth="1"/>
    <col min="14839" max="14839" width="27.5703125" style="80" bestFit="1" customWidth="1"/>
    <col min="14840" max="14840" width="9.140625" style="80"/>
    <col min="14841" max="14841" width="16.7109375" style="80" bestFit="1" customWidth="1"/>
    <col min="14842" max="14842" width="21.42578125" style="80" bestFit="1" customWidth="1"/>
    <col min="14843" max="14843" width="22.28515625" style="80" bestFit="1" customWidth="1"/>
    <col min="14844" max="14845" width="9.140625" style="80"/>
    <col min="14846" max="14846" width="17.28515625" style="80" customWidth="1"/>
    <col min="14847" max="14847" width="21.42578125" style="80" bestFit="1" customWidth="1"/>
    <col min="14848" max="14848" width="22.28515625" style="80" bestFit="1" customWidth="1"/>
    <col min="14849" max="15012" width="9.140625" style="80"/>
    <col min="15013" max="15013" width="5.85546875" style="80" customWidth="1"/>
    <col min="15014" max="15014" width="6" style="80" customWidth="1"/>
    <col min="15015" max="15015" width="48" style="80" bestFit="1" customWidth="1"/>
    <col min="15016" max="15027" width="0" style="80" hidden="1" customWidth="1"/>
    <col min="15028" max="15028" width="21.28515625" style="80" bestFit="1" customWidth="1"/>
    <col min="15029" max="15040" width="16.7109375" style="80" customWidth="1"/>
    <col min="15041" max="15068" width="0" style="80" hidden="1" customWidth="1"/>
    <col min="15069" max="15069" width="13.5703125" style="80" customWidth="1"/>
    <col min="15070" max="15077" width="0" style="80" hidden="1" customWidth="1"/>
    <col min="15078" max="15078" width="12.28515625" style="80" bestFit="1" customWidth="1"/>
    <col min="15079" max="15079" width="9.140625" style="80"/>
    <col min="15080" max="15087" width="0" style="80" hidden="1" customWidth="1"/>
    <col min="15088" max="15088" width="14.5703125" style="80" bestFit="1" customWidth="1"/>
    <col min="15089" max="15089" width="15.85546875" style="80" bestFit="1" customWidth="1"/>
    <col min="15090" max="15090" width="17.42578125" style="80" bestFit="1" customWidth="1"/>
    <col min="15091" max="15091" width="27.5703125" style="80" bestFit="1" customWidth="1"/>
    <col min="15092" max="15092" width="9.140625" style="80"/>
    <col min="15093" max="15093" width="15.85546875" style="80" bestFit="1" customWidth="1"/>
    <col min="15094" max="15094" width="20.85546875" style="80" bestFit="1" customWidth="1"/>
    <col min="15095" max="15095" width="27.5703125" style="80" bestFit="1" customWidth="1"/>
    <col min="15096" max="15096" width="9.140625" style="80"/>
    <col min="15097" max="15097" width="16.7109375" style="80" bestFit="1" customWidth="1"/>
    <col min="15098" max="15098" width="21.42578125" style="80" bestFit="1" customWidth="1"/>
    <col min="15099" max="15099" width="22.28515625" style="80" bestFit="1" customWidth="1"/>
    <col min="15100" max="15101" width="9.140625" style="80"/>
    <col min="15102" max="15102" width="17.28515625" style="80" customWidth="1"/>
    <col min="15103" max="15103" width="21.42578125" style="80" bestFit="1" customWidth="1"/>
    <col min="15104" max="15104" width="22.28515625" style="80" bestFit="1" customWidth="1"/>
    <col min="15105" max="15268" width="9.140625" style="80"/>
    <col min="15269" max="15269" width="5.85546875" style="80" customWidth="1"/>
    <col min="15270" max="15270" width="6" style="80" customWidth="1"/>
    <col min="15271" max="15271" width="48" style="80" bestFit="1" customWidth="1"/>
    <col min="15272" max="15283" width="0" style="80" hidden="1" customWidth="1"/>
    <col min="15284" max="15284" width="21.28515625" style="80" bestFit="1" customWidth="1"/>
    <col min="15285" max="15296" width="16.7109375" style="80" customWidth="1"/>
    <col min="15297" max="15324" width="0" style="80" hidden="1" customWidth="1"/>
    <col min="15325" max="15325" width="13.5703125" style="80" customWidth="1"/>
    <col min="15326" max="15333" width="0" style="80" hidden="1" customWidth="1"/>
    <col min="15334" max="15334" width="12.28515625" style="80" bestFit="1" customWidth="1"/>
    <col min="15335" max="15335" width="9.140625" style="80"/>
    <col min="15336" max="15343" width="0" style="80" hidden="1" customWidth="1"/>
    <col min="15344" max="15344" width="14.5703125" style="80" bestFit="1" customWidth="1"/>
    <col min="15345" max="15345" width="15.85546875" style="80" bestFit="1" customWidth="1"/>
    <col min="15346" max="15346" width="17.42578125" style="80" bestFit="1" customWidth="1"/>
    <col min="15347" max="15347" width="27.5703125" style="80" bestFit="1" customWidth="1"/>
    <col min="15348" max="15348" width="9.140625" style="80"/>
    <col min="15349" max="15349" width="15.85546875" style="80" bestFit="1" customWidth="1"/>
    <col min="15350" max="15350" width="20.85546875" style="80" bestFit="1" customWidth="1"/>
    <col min="15351" max="15351" width="27.5703125" style="80" bestFit="1" customWidth="1"/>
    <col min="15352" max="15352" width="9.140625" style="80"/>
    <col min="15353" max="15353" width="16.7109375" style="80" bestFit="1" customWidth="1"/>
    <col min="15354" max="15354" width="21.42578125" style="80" bestFit="1" customWidth="1"/>
    <col min="15355" max="15355" width="22.28515625" style="80" bestFit="1" customWidth="1"/>
    <col min="15356" max="15357" width="9.140625" style="80"/>
    <col min="15358" max="15358" width="17.28515625" style="80" customWidth="1"/>
    <col min="15359" max="15359" width="21.42578125" style="80" bestFit="1" customWidth="1"/>
    <col min="15360" max="15360" width="22.28515625" style="80" bestFit="1" customWidth="1"/>
    <col min="15361" max="15524" width="9.140625" style="80"/>
    <col min="15525" max="15525" width="5.85546875" style="80" customWidth="1"/>
    <col min="15526" max="15526" width="6" style="80" customWidth="1"/>
    <col min="15527" max="15527" width="48" style="80" bestFit="1" customWidth="1"/>
    <col min="15528" max="15539" width="0" style="80" hidden="1" customWidth="1"/>
    <col min="15540" max="15540" width="21.28515625" style="80" bestFit="1" customWidth="1"/>
    <col min="15541" max="15552" width="16.7109375" style="80" customWidth="1"/>
    <col min="15553" max="15580" width="0" style="80" hidden="1" customWidth="1"/>
    <col min="15581" max="15581" width="13.5703125" style="80" customWidth="1"/>
    <col min="15582" max="15589" width="0" style="80" hidden="1" customWidth="1"/>
    <col min="15590" max="15590" width="12.28515625" style="80" bestFit="1" customWidth="1"/>
    <col min="15591" max="15591" width="9.140625" style="80"/>
    <col min="15592" max="15599" width="0" style="80" hidden="1" customWidth="1"/>
    <col min="15600" max="15600" width="14.5703125" style="80" bestFit="1" customWidth="1"/>
    <col min="15601" max="15601" width="15.85546875" style="80" bestFit="1" customWidth="1"/>
    <col min="15602" max="15602" width="17.42578125" style="80" bestFit="1" customWidth="1"/>
    <col min="15603" max="15603" width="27.5703125" style="80" bestFit="1" customWidth="1"/>
    <col min="15604" max="15604" width="9.140625" style="80"/>
    <col min="15605" max="15605" width="15.85546875" style="80" bestFit="1" customWidth="1"/>
    <col min="15606" max="15606" width="20.85546875" style="80" bestFit="1" customWidth="1"/>
    <col min="15607" max="15607" width="27.5703125" style="80" bestFit="1" customWidth="1"/>
    <col min="15608" max="15608" width="9.140625" style="80"/>
    <col min="15609" max="15609" width="16.7109375" style="80" bestFit="1" customWidth="1"/>
    <col min="15610" max="15610" width="21.42578125" style="80" bestFit="1" customWidth="1"/>
    <col min="15611" max="15611" width="22.28515625" style="80" bestFit="1" customWidth="1"/>
    <col min="15612" max="15613" width="9.140625" style="80"/>
    <col min="15614" max="15614" width="17.28515625" style="80" customWidth="1"/>
    <col min="15615" max="15615" width="21.42578125" style="80" bestFit="1" customWidth="1"/>
    <col min="15616" max="15616" width="22.28515625" style="80" bestFit="1" customWidth="1"/>
    <col min="15617" max="15780" width="9.140625" style="80"/>
    <col min="15781" max="15781" width="5.85546875" style="80" customWidth="1"/>
    <col min="15782" max="15782" width="6" style="80" customWidth="1"/>
    <col min="15783" max="15783" width="48" style="80" bestFit="1" customWidth="1"/>
    <col min="15784" max="15795" width="0" style="80" hidden="1" customWidth="1"/>
    <col min="15796" max="15796" width="21.28515625" style="80" bestFit="1" customWidth="1"/>
    <col min="15797" max="15808" width="16.7109375" style="80" customWidth="1"/>
    <col min="15809" max="15836" width="0" style="80" hidden="1" customWidth="1"/>
    <col min="15837" max="15837" width="13.5703125" style="80" customWidth="1"/>
    <col min="15838" max="15845" width="0" style="80" hidden="1" customWidth="1"/>
    <col min="15846" max="15846" width="12.28515625" style="80" bestFit="1" customWidth="1"/>
    <col min="15847" max="15847" width="9.140625" style="80"/>
    <col min="15848" max="15855" width="0" style="80" hidden="1" customWidth="1"/>
    <col min="15856" max="15856" width="14.5703125" style="80" bestFit="1" customWidth="1"/>
    <col min="15857" max="15857" width="15.85546875" style="80" bestFit="1" customWidth="1"/>
    <col min="15858" max="15858" width="17.42578125" style="80" bestFit="1" customWidth="1"/>
    <col min="15859" max="15859" width="27.5703125" style="80" bestFit="1" customWidth="1"/>
    <col min="15860" max="15860" width="9.140625" style="80"/>
    <col min="15861" max="15861" width="15.85546875" style="80" bestFit="1" customWidth="1"/>
    <col min="15862" max="15862" width="20.85546875" style="80" bestFit="1" customWidth="1"/>
    <col min="15863" max="15863" width="27.5703125" style="80" bestFit="1" customWidth="1"/>
    <col min="15864" max="15864" width="9.140625" style="80"/>
    <col min="15865" max="15865" width="16.7109375" style="80" bestFit="1" customWidth="1"/>
    <col min="15866" max="15866" width="21.42578125" style="80" bestFit="1" customWidth="1"/>
    <col min="15867" max="15867" width="22.28515625" style="80" bestFit="1" customWidth="1"/>
    <col min="15868" max="15869" width="9.140625" style="80"/>
    <col min="15870" max="15870" width="17.28515625" style="80" customWidth="1"/>
    <col min="15871" max="15871" width="21.42578125" style="80" bestFit="1" customWidth="1"/>
    <col min="15872" max="15872" width="22.28515625" style="80" bestFit="1" customWidth="1"/>
    <col min="15873" max="16036" width="9.140625" style="80"/>
    <col min="16037" max="16037" width="5.85546875" style="80" customWidth="1"/>
    <col min="16038" max="16038" width="6" style="80" customWidth="1"/>
    <col min="16039" max="16039" width="48" style="80" bestFit="1" customWidth="1"/>
    <col min="16040" max="16051" width="0" style="80" hidden="1" customWidth="1"/>
    <col min="16052" max="16052" width="21.28515625" style="80" bestFit="1" customWidth="1"/>
    <col min="16053" max="16064" width="16.7109375" style="80" customWidth="1"/>
    <col min="16065" max="16092" width="0" style="80" hidden="1" customWidth="1"/>
    <col min="16093" max="16093" width="13.5703125" style="80" customWidth="1"/>
    <col min="16094" max="16101" width="0" style="80" hidden="1" customWidth="1"/>
    <col min="16102" max="16102" width="12.28515625" style="80" bestFit="1" customWidth="1"/>
    <col min="16103" max="16103" width="9.140625" style="80"/>
    <col min="16104" max="16111" width="0" style="80" hidden="1" customWidth="1"/>
    <col min="16112" max="16112" width="14.5703125" style="80" bestFit="1" customWidth="1"/>
    <col min="16113" max="16113" width="15.85546875" style="80" bestFit="1" customWidth="1"/>
    <col min="16114" max="16114" width="17.42578125" style="80" bestFit="1" customWidth="1"/>
    <col min="16115" max="16115" width="27.5703125" style="80" bestFit="1" customWidth="1"/>
    <col min="16116" max="16116" width="9.140625" style="80"/>
    <col min="16117" max="16117" width="15.85546875" style="80" bestFit="1" customWidth="1"/>
    <col min="16118" max="16118" width="20.85546875" style="80" bestFit="1" customWidth="1"/>
    <col min="16119" max="16119" width="27.5703125" style="80" bestFit="1" customWidth="1"/>
    <col min="16120" max="16120" width="9.140625" style="80"/>
    <col min="16121" max="16121" width="16.7109375" style="80" bestFit="1" customWidth="1"/>
    <col min="16122" max="16122" width="21.42578125" style="80" bestFit="1" customWidth="1"/>
    <col min="16123" max="16123" width="22.28515625" style="80" bestFit="1" customWidth="1"/>
    <col min="16124" max="16125" width="9.140625" style="80"/>
    <col min="16126" max="16126" width="17.28515625" style="80" customWidth="1"/>
    <col min="16127" max="16127" width="21.42578125" style="80" bestFit="1" customWidth="1"/>
    <col min="16128" max="16128" width="22.28515625" style="80" bestFit="1" customWidth="1"/>
    <col min="16129" max="16384" width="9.140625" style="80"/>
  </cols>
  <sheetData>
    <row r="1" spans="1:15" ht="15" x14ac:dyDescent="0.25"/>
    <row r="2" spans="1:15" ht="15" x14ac:dyDescent="0.25"/>
    <row r="3" spans="1:15" ht="15" x14ac:dyDescent="0.25"/>
    <row r="4" spans="1:15" ht="15" x14ac:dyDescent="0.25"/>
    <row r="5" spans="1:15" ht="15" x14ac:dyDescent="0.25">
      <c r="C5" s="721" t="s">
        <v>895</v>
      </c>
      <c r="D5" s="721"/>
      <c r="E5" s="721"/>
      <c r="F5" s="721"/>
      <c r="G5" s="721"/>
    </row>
    <row r="6" spans="1:15" ht="15" x14ac:dyDescent="0.25">
      <c r="C6" s="83"/>
    </row>
    <row r="7" spans="1:15" ht="24.75" customHeight="1" thickBot="1" x14ac:dyDescent="0.3">
      <c r="E7" s="85" t="s">
        <v>889</v>
      </c>
      <c r="F7" s="85" t="s">
        <v>890</v>
      </c>
      <c r="G7" s="85" t="s">
        <v>891</v>
      </c>
    </row>
    <row r="8" spans="1:15" ht="16.5" thickTop="1" thickBot="1" x14ac:dyDescent="0.3">
      <c r="C8" s="84" t="s">
        <v>863</v>
      </c>
      <c r="D8" s="85" t="s">
        <v>894</v>
      </c>
      <c r="E8" s="85" t="s">
        <v>896</v>
      </c>
      <c r="F8" s="85" t="s">
        <v>896</v>
      </c>
      <c r="G8" s="85" t="s">
        <v>896</v>
      </c>
      <c r="H8" s="110"/>
    </row>
    <row r="9" spans="1:15" ht="15.75" thickTop="1" x14ac:dyDescent="0.25">
      <c r="C9" s="86" t="s">
        <v>885</v>
      </c>
      <c r="D9" s="101"/>
      <c r="E9" s="87"/>
      <c r="L9" s="80" t="s">
        <v>1250</v>
      </c>
      <c r="M9" s="228">
        <f>434400672+173325000</f>
        <v>607725672</v>
      </c>
      <c r="O9" s="80">
        <f>+M9+M11+M12</f>
        <v>1149008272</v>
      </c>
    </row>
    <row r="10" spans="1:15" ht="15" x14ac:dyDescent="0.25">
      <c r="C10" s="99" t="s">
        <v>884</v>
      </c>
      <c r="D10" s="102">
        <v>50000000</v>
      </c>
      <c r="E10" s="102">
        <v>20000000</v>
      </c>
      <c r="F10" s="102">
        <v>17500000</v>
      </c>
      <c r="G10" s="102">
        <v>12500000</v>
      </c>
      <c r="M10" s="228"/>
    </row>
    <row r="11" spans="1:15" ht="15" x14ac:dyDescent="0.25">
      <c r="C11" s="88" t="s">
        <v>864</v>
      </c>
      <c r="D11" s="103"/>
      <c r="E11" s="103"/>
      <c r="F11" s="103"/>
      <c r="G11" s="103"/>
      <c r="L11" s="80" t="s">
        <v>1251</v>
      </c>
      <c r="M11" s="228">
        <v>353098000</v>
      </c>
    </row>
    <row r="12" spans="1:15" s="81" customFormat="1" ht="15" x14ac:dyDescent="0.25">
      <c r="A12" s="90"/>
      <c r="B12" s="90"/>
      <c r="C12" s="89" t="s">
        <v>865</v>
      </c>
      <c r="D12" s="104">
        <v>0</v>
      </c>
      <c r="E12" s="104">
        <v>0</v>
      </c>
      <c r="F12" s="104">
        <v>0</v>
      </c>
      <c r="G12" s="104">
        <v>0</v>
      </c>
      <c r="M12" s="228">
        <v>188184600</v>
      </c>
    </row>
    <row r="13" spans="1:15" s="81" customFormat="1" ht="15" x14ac:dyDescent="0.25">
      <c r="A13" s="90"/>
      <c r="B13" s="90"/>
      <c r="C13" s="89" t="s">
        <v>866</v>
      </c>
      <c r="D13" s="105">
        <v>0</v>
      </c>
      <c r="E13" s="105">
        <v>0</v>
      </c>
      <c r="F13" s="105">
        <v>0</v>
      </c>
      <c r="G13" s="105">
        <v>0</v>
      </c>
      <c r="M13" s="80">
        <v>121096871</v>
      </c>
    </row>
    <row r="14" spans="1:15" ht="15" x14ac:dyDescent="0.25">
      <c r="C14" s="91" t="s">
        <v>867</v>
      </c>
      <c r="D14" s="100">
        <f>+SUM(D9:D13)</f>
        <v>50000000</v>
      </c>
      <c r="E14" s="100">
        <f t="shared" ref="E14:G14" si="0">+SUM(E9:E13)</f>
        <v>20000000</v>
      </c>
      <c r="F14" s="100">
        <f t="shared" si="0"/>
        <v>17500000</v>
      </c>
      <c r="G14" s="100">
        <f t="shared" si="0"/>
        <v>12500000</v>
      </c>
      <c r="M14" s="80">
        <v>800000000</v>
      </c>
    </row>
    <row r="15" spans="1:15" ht="15" x14ac:dyDescent="0.25">
      <c r="C15" s="92" t="s">
        <v>868</v>
      </c>
      <c r="D15" s="105"/>
      <c r="E15" s="105"/>
      <c r="F15" s="105"/>
      <c r="G15" s="105"/>
      <c r="M15" s="80">
        <v>400000000</v>
      </c>
    </row>
    <row r="16" spans="1:15" ht="15" x14ac:dyDescent="0.25">
      <c r="C16" s="99" t="s">
        <v>886</v>
      </c>
      <c r="D16" s="105">
        <f>+'Inversión del Proyecto '!F223</f>
        <v>968200000</v>
      </c>
      <c r="E16" s="105">
        <v>607725672</v>
      </c>
      <c r="F16" s="105">
        <v>360474328</v>
      </c>
      <c r="G16" s="105">
        <v>0</v>
      </c>
    </row>
    <row r="17" spans="1:13" ht="15" x14ac:dyDescent="0.25">
      <c r="C17" s="99" t="s">
        <v>887</v>
      </c>
      <c r="D17" s="105">
        <f>+'Inversión del Proyecto '!F224</f>
        <v>2794100000</v>
      </c>
      <c r="E17" s="105">
        <f>+O9</f>
        <v>1149008272</v>
      </c>
      <c r="F17" s="105">
        <v>922545864</v>
      </c>
      <c r="G17" s="105">
        <f>+D17-E17-F17</f>
        <v>722545864</v>
      </c>
    </row>
    <row r="18" spans="1:13" ht="15" x14ac:dyDescent="0.25">
      <c r="C18" s="99" t="s">
        <v>888</v>
      </c>
      <c r="D18" s="105">
        <f>+'Inmobiliario, equipos, varios'!F291</f>
        <v>725776707</v>
      </c>
      <c r="E18" s="105">
        <v>0</v>
      </c>
      <c r="F18" s="105">
        <v>0</v>
      </c>
      <c r="G18" s="105">
        <f>+D18</f>
        <v>725776707</v>
      </c>
    </row>
    <row r="19" spans="1:13" ht="15" x14ac:dyDescent="0.25">
      <c r="C19" s="223" t="s">
        <v>892</v>
      </c>
      <c r="D19" s="105">
        <v>0</v>
      </c>
      <c r="E19" s="105"/>
      <c r="F19" s="105"/>
      <c r="G19" s="105"/>
    </row>
    <row r="20" spans="1:13" ht="18" customHeight="1" x14ac:dyDescent="0.25">
      <c r="C20" s="223" t="s">
        <v>1475</v>
      </c>
      <c r="D20" s="105">
        <v>0</v>
      </c>
      <c r="E20" s="105"/>
      <c r="F20" s="105"/>
      <c r="G20" s="105"/>
    </row>
    <row r="21" spans="1:13" ht="15" x14ac:dyDescent="0.25">
      <c r="C21" s="91" t="s">
        <v>869</v>
      </c>
      <c r="D21" s="100">
        <f>+SUM(D16:D20)</f>
        <v>4488076707</v>
      </c>
      <c r="E21" s="100">
        <f t="shared" ref="E21:G21" si="1">+SUM(E16:E20)</f>
        <v>1756733944</v>
      </c>
      <c r="F21" s="100">
        <f t="shared" si="1"/>
        <v>1283020192</v>
      </c>
      <c r="G21" s="100">
        <f t="shared" si="1"/>
        <v>1448322571</v>
      </c>
    </row>
    <row r="22" spans="1:13" ht="15" x14ac:dyDescent="0.25">
      <c r="C22" s="92" t="s">
        <v>1477</v>
      </c>
      <c r="D22" s="343"/>
      <c r="E22" s="343"/>
      <c r="F22" s="343"/>
      <c r="G22" s="343"/>
    </row>
    <row r="23" spans="1:13" ht="15" x14ac:dyDescent="0.25">
      <c r="C23" s="99" t="s">
        <v>1476</v>
      </c>
      <c r="D23" s="105">
        <f>+'Estudios del proyecto '!F32+'Estudios del proyecto '!E41</f>
        <v>68560000</v>
      </c>
      <c r="E23" s="105">
        <f>+D23</f>
        <v>68560000</v>
      </c>
      <c r="F23" s="105"/>
      <c r="G23" s="105"/>
    </row>
    <row r="24" spans="1:13" ht="15.75" thickBot="1" x14ac:dyDescent="0.3">
      <c r="C24" s="93" t="s">
        <v>870</v>
      </c>
      <c r="D24" s="106">
        <f>+D21+D14+D23</f>
        <v>4606636707</v>
      </c>
      <c r="E24" s="106">
        <f t="shared" ref="E24:G24" si="2">+E21+E14+E23</f>
        <v>1845293944</v>
      </c>
      <c r="F24" s="106">
        <f t="shared" si="2"/>
        <v>1300520192</v>
      </c>
      <c r="G24" s="106">
        <f t="shared" si="2"/>
        <v>1460822571</v>
      </c>
    </row>
    <row r="25" spans="1:13" ht="15.75" thickTop="1" x14ac:dyDescent="0.25">
      <c r="C25" s="94" t="s">
        <v>871</v>
      </c>
      <c r="D25" s="101"/>
      <c r="E25" s="101"/>
      <c r="F25" s="101"/>
      <c r="G25" s="101"/>
    </row>
    <row r="26" spans="1:13" ht="15" x14ac:dyDescent="0.25">
      <c r="C26" s="95" t="s">
        <v>872</v>
      </c>
      <c r="D26" s="100">
        <f>+SUM(D25:D25)</f>
        <v>0</v>
      </c>
      <c r="E26" s="100">
        <f>+SUM(E25:E25)</f>
        <v>0</v>
      </c>
      <c r="F26" s="100">
        <f>+SUM(F25:F25)</f>
        <v>0</v>
      </c>
      <c r="G26" s="100">
        <f>+SUM(G25:G25)</f>
        <v>0</v>
      </c>
    </row>
    <row r="27" spans="1:13" s="81" customFormat="1" ht="15" x14ac:dyDescent="0.25">
      <c r="A27" s="90"/>
      <c r="B27" s="90"/>
      <c r="C27" s="224" t="s">
        <v>1256</v>
      </c>
      <c r="D27" s="105"/>
      <c r="E27" s="105"/>
      <c r="F27" s="105"/>
      <c r="G27" s="105"/>
    </row>
    <row r="28" spans="1:13" s="81" customFormat="1" ht="15" x14ac:dyDescent="0.25">
      <c r="A28" s="90"/>
      <c r="B28" s="90"/>
      <c r="C28" s="223" t="s">
        <v>1249</v>
      </c>
      <c r="D28" s="105">
        <f>+'Prestamo Créditos'!C2</f>
        <v>2000000000</v>
      </c>
      <c r="E28" s="105">
        <f>+M9</f>
        <v>607725672</v>
      </c>
      <c r="F28" s="105">
        <v>666497621</v>
      </c>
      <c r="G28" s="105">
        <f>+'Inmobiliario, equipos, varios'!F291</f>
        <v>725776707</v>
      </c>
    </row>
    <row r="29" spans="1:13" ht="15" x14ac:dyDescent="0.25">
      <c r="C29" s="91" t="s">
        <v>873</v>
      </c>
      <c r="D29" s="100">
        <f>+D28</f>
        <v>2000000000</v>
      </c>
      <c r="E29" s="100">
        <f t="shared" ref="E29:G29" si="3">+E28</f>
        <v>607725672</v>
      </c>
      <c r="F29" s="100">
        <f t="shared" si="3"/>
        <v>666497621</v>
      </c>
      <c r="G29" s="100">
        <f t="shared" si="3"/>
        <v>725776707</v>
      </c>
      <c r="M29" s="81"/>
    </row>
    <row r="30" spans="1:13" ht="15" x14ac:dyDescent="0.25">
      <c r="C30" s="89"/>
      <c r="D30" s="105"/>
      <c r="E30" s="105"/>
      <c r="F30" s="105"/>
      <c r="G30" s="105"/>
      <c r="M30" s="81"/>
    </row>
    <row r="31" spans="1:13" ht="15.75" thickBot="1" x14ac:dyDescent="0.3">
      <c r="C31" s="93" t="s">
        <v>874</v>
      </c>
      <c r="D31" s="106">
        <f>+D29+D26</f>
        <v>2000000000</v>
      </c>
      <c r="E31" s="106">
        <f t="shared" ref="E31:G31" si="4">+E29+E26</f>
        <v>607725672</v>
      </c>
      <c r="F31" s="106">
        <f t="shared" si="4"/>
        <v>666497621</v>
      </c>
      <c r="G31" s="106">
        <f t="shared" si="4"/>
        <v>725776707</v>
      </c>
    </row>
    <row r="32" spans="1:13" ht="15.75" thickTop="1" x14ac:dyDescent="0.25">
      <c r="C32" s="86" t="s">
        <v>875</v>
      </c>
      <c r="D32" s="101"/>
      <c r="E32" s="101"/>
      <c r="F32" s="101"/>
      <c r="G32" s="101"/>
    </row>
    <row r="33" spans="3:10" ht="15" x14ac:dyDescent="0.25">
      <c r="C33" s="88" t="s">
        <v>876</v>
      </c>
      <c r="D33" s="101">
        <f>+D24-D31</f>
        <v>2606636707</v>
      </c>
      <c r="E33" s="101">
        <f>576447481+26442910+42117090+592560791</f>
        <v>1237568272</v>
      </c>
      <c r="F33" s="101">
        <f>366817094+267205477</f>
        <v>634022571</v>
      </c>
      <c r="G33" s="101">
        <f>594812132+140233732</f>
        <v>735045864</v>
      </c>
    </row>
    <row r="34" spans="3:10" ht="15" x14ac:dyDescent="0.25">
      <c r="C34" s="88" t="s">
        <v>877</v>
      </c>
      <c r="D34" s="105">
        <v>0</v>
      </c>
      <c r="E34" s="105">
        <v>0</v>
      </c>
      <c r="F34" s="105">
        <v>0</v>
      </c>
      <c r="G34" s="105">
        <v>0</v>
      </c>
    </row>
    <row r="35" spans="3:10" ht="15" x14ac:dyDescent="0.25">
      <c r="C35" s="88" t="s">
        <v>878</v>
      </c>
      <c r="D35" s="101">
        <v>0</v>
      </c>
      <c r="E35" s="101">
        <v>0</v>
      </c>
      <c r="F35" s="101">
        <v>0</v>
      </c>
      <c r="G35" s="101">
        <v>0</v>
      </c>
    </row>
    <row r="36" spans="3:10" ht="15" x14ac:dyDescent="0.25">
      <c r="C36" s="88" t="s">
        <v>879</v>
      </c>
      <c r="D36" s="101">
        <v>0</v>
      </c>
      <c r="E36" s="101">
        <v>0</v>
      </c>
      <c r="F36" s="101">
        <v>0</v>
      </c>
      <c r="G36" s="101">
        <v>0</v>
      </c>
    </row>
    <row r="37" spans="3:10" ht="15" x14ac:dyDescent="0.25">
      <c r="C37" s="88" t="s">
        <v>880</v>
      </c>
      <c r="D37" s="101">
        <v>0</v>
      </c>
      <c r="E37" s="101">
        <v>0</v>
      </c>
      <c r="F37" s="101">
        <v>0</v>
      </c>
      <c r="G37" s="101">
        <v>0</v>
      </c>
    </row>
    <row r="38" spans="3:10" ht="15.75" thickBot="1" x14ac:dyDescent="0.3">
      <c r="C38" s="96" t="s">
        <v>881</v>
      </c>
      <c r="D38" s="107">
        <f>SUM(D33:D37)</f>
        <v>2606636707</v>
      </c>
      <c r="E38" s="107">
        <f t="shared" ref="E38:G38" si="5">SUM(E33:E37)</f>
        <v>1237568272</v>
      </c>
      <c r="F38" s="107">
        <f t="shared" si="5"/>
        <v>634022571</v>
      </c>
      <c r="G38" s="107">
        <f t="shared" si="5"/>
        <v>735045864</v>
      </c>
      <c r="J38" s="105"/>
    </row>
    <row r="39" spans="3:10" ht="16.5" thickTop="1" thickBot="1" x14ac:dyDescent="0.3">
      <c r="C39" s="97" t="s">
        <v>882</v>
      </c>
      <c r="D39" s="108">
        <f>+D31+D38</f>
        <v>4606636707</v>
      </c>
      <c r="E39" s="108">
        <f t="shared" ref="E39:G39" si="6">+E31+E38</f>
        <v>1845293944</v>
      </c>
      <c r="F39" s="108">
        <f t="shared" si="6"/>
        <v>1300520192</v>
      </c>
      <c r="G39" s="108">
        <f t="shared" si="6"/>
        <v>1460822571</v>
      </c>
    </row>
    <row r="40" spans="3:10" ht="15.75" thickTop="1" x14ac:dyDescent="0.25">
      <c r="C40" s="98" t="s">
        <v>883</v>
      </c>
      <c r="D40" s="109">
        <f>+D24-D39</f>
        <v>0</v>
      </c>
      <c r="E40" s="109">
        <f>+E24-E39</f>
        <v>0</v>
      </c>
      <c r="F40" s="109">
        <f>+F24-F39</f>
        <v>0</v>
      </c>
      <c r="G40" s="109">
        <f>+G24-G39</f>
        <v>0</v>
      </c>
    </row>
    <row r="41" spans="3:10" s="79" customFormat="1" ht="15" x14ac:dyDescent="0.25"/>
    <row r="42" spans="3:10" s="79" customFormat="1" ht="15" x14ac:dyDescent="0.25">
      <c r="C42" s="230" t="s">
        <v>893</v>
      </c>
      <c r="D42" s="229">
        <v>1</v>
      </c>
      <c r="E42" s="231">
        <f>+E39/$D$39</f>
        <v>0.40057292583892917</v>
      </c>
      <c r="F42" s="231">
        <f>+F39/$D$39</f>
        <v>0.28231446817236505</v>
      </c>
      <c r="G42" s="231">
        <f>+G39/$D$39</f>
        <v>0.31711260598870578</v>
      </c>
    </row>
    <row r="43" spans="3:10" s="79" customFormat="1" ht="15" x14ac:dyDescent="0.25">
      <c r="C43" s="80"/>
      <c r="D43" s="225"/>
    </row>
    <row r="44" spans="3:10" s="79" customFormat="1" ht="15" x14ac:dyDescent="0.25">
      <c r="C44" s="80"/>
      <c r="D44" s="82"/>
      <c r="E44" s="82"/>
    </row>
    <row r="45" spans="3:10" s="79" customFormat="1" ht="15" x14ac:dyDescent="0.25">
      <c r="C45" s="80"/>
      <c r="D45" s="82"/>
      <c r="E45" s="82"/>
    </row>
    <row r="46" spans="3:10" s="79" customFormat="1" ht="15" x14ac:dyDescent="0.25">
      <c r="C46" s="80"/>
      <c r="D46" s="82"/>
      <c r="E46" s="82"/>
    </row>
    <row r="47" spans="3:10" s="79" customFormat="1" ht="15" x14ac:dyDescent="0.25">
      <c r="C47" s="80"/>
      <c r="D47" s="82"/>
      <c r="E47" s="82"/>
    </row>
    <row r="48" spans="3:10" s="79" customFormat="1" ht="15" x14ac:dyDescent="0.25">
      <c r="C48" s="80"/>
      <c r="D48" s="82"/>
      <c r="E48" s="82"/>
    </row>
    <row r="49" spans="3:9" s="79" customFormat="1" ht="15" x14ac:dyDescent="0.25">
      <c r="C49" s="728" t="s">
        <v>895</v>
      </c>
      <c r="D49" s="728"/>
      <c r="E49" s="728"/>
      <c r="F49" s="728"/>
      <c r="G49" s="728"/>
      <c r="H49" s="728"/>
      <c r="I49" s="728"/>
    </row>
    <row r="50" spans="3:9" s="79" customFormat="1" ht="15" x14ac:dyDescent="0.25">
      <c r="C50" s="83"/>
      <c r="D50" s="82"/>
      <c r="E50" s="82"/>
      <c r="F50" s="80"/>
      <c r="G50" s="80"/>
    </row>
    <row r="51" spans="3:9" s="79" customFormat="1" ht="15.75" thickBot="1" x14ac:dyDescent="0.3">
      <c r="C51" s="80"/>
      <c r="D51" s="82"/>
      <c r="E51" s="85" t="s">
        <v>1267</v>
      </c>
      <c r="F51" s="85" t="s">
        <v>1268</v>
      </c>
      <c r="G51" s="85" t="s">
        <v>1269</v>
      </c>
      <c r="H51" s="85" t="s">
        <v>1270</v>
      </c>
      <c r="I51" s="85" t="s">
        <v>1271</v>
      </c>
    </row>
    <row r="52" spans="3:9" s="79" customFormat="1" ht="16.5" thickTop="1" thickBot="1" x14ac:dyDescent="0.3">
      <c r="C52" s="84" t="s">
        <v>863</v>
      </c>
      <c r="D52" s="85" t="s">
        <v>894</v>
      </c>
      <c r="E52" s="85" t="s">
        <v>896</v>
      </c>
      <c r="F52" s="85" t="s">
        <v>896</v>
      </c>
      <c r="G52" s="85" t="s">
        <v>896</v>
      </c>
      <c r="H52" s="85" t="s">
        <v>896</v>
      </c>
      <c r="I52" s="85" t="s">
        <v>896</v>
      </c>
    </row>
    <row r="53" spans="3:9" s="79" customFormat="1" ht="15.75" thickTop="1" x14ac:dyDescent="0.25">
      <c r="C53" s="86" t="s">
        <v>885</v>
      </c>
      <c r="D53" s="101"/>
      <c r="E53" s="87"/>
      <c r="F53" s="80"/>
      <c r="G53" s="80"/>
      <c r="H53" s="80"/>
      <c r="I53" s="80"/>
    </row>
    <row r="54" spans="3:9" s="79" customFormat="1" ht="15" x14ac:dyDescent="0.25">
      <c r="C54" s="223" t="s">
        <v>1633</v>
      </c>
      <c r="D54" s="434">
        <f>+D10</f>
        <v>50000000</v>
      </c>
      <c r="E54" s="433">
        <f>+E149</f>
        <v>766089630.55734932</v>
      </c>
      <c r="F54" s="433">
        <f t="shared" ref="F54:I54" si="7">+F149</f>
        <v>1640825501.3207743</v>
      </c>
      <c r="G54" s="433">
        <f t="shared" si="7"/>
        <v>2645850475.9384508</v>
      </c>
      <c r="H54" s="433">
        <f t="shared" si="7"/>
        <v>4644338882.3699541</v>
      </c>
      <c r="I54" s="433">
        <f t="shared" si="7"/>
        <v>6811884243.9822836</v>
      </c>
    </row>
    <row r="55" spans="3:9" s="79" customFormat="1" ht="15" x14ac:dyDescent="0.25">
      <c r="C55" s="99" t="s">
        <v>1715</v>
      </c>
      <c r="D55" s="434"/>
    </row>
    <row r="56" spans="3:9" s="79" customFormat="1" ht="15" x14ac:dyDescent="0.25">
      <c r="C56" s="89" t="s">
        <v>865</v>
      </c>
      <c r="D56" s="434">
        <v>0</v>
      </c>
      <c r="E56" s="433">
        <v>0</v>
      </c>
      <c r="F56" s="433">
        <v>0</v>
      </c>
      <c r="G56" s="433">
        <v>0</v>
      </c>
      <c r="H56" s="433">
        <v>0</v>
      </c>
      <c r="I56" s="433">
        <v>0</v>
      </c>
    </row>
    <row r="57" spans="3:9" s="79" customFormat="1" ht="15" x14ac:dyDescent="0.25">
      <c r="C57" s="89" t="s">
        <v>866</v>
      </c>
      <c r="D57" s="434">
        <v>0</v>
      </c>
      <c r="E57" s="433">
        <v>0</v>
      </c>
      <c r="F57" s="433">
        <v>0</v>
      </c>
      <c r="G57" s="433">
        <v>0</v>
      </c>
      <c r="H57" s="433">
        <v>0</v>
      </c>
      <c r="I57" s="433">
        <v>0</v>
      </c>
    </row>
    <row r="58" spans="3:9" s="79" customFormat="1" ht="15" x14ac:dyDescent="0.25">
      <c r="C58" s="91" t="s">
        <v>867</v>
      </c>
      <c r="D58" s="438">
        <f t="shared" ref="D58:I58" si="8">+SUM(D53:D57)</f>
        <v>50000000</v>
      </c>
      <c r="E58" s="439">
        <f t="shared" si="8"/>
        <v>766089630.55734932</v>
      </c>
      <c r="F58" s="439">
        <f t="shared" si="8"/>
        <v>1640825501.3207743</v>
      </c>
      <c r="G58" s="439">
        <f t="shared" si="8"/>
        <v>2645850475.9384508</v>
      </c>
      <c r="H58" s="439">
        <f t="shared" si="8"/>
        <v>4644338882.3699541</v>
      </c>
      <c r="I58" s="439">
        <f t="shared" si="8"/>
        <v>6811884243.9822836</v>
      </c>
    </row>
    <row r="59" spans="3:9" s="79" customFormat="1" ht="15" x14ac:dyDescent="0.25">
      <c r="C59" s="92" t="s">
        <v>868</v>
      </c>
      <c r="D59" s="440"/>
      <c r="E59" s="440"/>
      <c r="F59" s="440"/>
      <c r="G59" s="440"/>
      <c r="H59" s="440"/>
      <c r="I59" s="440"/>
    </row>
    <row r="60" spans="3:9" s="79" customFormat="1" ht="15" x14ac:dyDescent="0.25">
      <c r="C60" s="99" t="s">
        <v>886</v>
      </c>
      <c r="D60" s="434">
        <f>+D16</f>
        <v>968200000</v>
      </c>
      <c r="E60" s="434">
        <f>+$D$60</f>
        <v>968200000</v>
      </c>
      <c r="F60" s="434">
        <f t="shared" ref="F60:I60" si="9">+$D$60</f>
        <v>968200000</v>
      </c>
      <c r="G60" s="434">
        <f t="shared" si="9"/>
        <v>968200000</v>
      </c>
      <c r="H60" s="434">
        <f t="shared" si="9"/>
        <v>968200000</v>
      </c>
      <c r="I60" s="434">
        <f t="shared" si="9"/>
        <v>968200000</v>
      </c>
    </row>
    <row r="61" spans="3:9" s="79" customFormat="1" ht="15" x14ac:dyDescent="0.25">
      <c r="C61" s="99" t="s">
        <v>887</v>
      </c>
      <c r="D61" s="434">
        <f>+D17</f>
        <v>2794100000</v>
      </c>
      <c r="E61" s="434">
        <f>+$D$61</f>
        <v>2794100000</v>
      </c>
      <c r="F61" s="434">
        <f t="shared" ref="F61:I61" si="10">+$D$61</f>
        <v>2794100000</v>
      </c>
      <c r="G61" s="434">
        <f t="shared" si="10"/>
        <v>2794100000</v>
      </c>
      <c r="H61" s="434">
        <f t="shared" si="10"/>
        <v>2794100000</v>
      </c>
      <c r="I61" s="434">
        <f t="shared" si="10"/>
        <v>2794100000</v>
      </c>
    </row>
    <row r="62" spans="3:9" s="79" customFormat="1" ht="15" x14ac:dyDescent="0.25">
      <c r="C62" s="99" t="s">
        <v>888</v>
      </c>
      <c r="D62" s="434">
        <f>+D18</f>
        <v>725776707</v>
      </c>
      <c r="E62" s="434">
        <f>+$D$62</f>
        <v>725776707</v>
      </c>
      <c r="F62" s="434">
        <f t="shared" ref="F62:I62" si="11">+$D$62</f>
        <v>725776707</v>
      </c>
      <c r="G62" s="434">
        <f t="shared" si="11"/>
        <v>725776707</v>
      </c>
      <c r="H62" s="434">
        <f t="shared" si="11"/>
        <v>725776707</v>
      </c>
      <c r="I62" s="434">
        <f t="shared" si="11"/>
        <v>725776707</v>
      </c>
    </row>
    <row r="63" spans="3:9" s="90" customFormat="1" ht="15" x14ac:dyDescent="0.25">
      <c r="C63" s="223" t="s">
        <v>892</v>
      </c>
      <c r="D63" s="434">
        <f>+D110</f>
        <v>0</v>
      </c>
      <c r="E63" s="434">
        <f>-E111</f>
        <v>-127369602.41999999</v>
      </c>
      <c r="F63" s="434">
        <f>-E112</f>
        <v>-254739204.83999997</v>
      </c>
      <c r="G63" s="434">
        <f>-E113</f>
        <v>-382108807.25999999</v>
      </c>
      <c r="H63" s="434">
        <f>-E114</f>
        <v>-509478409.67999995</v>
      </c>
      <c r="I63" s="434">
        <f>-E115</f>
        <v>-636848012.0999999</v>
      </c>
    </row>
    <row r="64" spans="3:9" s="90" customFormat="1" ht="15" x14ac:dyDescent="0.25">
      <c r="C64" s="223" t="s">
        <v>1475</v>
      </c>
      <c r="D64" s="434"/>
      <c r="E64" s="433">
        <f>266798300.157924+28593635</f>
        <v>295391935.157924</v>
      </c>
      <c r="F64" s="433">
        <f>429253209.03951+33202349</f>
        <v>462455558.03951001</v>
      </c>
      <c r="G64" s="433">
        <f>623745156.28814+30989915</f>
        <v>654735071.28814006</v>
      </c>
      <c r="H64" s="433">
        <f>834666505.8549+27435247</f>
        <v>862101752.8549</v>
      </c>
      <c r="I64" s="433">
        <f>1055403999.84977+27435248</f>
        <v>1082839247.8497701</v>
      </c>
    </row>
    <row r="65" spans="3:9" s="79" customFormat="1" ht="15" x14ac:dyDescent="0.25">
      <c r="C65" s="91" t="s">
        <v>869</v>
      </c>
      <c r="D65" s="438">
        <f>+SUM(D60:D63)</f>
        <v>4488076707</v>
      </c>
      <c r="E65" s="438">
        <f>+SUM(E60:E64)</f>
        <v>4656099039.7379236</v>
      </c>
      <c r="F65" s="438">
        <f>+SUM(F60:F64)</f>
        <v>4695793060.1995096</v>
      </c>
      <c r="G65" s="438">
        <f>+SUM(G60:G64)</f>
        <v>4760702971.0281401</v>
      </c>
      <c r="H65" s="438">
        <f>+SUM(H60:H64)</f>
        <v>4840700050.1749001</v>
      </c>
      <c r="I65" s="438">
        <f>+SUM(I60:I64)</f>
        <v>4934067942.7497702</v>
      </c>
    </row>
    <row r="66" spans="3:9" s="79" customFormat="1" ht="15" x14ac:dyDescent="0.25">
      <c r="C66" s="92" t="s">
        <v>1477</v>
      </c>
      <c r="D66" s="441"/>
      <c r="E66" s="441"/>
      <c r="F66" s="441"/>
      <c r="G66" s="441"/>
      <c r="H66" s="441"/>
      <c r="I66" s="441"/>
    </row>
    <row r="67" spans="3:9" s="79" customFormat="1" ht="15" x14ac:dyDescent="0.25">
      <c r="C67" s="99" t="s">
        <v>1476</v>
      </c>
      <c r="D67" s="433">
        <f>+'Estudios del proyecto '!F32+'Estudios del proyecto '!E41</f>
        <v>68560000</v>
      </c>
      <c r="E67" s="433"/>
      <c r="F67" s="433"/>
      <c r="G67" s="433"/>
      <c r="H67" s="433"/>
      <c r="I67" s="433"/>
    </row>
    <row r="68" spans="3:9" s="79" customFormat="1" ht="15.75" thickBot="1" x14ac:dyDescent="0.3">
      <c r="C68" s="93" t="s">
        <v>870</v>
      </c>
      <c r="D68" s="435">
        <f>+D65+D58+D67</f>
        <v>4606636707</v>
      </c>
      <c r="E68" s="435">
        <f>+E65+E58</f>
        <v>5422188670.2952728</v>
      </c>
      <c r="F68" s="435">
        <f>+F65+F58</f>
        <v>6336618561.5202837</v>
      </c>
      <c r="G68" s="435">
        <f>+G65+G58</f>
        <v>7406553446.9665909</v>
      </c>
      <c r="H68" s="435">
        <f>+H65+H58</f>
        <v>9485038932.5448532</v>
      </c>
      <c r="I68" s="435">
        <f>+I65+I58</f>
        <v>11745952186.732054</v>
      </c>
    </row>
    <row r="69" spans="3:9" s="79" customFormat="1" ht="15.75" thickTop="1" x14ac:dyDescent="0.25">
      <c r="C69" s="94" t="s">
        <v>871</v>
      </c>
      <c r="D69" s="434"/>
      <c r="E69" s="434"/>
      <c r="F69" s="434"/>
      <c r="G69" s="434"/>
      <c r="H69" s="434"/>
      <c r="I69" s="434"/>
    </row>
    <row r="70" spans="3:9" s="79" customFormat="1" ht="15" x14ac:dyDescent="0.25">
      <c r="C70" s="99" t="s">
        <v>1279</v>
      </c>
      <c r="D70" s="434">
        <v>0</v>
      </c>
      <c r="E70" s="434">
        <f>+'Estados de resultados'!C34</f>
        <v>112789360.19073378</v>
      </c>
      <c r="F70" s="434">
        <f>'Estados de resultados'!D34</f>
        <v>139153416.75850195</v>
      </c>
      <c r="G70" s="434">
        <f>'Estados de resultados'!E34</f>
        <v>164800904.56841323</v>
      </c>
      <c r="H70" s="434">
        <f>'Estados de resultados'!F34</f>
        <v>185055705.89124751</v>
      </c>
      <c r="I70" s="434">
        <f>'Estados de resultados'!G34</f>
        <v>201775624.53550515</v>
      </c>
    </row>
    <row r="71" spans="3:9" s="79" customFormat="1" ht="15" x14ac:dyDescent="0.25">
      <c r="C71" s="99" t="s">
        <v>1326</v>
      </c>
      <c r="D71" s="434">
        <v>0</v>
      </c>
      <c r="E71" s="434">
        <v>0</v>
      </c>
      <c r="F71" s="434"/>
      <c r="G71" s="434">
        <v>0</v>
      </c>
      <c r="H71" s="434">
        <v>0</v>
      </c>
      <c r="I71" s="434">
        <v>0</v>
      </c>
    </row>
    <row r="72" spans="3:9" s="79" customFormat="1" ht="15" x14ac:dyDescent="0.25">
      <c r="C72" s="95" t="s">
        <v>872</v>
      </c>
      <c r="D72" s="438">
        <v>0</v>
      </c>
      <c r="E72" s="439">
        <f>+SUM(E70:E71)</f>
        <v>112789360.19073378</v>
      </c>
      <c r="F72" s="439">
        <f>+SUM(F70:F71)</f>
        <v>139153416.75850195</v>
      </c>
      <c r="G72" s="439">
        <f>+SUM(G70:G71)</f>
        <v>164800904.56841323</v>
      </c>
      <c r="H72" s="439">
        <f>+SUM(H70:H71)</f>
        <v>185055705.89124751</v>
      </c>
      <c r="I72" s="439">
        <f>+SUM(I70:I71)</f>
        <v>201775624.53550515</v>
      </c>
    </row>
    <row r="73" spans="3:9" s="79" customFormat="1" ht="15" x14ac:dyDescent="0.25">
      <c r="C73" s="224" t="s">
        <v>1256</v>
      </c>
      <c r="D73" s="440"/>
      <c r="E73" s="440"/>
      <c r="F73" s="440"/>
      <c r="G73" s="440"/>
      <c r="H73" s="440"/>
      <c r="I73" s="440"/>
    </row>
    <row r="74" spans="3:9" s="79" customFormat="1" ht="15" x14ac:dyDescent="0.25">
      <c r="C74" s="223" t="s">
        <v>1249</v>
      </c>
      <c r="D74" s="434">
        <f>+'Prestamo Créditos'!C2</f>
        <v>2000000000</v>
      </c>
      <c r="E74" s="434">
        <f>+'Prestamo Créditos'!H14</f>
        <v>1448294275.0977077</v>
      </c>
      <c r="F74" s="434">
        <f>+'Prestamo Créditos'!H26</f>
        <v>788664885.10516834</v>
      </c>
      <c r="G74" s="434">
        <v>0</v>
      </c>
      <c r="H74" s="434">
        <v>0</v>
      </c>
      <c r="I74" s="434">
        <v>0</v>
      </c>
    </row>
    <row r="75" spans="3:9" s="79" customFormat="1" ht="15" x14ac:dyDescent="0.25">
      <c r="C75" s="91" t="s">
        <v>873</v>
      </c>
      <c r="D75" s="438">
        <f>+D74</f>
        <v>2000000000</v>
      </c>
      <c r="E75" s="438">
        <f>+E74</f>
        <v>1448294275.0977077</v>
      </c>
      <c r="F75" s="438">
        <f t="shared" ref="F75:I75" si="12">+F74</f>
        <v>788664885.10516834</v>
      </c>
      <c r="G75" s="438">
        <f t="shared" si="12"/>
        <v>0</v>
      </c>
      <c r="H75" s="438">
        <f t="shared" si="12"/>
        <v>0</v>
      </c>
      <c r="I75" s="438">
        <f t="shared" si="12"/>
        <v>0</v>
      </c>
    </row>
    <row r="76" spans="3:9" s="79" customFormat="1" ht="15" x14ac:dyDescent="0.25">
      <c r="C76" s="89"/>
      <c r="D76" s="440"/>
      <c r="E76" s="440"/>
      <c r="F76" s="440"/>
      <c r="G76" s="440"/>
      <c r="H76" s="440"/>
      <c r="I76" s="440"/>
    </row>
    <row r="77" spans="3:9" s="79" customFormat="1" ht="15.75" thickBot="1" x14ac:dyDescent="0.3">
      <c r="C77" s="93" t="s">
        <v>874</v>
      </c>
      <c r="D77" s="435">
        <f t="shared" ref="D77:I77" si="13">+D75+D72</f>
        <v>2000000000</v>
      </c>
      <c r="E77" s="435">
        <f>+E75+E72</f>
        <v>1561083635.2884414</v>
      </c>
      <c r="F77" s="435">
        <f t="shared" si="13"/>
        <v>927818301.86367035</v>
      </c>
      <c r="G77" s="435">
        <f t="shared" si="13"/>
        <v>164800904.56841323</v>
      </c>
      <c r="H77" s="435">
        <f t="shared" si="13"/>
        <v>185055705.89124751</v>
      </c>
      <c r="I77" s="435">
        <f t="shared" si="13"/>
        <v>201775624.53550515</v>
      </c>
    </row>
    <row r="78" spans="3:9" s="79" customFormat="1" ht="15.75" thickTop="1" x14ac:dyDescent="0.25">
      <c r="C78" s="86" t="s">
        <v>875</v>
      </c>
      <c r="D78" s="434"/>
      <c r="E78" s="434"/>
      <c r="F78" s="434"/>
      <c r="G78" s="434"/>
      <c r="H78" s="434"/>
      <c r="I78" s="434"/>
    </row>
    <row r="79" spans="3:9" s="79" customFormat="1" ht="15" x14ac:dyDescent="0.25">
      <c r="C79" s="88" t="s">
        <v>876</v>
      </c>
      <c r="D79" s="434">
        <f>+D68-D77</f>
        <v>2606636707</v>
      </c>
      <c r="E79" s="434">
        <f>+$D$79</f>
        <v>2606636707</v>
      </c>
      <c r="F79" s="434">
        <f t="shared" ref="F79:I79" si="14">+$D$79</f>
        <v>2606636707</v>
      </c>
      <c r="G79" s="434">
        <f t="shared" si="14"/>
        <v>2606636707</v>
      </c>
      <c r="H79" s="434">
        <f t="shared" si="14"/>
        <v>2606636707</v>
      </c>
      <c r="I79" s="434">
        <f t="shared" si="14"/>
        <v>2606636707</v>
      </c>
    </row>
    <row r="80" spans="3:9" s="79" customFormat="1" ht="15" x14ac:dyDescent="0.25">
      <c r="C80" s="88" t="s">
        <v>877</v>
      </c>
      <c r="D80" s="434">
        <v>0</v>
      </c>
      <c r="E80" s="434">
        <v>0</v>
      </c>
      <c r="F80" s="434">
        <v>0</v>
      </c>
      <c r="G80" s="434">
        <v>0</v>
      </c>
      <c r="H80" s="434">
        <v>0</v>
      </c>
      <c r="I80" s="434">
        <v>0</v>
      </c>
    </row>
    <row r="81" spans="3:9" s="79" customFormat="1" ht="15" x14ac:dyDescent="0.25">
      <c r="C81" s="88" t="s">
        <v>879</v>
      </c>
      <c r="D81" s="434">
        <v>0</v>
      </c>
      <c r="E81" s="434">
        <f>+E82*10%</f>
        <v>114042575.30396417</v>
      </c>
      <c r="F81" s="434">
        <f>+(F82*10%)+E81</f>
        <v>254742141.13756061</v>
      </c>
      <c r="G81" s="434">
        <f>+(G82*10%)+F81</f>
        <v>421374166.86784506</v>
      </c>
      <c r="H81" s="434">
        <f>+(H82*10%)+G81</f>
        <v>608486047.26899529</v>
      </c>
      <c r="I81" s="434">
        <f>+(I82*10%)+H81</f>
        <v>812503623.18822837</v>
      </c>
    </row>
    <row r="82" spans="3:9" s="79" customFormat="1" ht="15" x14ac:dyDescent="0.25">
      <c r="C82" s="88" t="s">
        <v>880</v>
      </c>
      <c r="D82" s="434">
        <v>0</v>
      </c>
      <c r="E82" s="434">
        <f>+'Estados de resultados'!C36</f>
        <v>1140425753.0396416</v>
      </c>
      <c r="F82" s="434">
        <f>+'Estados de resultados'!D36</f>
        <v>1406995658.3359642</v>
      </c>
      <c r="G82" s="434">
        <f>+'Estados de resultados'!E36</f>
        <v>1666320257.3028448</v>
      </c>
      <c r="H82" s="434">
        <f>+'Estados de resultados'!F36</f>
        <v>1871118804.0115027</v>
      </c>
      <c r="I82" s="434">
        <f>+'Estados de resultados'!G36</f>
        <v>2040175759.1923301</v>
      </c>
    </row>
    <row r="83" spans="3:9" s="79" customFormat="1" ht="15" x14ac:dyDescent="0.25">
      <c r="C83" s="88" t="s">
        <v>878</v>
      </c>
      <c r="D83" s="434">
        <v>0</v>
      </c>
      <c r="E83" s="434">
        <v>0</v>
      </c>
      <c r="F83" s="434">
        <f>+E82</f>
        <v>1140425753.0396416</v>
      </c>
      <c r="G83" s="434">
        <f>+F82+F83</f>
        <v>2547421411.3756056</v>
      </c>
      <c r="H83" s="434">
        <f>+G83+G82</f>
        <v>4213741668.6784506</v>
      </c>
      <c r="I83" s="434">
        <f>+H83+H82</f>
        <v>6084860472.6899529</v>
      </c>
    </row>
    <row r="84" spans="3:9" s="79" customFormat="1" ht="15.75" thickBot="1" x14ac:dyDescent="0.3">
      <c r="C84" s="96" t="s">
        <v>881</v>
      </c>
      <c r="D84" s="442">
        <f>SUM(D79:D82)</f>
        <v>2606636707</v>
      </c>
      <c r="E84" s="442">
        <f>SUM(E79:E82)</f>
        <v>3861105035.343606</v>
      </c>
      <c r="F84" s="442">
        <f>SUM(F79:F83)</f>
        <v>5408800259.5131664</v>
      </c>
      <c r="G84" s="442">
        <f t="shared" ref="G84:I84" si="15">SUM(G79:G83)</f>
        <v>7241752542.5462952</v>
      </c>
      <c r="H84" s="442">
        <f t="shared" si="15"/>
        <v>9299983226.95895</v>
      </c>
      <c r="I84" s="442">
        <f t="shared" si="15"/>
        <v>11544176562.070511</v>
      </c>
    </row>
    <row r="85" spans="3:9" s="79" customFormat="1" ht="16.5" thickTop="1" thickBot="1" x14ac:dyDescent="0.3">
      <c r="C85" s="97" t="s">
        <v>882</v>
      </c>
      <c r="D85" s="443">
        <f t="shared" ref="D85:I85" si="16">+D77+D84</f>
        <v>4606636707</v>
      </c>
      <c r="E85" s="443">
        <f t="shared" si="16"/>
        <v>5422188670.6320477</v>
      </c>
      <c r="F85" s="443">
        <f t="shared" si="16"/>
        <v>6336618561.3768368</v>
      </c>
      <c r="G85" s="443">
        <f t="shared" si="16"/>
        <v>7406553447.1147079</v>
      </c>
      <c r="H85" s="443">
        <f t="shared" si="16"/>
        <v>9485038932.8501968</v>
      </c>
      <c r="I85" s="443">
        <f t="shared" si="16"/>
        <v>11745952186.606016</v>
      </c>
    </row>
    <row r="86" spans="3:9" s="79" customFormat="1" ht="15.75" thickTop="1" x14ac:dyDescent="0.25">
      <c r="C86" s="98" t="s">
        <v>883</v>
      </c>
      <c r="D86" s="444">
        <f t="shared" ref="D86:I86" si="17">+D68-D85</f>
        <v>0</v>
      </c>
      <c r="E86" s="444">
        <f t="shared" si="17"/>
        <v>-0.33677482604980469</v>
      </c>
      <c r="F86" s="444">
        <f t="shared" si="17"/>
        <v>0.14344692230224609</v>
      </c>
      <c r="G86" s="444">
        <f t="shared" si="17"/>
        <v>-0.1481170654296875</v>
      </c>
      <c r="H86" s="444">
        <f t="shared" si="17"/>
        <v>-0.3053436279296875</v>
      </c>
      <c r="I86" s="444">
        <f t="shared" si="17"/>
        <v>0.12603759765625</v>
      </c>
    </row>
    <row r="87" spans="3:9" s="79" customFormat="1" ht="15" x14ac:dyDescent="0.25"/>
    <row r="88" spans="3:9" s="79" customFormat="1" ht="15" x14ac:dyDescent="0.25">
      <c r="C88" s="80"/>
      <c r="D88" s="82"/>
      <c r="E88" s="82"/>
    </row>
    <row r="89" spans="3:9" s="79" customFormat="1" ht="15" x14ac:dyDescent="0.25">
      <c r="C89" s="80"/>
      <c r="D89" s="82"/>
      <c r="E89" s="82"/>
    </row>
    <row r="90" spans="3:9" s="79" customFormat="1" ht="15" x14ac:dyDescent="0.25">
      <c r="C90" s="110" t="s">
        <v>1272</v>
      </c>
      <c r="D90" s="82">
        <f>+D68-D77</f>
        <v>2606636707</v>
      </c>
      <c r="E90" s="82"/>
    </row>
    <row r="91" spans="3:9" s="79" customFormat="1" ht="15" x14ac:dyDescent="0.25">
      <c r="C91" s="80"/>
      <c r="D91" s="82"/>
      <c r="E91" s="82"/>
    </row>
    <row r="92" spans="3:9" s="79" customFormat="1" ht="15" x14ac:dyDescent="0.25">
      <c r="C92" s="110" t="s">
        <v>1273</v>
      </c>
      <c r="D92" s="244">
        <f>+D77/D90</f>
        <v>0.76727224573685093</v>
      </c>
      <c r="E92" s="82"/>
    </row>
    <row r="93" spans="3:9" s="79" customFormat="1" ht="15" x14ac:dyDescent="0.25">
      <c r="C93" s="80"/>
      <c r="D93" s="82"/>
      <c r="E93" s="82"/>
    </row>
    <row r="94" spans="3:9" s="79" customFormat="1" ht="15" x14ac:dyDescent="0.25">
      <c r="C94" s="80"/>
      <c r="D94" s="82"/>
      <c r="E94" s="82"/>
    </row>
    <row r="95" spans="3:9" s="79" customFormat="1" ht="15" x14ac:dyDescent="0.25">
      <c r="C95" s="80"/>
      <c r="D95" s="82"/>
      <c r="E95" s="82"/>
      <c r="F95" s="181" t="s">
        <v>1332</v>
      </c>
    </row>
    <row r="96" spans="3:9" s="79" customFormat="1" ht="15" x14ac:dyDescent="0.25">
      <c r="C96" s="80"/>
      <c r="D96" s="82"/>
      <c r="E96" s="82"/>
    </row>
    <row r="97" spans="3:12" s="79" customFormat="1" ht="15" x14ac:dyDescent="0.25">
      <c r="C97" s="80"/>
      <c r="D97" s="82"/>
      <c r="E97" s="82"/>
      <c r="F97" s="181" t="s">
        <v>1331</v>
      </c>
    </row>
    <row r="98" spans="3:12" s="79" customFormat="1" ht="15" x14ac:dyDescent="0.25">
      <c r="C98" s="80"/>
      <c r="D98" s="82"/>
      <c r="E98" s="82"/>
    </row>
    <row r="99" spans="3:12" s="79" customFormat="1" ht="15" x14ac:dyDescent="0.25">
      <c r="C99" s="728" t="s">
        <v>1278</v>
      </c>
      <c r="D99" s="728"/>
      <c r="E99" s="728"/>
      <c r="F99" s="728"/>
      <c r="G99" s="728"/>
      <c r="H99" s="238"/>
      <c r="I99" s="238"/>
      <c r="J99" s="238"/>
      <c r="K99" s="238"/>
      <c r="L99" s="238"/>
    </row>
    <row r="100" spans="3:12" s="79" customFormat="1" ht="15" x14ac:dyDescent="0.25">
      <c r="C100" s="80"/>
      <c r="D100" s="82"/>
      <c r="E100" s="82"/>
    </row>
    <row r="101" spans="3:12" s="79" customFormat="1" ht="15.75" thickBot="1" x14ac:dyDescent="0.3">
      <c r="C101" s="80"/>
      <c r="D101" s="85" t="s">
        <v>1277</v>
      </c>
      <c r="E101" s="85" t="s">
        <v>1458</v>
      </c>
      <c r="F101" s="85" t="s">
        <v>1459</v>
      </c>
      <c r="G101" s="85" t="s">
        <v>1275</v>
      </c>
      <c r="H101" s="332"/>
      <c r="I101" s="332"/>
      <c r="J101" s="332"/>
      <c r="K101" s="332"/>
      <c r="L101" s="332"/>
    </row>
    <row r="102" spans="3:12" s="79" customFormat="1" ht="15.75" thickTop="1" x14ac:dyDescent="0.25">
      <c r="C102" s="80"/>
      <c r="D102" s="82"/>
      <c r="F102" s="82"/>
      <c r="H102" s="333"/>
      <c r="I102" s="333"/>
      <c r="J102" s="333"/>
      <c r="K102" s="333"/>
      <c r="L102" s="333"/>
    </row>
    <row r="103" spans="3:12" s="79" customFormat="1" ht="15.75" thickBot="1" x14ac:dyDescent="0.3">
      <c r="C103" s="85" t="s">
        <v>1275</v>
      </c>
      <c r="D103" s="102"/>
      <c r="F103" s="102"/>
      <c r="H103" s="245"/>
      <c r="I103" s="245"/>
      <c r="J103" s="245"/>
      <c r="K103" s="245"/>
      <c r="L103" s="245"/>
    </row>
    <row r="104" spans="3:12" s="79" customFormat="1" ht="15.75" thickTop="1" x14ac:dyDescent="0.25">
      <c r="C104" s="80" t="s">
        <v>1276</v>
      </c>
      <c r="D104" s="102">
        <f>+D61</f>
        <v>2794100000</v>
      </c>
      <c r="E104" s="102">
        <f>+D104*10%</f>
        <v>279410000</v>
      </c>
      <c r="F104" s="245">
        <v>30</v>
      </c>
      <c r="G104" s="102">
        <f>+SLN(D104,E104,F104)</f>
        <v>83823000</v>
      </c>
      <c r="H104" s="102"/>
      <c r="I104" s="245"/>
      <c r="J104" s="245"/>
      <c r="K104" s="245"/>
      <c r="L104" s="245"/>
    </row>
    <row r="105" spans="3:12" s="79" customFormat="1" ht="15" x14ac:dyDescent="0.25">
      <c r="C105" s="80" t="str">
        <f>+C62</f>
        <v>Muebles enseres, equipos</v>
      </c>
      <c r="D105" s="102">
        <f>+D62</f>
        <v>725776707</v>
      </c>
      <c r="E105" s="102">
        <f>+D105*10%</f>
        <v>72577670.700000003</v>
      </c>
      <c r="F105" s="245">
        <v>15</v>
      </c>
      <c r="G105" s="102">
        <f>+SLN(D105,E105,F105)</f>
        <v>43546602.419999994</v>
      </c>
      <c r="H105" s="102"/>
      <c r="I105" s="245"/>
      <c r="J105" s="245"/>
      <c r="K105" s="245"/>
      <c r="L105" s="245"/>
    </row>
    <row r="106" spans="3:12" s="79" customFormat="1" ht="15" x14ac:dyDescent="0.25">
      <c r="C106" s="80"/>
      <c r="D106" s="102"/>
      <c r="F106" s="102"/>
      <c r="H106" s="245"/>
      <c r="I106" s="245"/>
      <c r="J106" s="245"/>
      <c r="K106" s="245"/>
      <c r="L106" s="245"/>
    </row>
    <row r="107" spans="3:12" s="79" customFormat="1" ht="15" x14ac:dyDescent="0.25">
      <c r="C107" s="80"/>
      <c r="D107" s="102"/>
      <c r="F107" s="102"/>
      <c r="H107" s="245"/>
      <c r="I107" s="245"/>
      <c r="J107" s="245"/>
      <c r="K107" s="245"/>
      <c r="L107" s="245"/>
    </row>
    <row r="108" spans="3:12" s="79" customFormat="1" ht="15.75" thickBot="1" x14ac:dyDescent="0.3">
      <c r="C108" s="85" t="s">
        <v>538</v>
      </c>
      <c r="D108" s="85" t="s">
        <v>1460</v>
      </c>
      <c r="E108" s="85" t="s">
        <v>1461</v>
      </c>
      <c r="F108" s="85"/>
      <c r="G108" s="85"/>
      <c r="H108" s="245"/>
      <c r="I108" s="245"/>
      <c r="J108" s="245"/>
      <c r="K108" s="245"/>
      <c r="L108" s="245"/>
    </row>
    <row r="109" spans="3:12" s="79" customFormat="1" ht="15.75" thickTop="1" x14ac:dyDescent="0.25">
      <c r="C109" s="80"/>
      <c r="D109" s="102"/>
      <c r="F109" s="102"/>
      <c r="H109" s="245"/>
      <c r="I109" s="245"/>
      <c r="J109" s="245"/>
      <c r="K109" s="245"/>
      <c r="L109" s="245"/>
    </row>
    <row r="110" spans="3:12" s="79" customFormat="1" ht="15" x14ac:dyDescent="0.25">
      <c r="C110" s="245">
        <v>0</v>
      </c>
      <c r="D110" s="102">
        <v>0</v>
      </c>
      <c r="E110" s="102">
        <v>0</v>
      </c>
      <c r="F110" s="102"/>
      <c r="H110" s="245"/>
      <c r="I110" s="245"/>
      <c r="J110" s="245"/>
      <c r="K110" s="245"/>
      <c r="L110" s="245"/>
    </row>
    <row r="111" spans="3:12" s="79" customFormat="1" ht="15" x14ac:dyDescent="0.25">
      <c r="C111" s="353">
        <v>1</v>
      </c>
      <c r="D111" s="102">
        <f>+$G$104+$G$105</f>
        <v>127369602.41999999</v>
      </c>
      <c r="E111" s="102">
        <f>+D111</f>
        <v>127369602.41999999</v>
      </c>
      <c r="F111" s="102"/>
      <c r="H111" s="245"/>
      <c r="I111" s="245"/>
      <c r="J111" s="245"/>
      <c r="K111" s="245"/>
      <c r="L111" s="245"/>
    </row>
    <row r="112" spans="3:12" s="79" customFormat="1" ht="15" x14ac:dyDescent="0.25">
      <c r="C112" s="353">
        <v>2</v>
      </c>
      <c r="D112" s="102">
        <f t="shared" ref="D112:D115" si="18">+$G$104+$G$105</f>
        <v>127369602.41999999</v>
      </c>
      <c r="E112" s="102">
        <f>+E111+D112</f>
        <v>254739204.83999997</v>
      </c>
      <c r="F112" s="102"/>
      <c r="H112" s="245"/>
      <c r="I112" s="245"/>
      <c r="J112" s="245"/>
      <c r="K112" s="245"/>
      <c r="L112" s="245"/>
    </row>
    <row r="113" spans="3:12" s="79" customFormat="1" ht="15" x14ac:dyDescent="0.25">
      <c r="C113" s="353">
        <v>3</v>
      </c>
      <c r="D113" s="102">
        <f t="shared" si="18"/>
        <v>127369602.41999999</v>
      </c>
      <c r="E113" s="102">
        <f t="shared" ref="E113:E115" si="19">+E112+D113</f>
        <v>382108807.25999999</v>
      </c>
      <c r="F113" s="102"/>
      <c r="H113" s="245"/>
      <c r="I113" s="245"/>
      <c r="J113" s="245"/>
      <c r="K113" s="245"/>
      <c r="L113" s="245"/>
    </row>
    <row r="114" spans="3:12" s="79" customFormat="1" ht="15" x14ac:dyDescent="0.25">
      <c r="C114" s="353">
        <v>4</v>
      </c>
      <c r="D114" s="102">
        <f t="shared" si="18"/>
        <v>127369602.41999999</v>
      </c>
      <c r="E114" s="102">
        <f t="shared" si="19"/>
        <v>509478409.67999995</v>
      </c>
      <c r="F114" s="102"/>
      <c r="H114" s="245"/>
      <c r="I114" s="245"/>
      <c r="J114" s="245"/>
      <c r="K114" s="245"/>
      <c r="L114" s="245"/>
    </row>
    <row r="115" spans="3:12" s="79" customFormat="1" ht="15" x14ac:dyDescent="0.25">
      <c r="C115" s="353">
        <v>5</v>
      </c>
      <c r="D115" s="102">
        <f t="shared" si="18"/>
        <v>127369602.41999999</v>
      </c>
      <c r="E115" s="102">
        <f t="shared" si="19"/>
        <v>636848012.0999999</v>
      </c>
      <c r="F115" s="102"/>
      <c r="H115" s="245"/>
      <c r="I115" s="245"/>
      <c r="J115" s="245"/>
      <c r="K115" s="245"/>
      <c r="L115" s="245"/>
    </row>
    <row r="116" spans="3:12" s="79" customFormat="1" ht="15" x14ac:dyDescent="0.25">
      <c r="C116" s="351"/>
      <c r="D116" s="351"/>
      <c r="E116" s="351"/>
      <c r="F116" s="351"/>
      <c r="G116" s="352"/>
      <c r="H116" s="245"/>
      <c r="I116" s="245"/>
      <c r="J116" s="245"/>
      <c r="K116" s="245"/>
      <c r="L116" s="245"/>
    </row>
    <row r="117" spans="3:12" s="79" customFormat="1" ht="15" x14ac:dyDescent="0.25">
      <c r="C117" s="80"/>
      <c r="D117" s="82"/>
      <c r="E117" s="82"/>
    </row>
    <row r="118" spans="3:12" s="79" customFormat="1" ht="15" x14ac:dyDescent="0.25">
      <c r="C118" s="80"/>
      <c r="D118" s="82"/>
      <c r="E118" s="82"/>
    </row>
    <row r="119" spans="3:12" s="79" customFormat="1" ht="15" x14ac:dyDescent="0.25">
      <c r="C119" s="728" t="s">
        <v>1280</v>
      </c>
      <c r="D119" s="728"/>
      <c r="E119" s="728"/>
      <c r="F119" s="728"/>
      <c r="G119" s="728"/>
      <c r="H119" s="728"/>
      <c r="I119" s="728"/>
      <c r="J119" s="728"/>
    </row>
    <row r="120" spans="3:12" s="79" customFormat="1" ht="15" x14ac:dyDescent="0.25">
      <c r="C120" s="80"/>
      <c r="D120" s="82"/>
      <c r="E120" s="82"/>
    </row>
    <row r="121" spans="3:12" s="79" customFormat="1" ht="15.75" thickBot="1" x14ac:dyDescent="0.3">
      <c r="C121" s="80"/>
      <c r="D121" s="85" t="s">
        <v>1289</v>
      </c>
      <c r="E121" s="85" t="s">
        <v>0</v>
      </c>
      <c r="F121" s="85" t="s">
        <v>1</v>
      </c>
      <c r="G121" s="85" t="s">
        <v>2</v>
      </c>
      <c r="H121" s="85" t="s">
        <v>496</v>
      </c>
      <c r="I121" s="85" t="s">
        <v>497</v>
      </c>
    </row>
    <row r="122" spans="3:12" s="79" customFormat="1" ht="15.75" thickTop="1" x14ac:dyDescent="0.25">
      <c r="C122" s="80"/>
      <c r="D122" s="82"/>
      <c r="E122" s="353">
        <v>2022</v>
      </c>
      <c r="F122" s="561">
        <v>2023</v>
      </c>
      <c r="G122" s="561">
        <v>2024</v>
      </c>
      <c r="H122" s="561">
        <v>2025</v>
      </c>
      <c r="I122" s="561">
        <v>2026</v>
      </c>
    </row>
    <row r="123" spans="3:12" s="79" customFormat="1" ht="15" x14ac:dyDescent="0.25">
      <c r="C123" s="80" t="s">
        <v>1281</v>
      </c>
      <c r="D123" s="432">
        <v>0</v>
      </c>
      <c r="E123" s="432">
        <f>+D149</f>
        <v>50000000</v>
      </c>
      <c r="F123" s="436">
        <f>+E149</f>
        <v>766089630.55734932</v>
      </c>
      <c r="G123" s="436">
        <f>+F149</f>
        <v>1640825501.3207743</v>
      </c>
      <c r="H123" s="436">
        <f>+G149</f>
        <v>2645850475.9384508</v>
      </c>
      <c r="I123" s="436">
        <f>+H149</f>
        <v>4644338882.3699541</v>
      </c>
      <c r="J123" s="247"/>
    </row>
    <row r="124" spans="3:12" s="79" customFormat="1" ht="15.75" thickBot="1" x14ac:dyDescent="0.3">
      <c r="C124" s="246" t="s">
        <v>1282</v>
      </c>
      <c r="D124" s="432"/>
      <c r="E124" s="432"/>
      <c r="F124" s="436"/>
      <c r="G124" s="436"/>
      <c r="H124" s="436"/>
      <c r="I124" s="436"/>
      <c r="J124" s="247"/>
    </row>
    <row r="125" spans="3:12" s="79" customFormat="1" ht="15.75" thickTop="1" x14ac:dyDescent="0.25">
      <c r="C125" s="80" t="s">
        <v>1283</v>
      </c>
      <c r="D125" s="432">
        <v>0</v>
      </c>
      <c r="E125" s="432">
        <f>+'Estados de resultados'!C12</f>
        <v>3170984583.9858603</v>
      </c>
      <c r="F125" s="432">
        <f>+'Estados de resultados'!D12</f>
        <v>3392303091.1410861</v>
      </c>
      <c r="G125" s="432">
        <f>+'Estados de resultados'!E12</f>
        <v>3606311284.1312299</v>
      </c>
      <c r="H125" s="432">
        <f>+'Estados de resultados'!F12</f>
        <v>3791836485.9938164</v>
      </c>
      <c r="I125" s="432">
        <f>+'Estados de resultados'!G12</f>
        <v>4040439487.5696435</v>
      </c>
      <c r="J125" s="247"/>
    </row>
    <row r="126" spans="3:12" s="79" customFormat="1" ht="15" x14ac:dyDescent="0.25">
      <c r="C126" s="80" t="s">
        <v>1284</v>
      </c>
      <c r="D126" s="432">
        <v>0</v>
      </c>
      <c r="E126" s="432"/>
      <c r="F126" s="436"/>
      <c r="G126" s="436"/>
      <c r="H126" s="436"/>
      <c r="I126" s="436"/>
      <c r="J126" s="247"/>
    </row>
    <row r="127" spans="3:12" s="79" customFormat="1" ht="15" x14ac:dyDescent="0.25">
      <c r="C127" s="80" t="s">
        <v>1285</v>
      </c>
      <c r="D127" s="432">
        <f>+D79</f>
        <v>2606636707</v>
      </c>
      <c r="E127" s="432"/>
      <c r="F127" s="436"/>
      <c r="G127" s="436"/>
      <c r="H127" s="436"/>
      <c r="I127" s="436"/>
      <c r="J127" s="247"/>
    </row>
    <row r="128" spans="3:12" s="79" customFormat="1" ht="15" x14ac:dyDescent="0.25">
      <c r="C128" s="80" t="s">
        <v>1287</v>
      </c>
      <c r="D128" s="102">
        <f>+D77</f>
        <v>2000000000</v>
      </c>
      <c r="E128" s="102"/>
      <c r="F128" s="249"/>
      <c r="G128" s="249"/>
      <c r="H128" s="249"/>
      <c r="I128" s="249"/>
      <c r="J128" s="247"/>
    </row>
    <row r="129" spans="3:10" s="79" customFormat="1" ht="15.75" thickBot="1" x14ac:dyDescent="0.3">
      <c r="C129" s="246" t="s">
        <v>1286</v>
      </c>
      <c r="D129" s="106">
        <f t="shared" ref="D129:I129" si="20">+SUM(D123:D128)</f>
        <v>4606636707</v>
      </c>
      <c r="E129" s="106">
        <f t="shared" si="20"/>
        <v>3220984583.9858603</v>
      </c>
      <c r="F129" s="106">
        <f t="shared" si="20"/>
        <v>4158392721.6984353</v>
      </c>
      <c r="G129" s="106">
        <f t="shared" si="20"/>
        <v>5247136785.4520044</v>
      </c>
      <c r="H129" s="106">
        <f t="shared" si="20"/>
        <v>6437686961.9322672</v>
      </c>
      <c r="I129" s="106">
        <f t="shared" si="20"/>
        <v>8684778369.9395981</v>
      </c>
    </row>
    <row r="130" spans="3:10" s="79" customFormat="1" ht="16.5" thickTop="1" thickBot="1" x14ac:dyDescent="0.3">
      <c r="C130" s="246" t="s">
        <v>1294</v>
      </c>
      <c r="D130" s="249"/>
      <c r="E130" s="249"/>
      <c r="F130" s="249"/>
      <c r="G130" s="249"/>
      <c r="H130" s="249"/>
      <c r="I130" s="249"/>
    </row>
    <row r="131" spans="3:10" s="79" customFormat="1" ht="15.75" thickTop="1" x14ac:dyDescent="0.25">
      <c r="C131" s="80" t="s">
        <v>1288</v>
      </c>
      <c r="D131" s="249">
        <f>+D62+D61</f>
        <v>3519876707</v>
      </c>
      <c r="E131" s="249">
        <f>+'Estados de resultados'!C13</f>
        <v>189887275.37334052</v>
      </c>
      <c r="F131" s="249">
        <f>+'Estados de resultados'!D13</f>
        <v>198516402.9516421</v>
      </c>
      <c r="G131" s="249">
        <f>+'Estados de resultados'!E13</f>
        <v>207255954.72521564</v>
      </c>
      <c r="H131" s="249">
        <f>+'Estados de resultados'!F13</f>
        <v>215822989.63389674</v>
      </c>
      <c r="I131" s="249">
        <f>+'Estados de resultados'!G13</f>
        <v>225482764.35299304</v>
      </c>
    </row>
    <row r="132" spans="3:10" s="79" customFormat="1" ht="15" x14ac:dyDescent="0.25">
      <c r="C132" s="80" t="s">
        <v>1290</v>
      </c>
      <c r="D132" s="249">
        <v>0</v>
      </c>
      <c r="E132" s="249"/>
      <c r="F132" s="249"/>
      <c r="G132" s="249"/>
      <c r="H132" s="249"/>
      <c r="I132" s="249"/>
    </row>
    <row r="133" spans="3:10" s="79" customFormat="1" ht="15" x14ac:dyDescent="0.25">
      <c r="C133" s="80" t="str">
        <f>+'Estados de resultados'!B17</f>
        <v xml:space="preserve">Gastos de ventas, generales y administrativos </v>
      </c>
      <c r="D133" s="249">
        <v>0</v>
      </c>
      <c r="E133" s="249">
        <f>+'Estados de resultados'!C17</f>
        <v>1290771615.3578956</v>
      </c>
      <c r="F133" s="249">
        <f>+'Estados de resultados'!D17</f>
        <v>1341111708.3568535</v>
      </c>
      <c r="G133" s="249">
        <f>+'Estados de resultados'!E17</f>
        <v>1393415064.9827707</v>
      </c>
      <c r="H133" s="249">
        <f>+'Estados de resultados'!F17</f>
        <v>1447758252.5170987</v>
      </c>
      <c r="I133" s="249">
        <f>+'Estados de resultados'!G17</f>
        <v>1504220824.3652656</v>
      </c>
    </row>
    <row r="134" spans="3:10" ht="0" hidden="1" customHeight="1" x14ac:dyDescent="0.25">
      <c r="D134" s="249"/>
      <c r="E134" s="249"/>
      <c r="F134" s="249"/>
      <c r="G134" s="249"/>
      <c r="H134" s="249"/>
      <c r="I134" s="249"/>
    </row>
    <row r="135" spans="3:10" s="79" customFormat="1" ht="15" x14ac:dyDescent="0.25">
      <c r="C135" s="80" t="str">
        <f>+'Estados de resultados'!B18</f>
        <v xml:space="preserve">Investigación,desarrollo y publicidad </v>
      </c>
      <c r="D135" s="249">
        <f>+D67</f>
        <v>68560000</v>
      </c>
      <c r="E135" s="249">
        <f>+'Estados de resultados'!C18</f>
        <v>40000000</v>
      </c>
      <c r="F135" s="249">
        <f>+'Estados de resultados'!D18</f>
        <v>20000000</v>
      </c>
      <c r="G135" s="249">
        <f>+'Estados de resultados'!E18</f>
        <v>20000000</v>
      </c>
      <c r="H135" s="249">
        <f>+'Estados de resultados'!F18</f>
        <v>0</v>
      </c>
      <c r="I135" s="249">
        <f>+'Estados de resultados'!G18</f>
        <v>0</v>
      </c>
    </row>
    <row r="136" spans="3:10" s="79" customFormat="1" ht="15" x14ac:dyDescent="0.25">
      <c r="C136" s="80" t="s">
        <v>1292</v>
      </c>
      <c r="D136" s="249">
        <f>+D60</f>
        <v>968200000</v>
      </c>
      <c r="E136" s="249">
        <v>0</v>
      </c>
      <c r="F136" s="249">
        <v>0</v>
      </c>
      <c r="G136" s="249">
        <v>0</v>
      </c>
      <c r="H136" s="249">
        <v>0</v>
      </c>
      <c r="I136" s="249">
        <v>0</v>
      </c>
      <c r="J136" s="102"/>
    </row>
    <row r="137" spans="3:10" s="79" customFormat="1" ht="15.75" thickBot="1" x14ac:dyDescent="0.3">
      <c r="C137" s="246" t="s">
        <v>1293</v>
      </c>
      <c r="D137" s="106">
        <f t="shared" ref="D137:I137" si="21">+SUM(D131:D136)</f>
        <v>4556636707</v>
      </c>
      <c r="E137" s="106">
        <f t="shared" si="21"/>
        <v>1520658890.7312362</v>
      </c>
      <c r="F137" s="106">
        <f t="shared" si="21"/>
        <v>1559628111.3084955</v>
      </c>
      <c r="G137" s="106">
        <f t="shared" si="21"/>
        <v>1620671019.7079864</v>
      </c>
      <c r="H137" s="106">
        <f t="shared" si="21"/>
        <v>1663581242.1509955</v>
      </c>
      <c r="I137" s="106">
        <f t="shared" si="21"/>
        <v>1729703588.7182586</v>
      </c>
      <c r="J137" s="102"/>
    </row>
    <row r="138" spans="3:10" s="79" customFormat="1" ht="15.75" thickTop="1" x14ac:dyDescent="0.25">
      <c r="C138" s="80"/>
      <c r="D138" s="102"/>
      <c r="E138" s="102"/>
      <c r="F138" s="102"/>
      <c r="G138" s="102"/>
      <c r="H138" s="102"/>
      <c r="I138" s="102"/>
      <c r="J138" s="102"/>
    </row>
    <row r="139" spans="3:10" s="79" customFormat="1" ht="15.75" thickBot="1" x14ac:dyDescent="0.3">
      <c r="C139" s="170"/>
      <c r="D139" s="171">
        <f t="shared" ref="D139:I139" si="22">+D129-D137</f>
        <v>50000000</v>
      </c>
      <c r="E139" s="171">
        <f t="shared" si="22"/>
        <v>1700325693.2546241</v>
      </c>
      <c r="F139" s="171">
        <f t="shared" si="22"/>
        <v>2598764610.3899398</v>
      </c>
      <c r="G139" s="171">
        <f t="shared" si="22"/>
        <v>3626465765.7440181</v>
      </c>
      <c r="H139" s="171">
        <f t="shared" si="22"/>
        <v>4774105719.7812719</v>
      </c>
      <c r="I139" s="171">
        <f t="shared" si="22"/>
        <v>6955074781.2213392</v>
      </c>
      <c r="J139" s="102"/>
    </row>
    <row r="140" spans="3:10" s="79" customFormat="1" ht="15.75" thickTop="1" x14ac:dyDescent="0.25">
      <c r="C140" s="80" t="s">
        <v>1295</v>
      </c>
      <c r="D140" s="102"/>
      <c r="E140" s="102">
        <f>+'Estados de resultados'!C22</f>
        <v>127369602.41999999</v>
      </c>
      <c r="F140" s="102">
        <f>+'Estados de resultados'!D22</f>
        <v>127369602.41999999</v>
      </c>
      <c r="G140" s="102">
        <f>+'Estados de resultados'!E22</f>
        <v>127369602.41999999</v>
      </c>
      <c r="H140" s="102">
        <f>+'Estados de resultados'!F22</f>
        <v>127369602.41999999</v>
      </c>
      <c r="I140" s="102">
        <f>+'Estados de resultados'!G22</f>
        <v>127369602.41999999</v>
      </c>
      <c r="J140" s="102"/>
    </row>
    <row r="141" spans="3:10" s="79" customFormat="1" ht="15" x14ac:dyDescent="0.25">
      <c r="C141" s="80" t="s">
        <v>1296</v>
      </c>
      <c r="D141" s="102"/>
      <c r="E141" s="102">
        <f>+'Estados de resultados'!C28+'Estados de resultados'!C29+'Estados de resultados'!C30</f>
        <v>338148660.04761285</v>
      </c>
      <c r="F141" s="102">
        <f>+'Estados de resultados'!D28+'Estados de resultados'!D29+'Estados de resultados'!D30</f>
        <v>231774224.50745213</v>
      </c>
      <c r="G141" s="102">
        <f>+'Estados de resultados'!E28+'Estados de resultados'!E29+'Estados de resultados'!E30</f>
        <v>104236786.74575466</v>
      </c>
      <c r="H141" s="102">
        <f>+'Estados de resultados'!F28+'Estados de resultados'!F29+'Estados de resultados'!F30</f>
        <v>26542855.401956715</v>
      </c>
      <c r="I141" s="102">
        <f>+'Estados de resultados'!G28+'Estados de resultados'!G29+'Estados de resultados'!G30</f>
        <v>28283076.412987508</v>
      </c>
      <c r="J141" s="102"/>
    </row>
    <row r="142" spans="3:10" s="79" customFormat="1" ht="15" x14ac:dyDescent="0.25">
      <c r="C142" s="80" t="s">
        <v>1467</v>
      </c>
      <c r="D142" s="102"/>
      <c r="E142" s="102">
        <f>+'Estados de resultados'!C23</f>
        <v>68407682.443364039</v>
      </c>
      <c r="F142" s="102">
        <f>+'Estados de resultados'!D23</f>
        <v>72617922.189328015</v>
      </c>
      <c r="G142" s="102">
        <f>+'Estados de resultados'!E23</f>
        <v>77087286.613769069</v>
      </c>
      <c r="H142" s="102">
        <f>+'Estados de resultados'!F23</f>
        <v>81831723.88188608</v>
      </c>
      <c r="I142" s="102">
        <f>+'Estados de resultados'!G23</f>
        <v>86868163.709437802</v>
      </c>
      <c r="J142" s="102"/>
    </row>
    <row r="143" spans="3:10" s="79" customFormat="1" ht="15.75" thickBot="1" x14ac:dyDescent="0.3">
      <c r="C143" s="170"/>
      <c r="D143" s="171">
        <f t="shared" ref="D143:I143" si="23">+D139-D140-D141+D142</f>
        <v>50000000</v>
      </c>
      <c r="E143" s="171">
        <f t="shared" si="23"/>
        <v>1303215113.2303753</v>
      </c>
      <c r="F143" s="171">
        <f>+F139-F140-F141+F142</f>
        <v>2312238705.6518159</v>
      </c>
      <c r="G143" s="171">
        <f t="shared" si="23"/>
        <v>3471946663.1920323</v>
      </c>
      <c r="H143" s="171">
        <f t="shared" si="23"/>
        <v>4702024985.8412018</v>
      </c>
      <c r="I143" s="171">
        <f t="shared" si="23"/>
        <v>6886290266.0977888</v>
      </c>
      <c r="J143" s="102"/>
    </row>
    <row r="144" spans="3:10" s="79" customFormat="1" ht="15.75" thickTop="1" x14ac:dyDescent="0.25">
      <c r="C144" s="80" t="s">
        <v>1291</v>
      </c>
      <c r="D144" s="102">
        <v>0</v>
      </c>
      <c r="E144" s="102">
        <f>+'Estados de resultados'!C34</f>
        <v>112789360.19073378</v>
      </c>
      <c r="F144" s="102">
        <f>+'Estados de resultados'!D34</f>
        <v>139153416.75850195</v>
      </c>
      <c r="G144" s="102">
        <f>+'Estados de resultados'!E34</f>
        <v>164800904.56841323</v>
      </c>
      <c r="H144" s="102">
        <f>+'Estados de resultados'!F34</f>
        <v>185055705.89124751</v>
      </c>
      <c r="I144" s="102">
        <f>+'Estados de resultados'!G34</f>
        <v>201775624.53550515</v>
      </c>
    </row>
    <row r="145" spans="3:12" s="79" customFormat="1" ht="15.75" thickBot="1" x14ac:dyDescent="0.3">
      <c r="C145" s="170"/>
      <c r="D145" s="171">
        <f t="shared" ref="D145:I145" si="24">+D143-D144</f>
        <v>50000000</v>
      </c>
      <c r="E145" s="171">
        <f t="shared" si="24"/>
        <v>1190425753.0396416</v>
      </c>
      <c r="F145" s="171">
        <f t="shared" si="24"/>
        <v>2173085288.8933139</v>
      </c>
      <c r="G145" s="171">
        <f t="shared" si="24"/>
        <v>3307145758.6236191</v>
      </c>
      <c r="H145" s="171">
        <f t="shared" si="24"/>
        <v>4516969279.949954</v>
      </c>
      <c r="I145" s="171">
        <f t="shared" si="24"/>
        <v>6684514641.5622835</v>
      </c>
      <c r="J145" s="102"/>
    </row>
    <row r="146" spans="3:12" s="79" customFormat="1" ht="15.75" thickTop="1" x14ac:dyDescent="0.25">
      <c r="C146" s="80" t="s">
        <v>1295</v>
      </c>
      <c r="D146" s="102"/>
      <c r="E146" s="102">
        <f>+'Estados de resultados'!C22</f>
        <v>127369602.41999999</v>
      </c>
      <c r="F146" s="102">
        <f>+'Estados de resultados'!D22</f>
        <v>127369602.41999999</v>
      </c>
      <c r="G146" s="102">
        <f>+'Estados de resultados'!E22</f>
        <v>127369602.41999999</v>
      </c>
      <c r="H146" s="102">
        <f>+'Estados de resultados'!F22</f>
        <v>127369602.41999999</v>
      </c>
      <c r="I146" s="102">
        <f>+'Estados de resultados'!G22</f>
        <v>127369602.41999999</v>
      </c>
      <c r="J146" s="102"/>
    </row>
    <row r="147" spans="3:12" s="79" customFormat="1" ht="15" x14ac:dyDescent="0.25">
      <c r="C147" s="80" t="s">
        <v>1297</v>
      </c>
      <c r="D147" s="102"/>
      <c r="E147" s="102">
        <f>+SUM('Prestamo Créditos'!G3:G14)</f>
        <v>551705724.90229237</v>
      </c>
      <c r="F147" s="102">
        <f>+SUM('Prestamo Créditos'!G15:G26)</f>
        <v>659629389.99253964</v>
      </c>
      <c r="G147" s="102">
        <f>+SUM('Prestamo Créditos'!G27:G38)</f>
        <v>788664885.1051681</v>
      </c>
      <c r="H147" s="102"/>
      <c r="I147" s="102"/>
      <c r="J147" s="102"/>
    </row>
    <row r="148" spans="3:12" s="79" customFormat="1" ht="15" x14ac:dyDescent="0.25">
      <c r="C148" s="80" t="s">
        <v>1299</v>
      </c>
      <c r="D148" s="102"/>
      <c r="E148" s="102"/>
      <c r="F148" s="102"/>
      <c r="G148" s="102"/>
      <c r="H148" s="102"/>
      <c r="I148" s="102"/>
      <c r="J148" s="102"/>
    </row>
    <row r="149" spans="3:12" s="79" customFormat="1" ht="15.75" thickBot="1" x14ac:dyDescent="0.3">
      <c r="C149" s="246" t="s">
        <v>1634</v>
      </c>
      <c r="D149" s="437">
        <f>+D145-D146-D147</f>
        <v>50000000</v>
      </c>
      <c r="E149" s="437">
        <f>+E145+E146-E147</f>
        <v>766089630.55734932</v>
      </c>
      <c r="F149" s="437">
        <f t="shared" ref="F149:I149" si="25">+F145+F146-F147</f>
        <v>1640825501.3207743</v>
      </c>
      <c r="G149" s="437">
        <f t="shared" si="25"/>
        <v>2645850475.9384508</v>
      </c>
      <c r="H149" s="437">
        <f t="shared" si="25"/>
        <v>4644338882.3699541</v>
      </c>
      <c r="I149" s="437">
        <f t="shared" si="25"/>
        <v>6811884243.9822836</v>
      </c>
      <c r="J149" s="102"/>
    </row>
    <row r="150" spans="3:12" s="79" customFormat="1" ht="15" customHeight="1" thickTop="1" x14ac:dyDescent="0.25">
      <c r="C150" s="80"/>
      <c r="D150" s="102"/>
      <c r="E150" s="102"/>
      <c r="F150" s="102"/>
      <c r="G150" s="102"/>
      <c r="H150" s="102"/>
      <c r="I150" s="102"/>
      <c r="J150" s="102"/>
    </row>
    <row r="151" spans="3:12" s="79" customFormat="1" ht="15" customHeight="1" x14ac:dyDescent="0.25">
      <c r="C151" s="80"/>
      <c r="D151" s="102"/>
      <c r="E151" s="102"/>
      <c r="F151" s="102"/>
      <c r="G151" s="102"/>
      <c r="H151" s="102"/>
      <c r="I151" s="102"/>
      <c r="J151" s="102"/>
    </row>
    <row r="152" spans="3:12" s="79" customFormat="1" ht="15" customHeight="1" x14ac:dyDescent="0.25">
      <c r="C152" s="80"/>
      <c r="D152" s="102"/>
      <c r="E152" s="102"/>
      <c r="F152" s="102"/>
      <c r="G152" s="102"/>
      <c r="H152" s="102"/>
      <c r="I152" s="102"/>
      <c r="J152" s="102"/>
    </row>
    <row r="153" spans="3:12" s="79" customFormat="1" ht="15" customHeight="1" x14ac:dyDescent="0.25">
      <c r="C153" s="80"/>
      <c r="D153" s="102"/>
      <c r="E153" s="102"/>
      <c r="F153" s="102"/>
      <c r="G153" s="102"/>
      <c r="H153" s="102"/>
      <c r="I153" s="102"/>
      <c r="J153" s="102"/>
    </row>
    <row r="154" spans="3:12" s="79" customFormat="1" ht="15" customHeight="1" thickBot="1" x14ac:dyDescent="0.3">
      <c r="C154" s="273"/>
      <c r="D154" s="273" t="s">
        <v>538</v>
      </c>
      <c r="E154" s="246" t="s">
        <v>1322</v>
      </c>
      <c r="F154" s="246" t="s">
        <v>1323</v>
      </c>
      <c r="G154" s="275" t="s">
        <v>1540</v>
      </c>
      <c r="H154" s="286" t="s">
        <v>1329</v>
      </c>
      <c r="I154" s="286" t="s">
        <v>1330</v>
      </c>
      <c r="J154" s="102"/>
    </row>
    <row r="155" spans="3:12" s="79" customFormat="1" ht="15" customHeight="1" thickTop="1" x14ac:dyDescent="0.25">
      <c r="C155" s="274"/>
      <c r="E155" s="248"/>
      <c r="G155" s="337">
        <v>0.1</v>
      </c>
      <c r="H155" s="254"/>
      <c r="I155" s="253"/>
      <c r="J155" s="102"/>
    </row>
    <row r="156" spans="3:12" s="79" customFormat="1" ht="15" customHeight="1" x14ac:dyDescent="0.25">
      <c r="C156" s="274"/>
      <c r="E156" s="248"/>
      <c r="F156" s="248"/>
      <c r="G156" s="283" t="s">
        <v>1309</v>
      </c>
      <c r="H156" s="287"/>
      <c r="I156" s="253"/>
      <c r="J156" s="102"/>
    </row>
    <row r="157" spans="3:12" s="79" customFormat="1" ht="15" x14ac:dyDescent="0.25">
      <c r="C157" s="276" t="s">
        <v>1318</v>
      </c>
      <c r="D157" s="256">
        <v>0</v>
      </c>
      <c r="E157" s="253">
        <f>+'flujo de caja del inversionista'!C39</f>
        <v>-4556636707</v>
      </c>
      <c r="F157" s="288">
        <f>-PV($G$155,D157,0,E157)</f>
        <v>-4556636707</v>
      </c>
      <c r="G157" s="284"/>
      <c r="H157" s="287">
        <f>+E157</f>
        <v>-4556636707</v>
      </c>
      <c r="I157" s="271">
        <f>+F157</f>
        <v>-4556636707</v>
      </c>
      <c r="J157" s="102"/>
      <c r="K157" s="268"/>
      <c r="L157" s="269"/>
    </row>
    <row r="158" spans="3:12" s="79" customFormat="1" ht="15" x14ac:dyDescent="0.25">
      <c r="C158" s="276" t="s">
        <v>1311</v>
      </c>
      <c r="D158" s="256">
        <v>1</v>
      </c>
      <c r="E158" s="253">
        <f>+'flujo de caja del inversionista'!D39</f>
        <v>716089630.55734932</v>
      </c>
      <c r="F158" s="288">
        <f>-PV($G$155,D158,0,E158)</f>
        <v>650990573.23395383</v>
      </c>
      <c r="G158" s="284"/>
      <c r="H158" s="287">
        <f>+H157+E158</f>
        <v>-3840547076.4426508</v>
      </c>
      <c r="I158" s="271">
        <f>+I157+F158</f>
        <v>-3905646133.766046</v>
      </c>
      <c r="J158" s="102"/>
      <c r="K158" s="102"/>
      <c r="L158" s="102"/>
    </row>
    <row r="159" spans="3:12" s="79" customFormat="1" ht="15" x14ac:dyDescent="0.25">
      <c r="C159" s="276" t="s">
        <v>1312</v>
      </c>
      <c r="D159" s="256">
        <v>2</v>
      </c>
      <c r="E159" s="253">
        <f>+'flujo de caja del inversionista'!E39</f>
        <v>874735870.76342487</v>
      </c>
      <c r="F159" s="288">
        <f t="shared" ref="F159:F162" si="26">-PV($G$155,D159,0,E159)</f>
        <v>722922207.24249983</v>
      </c>
      <c r="G159" s="284"/>
      <c r="H159" s="287">
        <f>+H158+E159</f>
        <v>-2965811205.6792259</v>
      </c>
      <c r="I159" s="271">
        <f t="shared" ref="I159:I162" si="27">+I158+F159</f>
        <v>-3182723926.5235462</v>
      </c>
      <c r="J159" s="102"/>
      <c r="K159" s="268"/>
      <c r="L159" s="270"/>
    </row>
    <row r="160" spans="3:12" s="79" customFormat="1" ht="15" x14ac:dyDescent="0.25">
      <c r="C160" s="276" t="s">
        <v>1313</v>
      </c>
      <c r="D160" s="256">
        <v>3</v>
      </c>
      <c r="E160" s="253">
        <f>+'flujo de caja del inversionista'!F39</f>
        <v>1005024974.6176767</v>
      </c>
      <c r="F160" s="288">
        <f>-PV($G$155,D160,0,E160)</f>
        <v>755090138.70599282</v>
      </c>
      <c r="G160" s="284"/>
      <c r="H160" s="287">
        <f>+H159+E160</f>
        <v>-1960786231.0615492</v>
      </c>
      <c r="I160" s="271">
        <f t="shared" si="27"/>
        <v>-2427633787.8175535</v>
      </c>
      <c r="J160" s="102"/>
      <c r="K160" s="102"/>
      <c r="L160" s="102"/>
    </row>
    <row r="161" spans="3:12" s="79" customFormat="1" ht="15" x14ac:dyDescent="0.25">
      <c r="C161" s="276" t="s">
        <v>1314</v>
      </c>
      <c r="D161" s="256">
        <v>4</v>
      </c>
      <c r="E161" s="253">
        <f>+'flujo de caja del inversionista'!G39</f>
        <v>1998488406.4315026</v>
      </c>
      <c r="F161" s="288">
        <f t="shared" si="26"/>
        <v>1364994471.983814</v>
      </c>
      <c r="G161" s="284"/>
      <c r="H161" s="287">
        <f t="shared" ref="H161:H162" si="28">+H160+E161</f>
        <v>37702175.369953394</v>
      </c>
      <c r="I161" s="288">
        <f t="shared" si="27"/>
        <v>-1062639315.8337395</v>
      </c>
      <c r="J161" s="102"/>
      <c r="K161" s="102"/>
      <c r="L161" s="102"/>
    </row>
    <row r="162" spans="3:12" s="79" customFormat="1" ht="15" x14ac:dyDescent="0.25">
      <c r="C162" s="276" t="s">
        <v>1315</v>
      </c>
      <c r="D162" s="256">
        <v>5</v>
      </c>
      <c r="E162" s="253">
        <f>+'flujo de caja del inversionista'!H39</f>
        <v>2167545361.61233</v>
      </c>
      <c r="F162" s="288">
        <f t="shared" si="26"/>
        <v>1345875133.7230623</v>
      </c>
      <c r="G162" s="284"/>
      <c r="H162" s="287">
        <f t="shared" si="28"/>
        <v>2205247536.9822836</v>
      </c>
      <c r="I162" s="288">
        <f t="shared" si="27"/>
        <v>283235817.88932276</v>
      </c>
      <c r="J162" s="102"/>
      <c r="K162" s="102"/>
      <c r="L162" s="102"/>
    </row>
    <row r="163" spans="3:12" s="79" customFormat="1" ht="15" x14ac:dyDescent="0.25">
      <c r="C163" s="276" t="s">
        <v>1316</v>
      </c>
      <c r="D163" s="254"/>
      <c r="E163" s="277" t="s">
        <v>1317</v>
      </c>
      <c r="F163" s="253"/>
      <c r="G163" s="284"/>
      <c r="H163" s="287"/>
      <c r="I163" s="253"/>
      <c r="J163" s="102"/>
      <c r="K163" s="102"/>
      <c r="L163" s="102"/>
    </row>
    <row r="164" spans="3:12" s="79" customFormat="1" ht="15" x14ac:dyDescent="0.25">
      <c r="C164" s="276"/>
      <c r="D164" s="254"/>
      <c r="E164" s="277"/>
      <c r="F164" s="253"/>
      <c r="G164" s="284"/>
      <c r="H164" s="287"/>
      <c r="I164" s="253"/>
      <c r="J164" s="102"/>
      <c r="K164" s="102"/>
      <c r="L164" s="102"/>
    </row>
    <row r="165" spans="3:12" s="79" customFormat="1" ht="15" x14ac:dyDescent="0.25">
      <c r="C165" s="278" t="s">
        <v>1324</v>
      </c>
      <c r="D165" s="254"/>
      <c r="E165" s="277"/>
      <c r="F165" s="279">
        <f>+SUM(F157:F162)</f>
        <v>283235817.88932276</v>
      </c>
      <c r="G165" s="284"/>
      <c r="H165" s="287"/>
      <c r="I165" s="254"/>
      <c r="J165" s="102"/>
      <c r="K165" s="102"/>
      <c r="L165" s="102"/>
    </row>
    <row r="166" spans="3:12" s="79" customFormat="1" ht="15" x14ac:dyDescent="0.25">
      <c r="C166" s="276"/>
      <c r="D166" s="254"/>
      <c r="E166" s="277"/>
      <c r="F166" s="279">
        <f>NPV(G155,E158:E162)+E157</f>
        <v>283235817.88932228</v>
      </c>
      <c r="G166" s="284"/>
      <c r="H166" s="287"/>
      <c r="I166" s="254"/>
      <c r="J166" s="102"/>
      <c r="K166" s="102"/>
      <c r="L166" s="102"/>
    </row>
    <row r="167" spans="3:12" s="79" customFormat="1" ht="15" x14ac:dyDescent="0.25">
      <c r="C167" s="276"/>
      <c r="D167" s="254"/>
      <c r="E167" s="277"/>
      <c r="F167" s="253"/>
      <c r="G167" s="284"/>
      <c r="H167" s="287"/>
      <c r="I167" s="253"/>
      <c r="J167" s="102"/>
      <c r="K167" s="102"/>
      <c r="L167" s="102"/>
    </row>
    <row r="168" spans="3:12" s="79" customFormat="1" ht="15" x14ac:dyDescent="0.25">
      <c r="C168" s="281" t="s">
        <v>1298</v>
      </c>
      <c r="D168" s="254"/>
      <c r="E168" s="277"/>
      <c r="F168" s="282">
        <f>+IRR(E157:E162,G155)</f>
        <v>0.1196672981712672</v>
      </c>
      <c r="G168" s="285" t="s">
        <v>1309</v>
      </c>
      <c r="H168" s="287"/>
      <c r="I168" s="253"/>
      <c r="J168" s="102"/>
      <c r="K168" s="102"/>
      <c r="L168" s="102"/>
    </row>
    <row r="169" spans="3:12" s="79" customFormat="1" ht="15" x14ac:dyDescent="0.25">
      <c r="C169" s="281" t="s">
        <v>1327</v>
      </c>
      <c r="D169" s="254"/>
      <c r="E169" s="253"/>
      <c r="F169" s="282">
        <f>+G155</f>
        <v>0.1</v>
      </c>
      <c r="G169" s="253" t="s">
        <v>1309</v>
      </c>
      <c r="H169" s="287"/>
      <c r="I169" s="253"/>
      <c r="J169" s="102"/>
    </row>
    <row r="170" spans="3:12" s="79" customFormat="1" ht="15" x14ac:dyDescent="0.25">
      <c r="C170" s="281" t="s">
        <v>1328</v>
      </c>
      <c r="D170" s="254"/>
      <c r="E170" s="253"/>
      <c r="F170" s="282">
        <f>+MIRR(E157:E162,G155,F169)</f>
        <v>0.11334711711557488</v>
      </c>
      <c r="G170" s="253" t="s">
        <v>1309</v>
      </c>
      <c r="H170" s="287"/>
      <c r="I170" s="253"/>
      <c r="J170" s="102"/>
    </row>
    <row r="171" spans="3:12" s="79" customFormat="1" ht="15" x14ac:dyDescent="0.25">
      <c r="E171" s="102"/>
      <c r="F171" s="102"/>
      <c r="G171" s="102"/>
      <c r="H171" s="102"/>
      <c r="I171" s="102"/>
      <c r="J171" s="102"/>
    </row>
    <row r="172" spans="3:12" s="79" customFormat="1" ht="15" x14ac:dyDescent="0.25">
      <c r="C172" s="80"/>
      <c r="D172" s="102"/>
      <c r="E172" s="102"/>
      <c r="F172" s="102"/>
      <c r="G172" s="102"/>
      <c r="H172" s="102"/>
      <c r="I172" s="102"/>
      <c r="J172" s="102"/>
    </row>
    <row r="173" spans="3:12" s="79" customFormat="1" ht="15" x14ac:dyDescent="0.25">
      <c r="C173" s="80"/>
      <c r="D173" s="102"/>
      <c r="E173" s="102"/>
      <c r="F173" s="102"/>
      <c r="G173" s="102"/>
      <c r="H173" s="102"/>
      <c r="I173" s="102"/>
      <c r="J173" s="102"/>
    </row>
    <row r="174" spans="3:12" s="79" customFormat="1" ht="15" x14ac:dyDescent="0.25">
      <c r="C174" s="80"/>
      <c r="D174" s="768" t="s">
        <v>1321</v>
      </c>
      <c r="E174" s="768"/>
      <c r="F174" s="102"/>
      <c r="G174" s="102"/>
      <c r="H174" s="102"/>
      <c r="I174" s="102"/>
      <c r="J174" s="102"/>
    </row>
    <row r="175" spans="3:12" s="79" customFormat="1" ht="15" x14ac:dyDescent="0.25">
      <c r="C175" s="80"/>
      <c r="D175" s="272" t="s">
        <v>1320</v>
      </c>
      <c r="E175" s="272" t="s">
        <v>1319</v>
      </c>
      <c r="F175" s="102"/>
      <c r="G175" s="102"/>
      <c r="H175" s="102"/>
      <c r="I175" s="102"/>
      <c r="J175" s="102"/>
    </row>
    <row r="176" spans="3:12" s="79" customFormat="1" ht="15" x14ac:dyDescent="0.25">
      <c r="C176" s="80"/>
      <c r="D176" s="257">
        <v>0</v>
      </c>
      <c r="E176" s="271">
        <f>+NPV(D176,$E$158:$E$162)+$E$157</f>
        <v>2205247536.9822826</v>
      </c>
      <c r="F176" s="102"/>
      <c r="G176" s="102"/>
      <c r="H176" s="102"/>
      <c r="I176" s="102"/>
      <c r="J176" s="102"/>
    </row>
    <row r="177" spans="3:10" s="79" customFormat="1" ht="15" x14ac:dyDescent="0.25">
      <c r="C177" s="80"/>
      <c r="D177" s="258">
        <v>0.05</v>
      </c>
      <c r="E177" s="271">
        <f>+NPV(D177,$E$158:$E$162)+$E$157</f>
        <v>1129432864.170001</v>
      </c>
      <c r="F177" s="102"/>
      <c r="G177" s="102"/>
      <c r="H177" s="102"/>
      <c r="I177" s="102"/>
      <c r="J177" s="102"/>
    </row>
    <row r="178" spans="3:10" s="79" customFormat="1" ht="15" x14ac:dyDescent="0.25">
      <c r="C178" s="80"/>
      <c r="D178" s="257">
        <v>0.1</v>
      </c>
      <c r="E178" s="271">
        <f t="shared" ref="E178:E188" si="29">+NPV(D178,$E$158:$E$162)+$E$157</f>
        <v>283235817.88932228</v>
      </c>
      <c r="F178" s="102"/>
      <c r="G178" s="102"/>
      <c r="H178" s="102"/>
      <c r="I178" s="102"/>
      <c r="J178" s="102"/>
    </row>
    <row r="179" spans="3:10" s="79" customFormat="1" ht="15" x14ac:dyDescent="0.25">
      <c r="C179" s="80"/>
      <c r="D179" s="257">
        <v>0.15</v>
      </c>
      <c r="E179" s="271">
        <f t="shared" si="29"/>
        <v>-391408488.53233528</v>
      </c>
      <c r="F179" s="102"/>
      <c r="G179" s="102"/>
      <c r="H179" s="102"/>
      <c r="I179" s="102"/>
      <c r="J179" s="102"/>
    </row>
    <row r="180" spans="3:10" s="79" customFormat="1" ht="15" x14ac:dyDescent="0.25">
      <c r="C180" s="80"/>
      <c r="D180" s="257">
        <v>0.2</v>
      </c>
      <c r="E180" s="271">
        <f t="shared" si="29"/>
        <v>-935963137.93231344</v>
      </c>
      <c r="F180" s="102"/>
      <c r="G180" s="102"/>
      <c r="H180" s="102"/>
      <c r="I180" s="102"/>
      <c r="J180" s="102"/>
    </row>
    <row r="181" spans="3:10" s="79" customFormat="1" ht="15" x14ac:dyDescent="0.25">
      <c r="C181" s="80"/>
      <c r="D181" s="257">
        <v>0.25</v>
      </c>
      <c r="E181" s="271">
        <f t="shared" si="29"/>
        <v>-1380519142.8938065</v>
      </c>
      <c r="F181" s="102"/>
      <c r="G181" s="102"/>
      <c r="H181" s="102"/>
      <c r="I181" s="102"/>
      <c r="J181" s="102"/>
    </row>
    <row r="182" spans="3:10" s="79" customFormat="1" ht="15" x14ac:dyDescent="0.25">
      <c r="C182" s="80"/>
      <c r="D182" s="257">
        <v>0.3</v>
      </c>
      <c r="E182" s="271">
        <f t="shared" si="29"/>
        <v>-1747240677.724133</v>
      </c>
      <c r="F182" s="102"/>
      <c r="G182" s="102"/>
      <c r="H182" s="102"/>
      <c r="I182" s="102"/>
      <c r="J182" s="102"/>
    </row>
    <row r="183" spans="3:10" s="79" customFormat="1" ht="15" x14ac:dyDescent="0.25">
      <c r="C183" s="80"/>
      <c r="D183" s="257">
        <v>0.35</v>
      </c>
      <c r="E183" s="271">
        <f t="shared" si="29"/>
        <v>-2052677417.998476</v>
      </c>
      <c r="F183" s="102"/>
      <c r="G183" s="102"/>
      <c r="H183" s="102"/>
      <c r="I183" s="102"/>
      <c r="J183" s="102"/>
    </row>
    <row r="184" spans="3:10" s="79" customFormat="1" ht="15" x14ac:dyDescent="0.25">
      <c r="C184" s="80"/>
      <c r="D184" s="257">
        <v>0.4</v>
      </c>
      <c r="E184" s="271">
        <f t="shared" si="29"/>
        <v>-2309343310.8348913</v>
      </c>
      <c r="F184" s="102"/>
      <c r="G184" s="102"/>
      <c r="H184" s="102"/>
      <c r="I184" s="102"/>
      <c r="J184" s="102"/>
    </row>
    <row r="185" spans="3:10" s="79" customFormat="1" ht="15" x14ac:dyDescent="0.25">
      <c r="C185" s="80"/>
      <c r="D185" s="257">
        <v>0.45</v>
      </c>
      <c r="E185" s="271">
        <f t="shared" si="29"/>
        <v>-2526811637.0902805</v>
      </c>
      <c r="F185" s="102"/>
      <c r="G185" s="102"/>
      <c r="H185" s="102"/>
      <c r="I185" s="102"/>
      <c r="J185" s="102"/>
    </row>
    <row r="186" spans="3:10" s="79" customFormat="1" ht="15" x14ac:dyDescent="0.25">
      <c r="C186" s="80"/>
      <c r="D186" s="257">
        <v>0.5</v>
      </c>
      <c r="E186" s="271">
        <f t="shared" si="29"/>
        <v>-2712485729.8579435</v>
      </c>
      <c r="F186" s="102"/>
      <c r="G186" s="102"/>
      <c r="H186" s="102"/>
      <c r="I186" s="102"/>
      <c r="J186" s="102"/>
    </row>
    <row r="187" spans="3:10" s="79" customFormat="1" ht="15" x14ac:dyDescent="0.25">
      <c r="C187" s="80"/>
      <c r="D187" s="257">
        <v>0.55000000000000004</v>
      </c>
      <c r="E187" s="271">
        <f t="shared" si="29"/>
        <v>-2872148807.85396</v>
      </c>
      <c r="F187" s="102"/>
      <c r="G187" s="102"/>
      <c r="H187" s="102"/>
      <c r="I187" s="102"/>
      <c r="J187" s="102"/>
    </row>
    <row r="188" spans="3:10" s="79" customFormat="1" ht="15" x14ac:dyDescent="0.25">
      <c r="C188" s="80"/>
      <c r="D188" s="257">
        <v>0.6</v>
      </c>
      <c r="E188" s="271">
        <f t="shared" si="29"/>
        <v>-3010361198.4635072</v>
      </c>
      <c r="F188" s="102"/>
      <c r="G188" s="102"/>
      <c r="H188" s="102"/>
      <c r="I188" s="102"/>
      <c r="J188" s="102"/>
    </row>
    <row r="189" spans="3:10" s="79" customFormat="1" ht="15" x14ac:dyDescent="0.25">
      <c r="C189" s="80"/>
      <c r="D189" s="102"/>
      <c r="E189" s="102"/>
      <c r="F189" s="102"/>
      <c r="G189" s="102"/>
      <c r="H189" s="102"/>
      <c r="I189" s="102"/>
      <c r="J189" s="102"/>
    </row>
    <row r="190" spans="3:10" s="79" customFormat="1" ht="15" x14ac:dyDescent="0.25">
      <c r="C190" s="80"/>
      <c r="D190" s="102"/>
      <c r="E190" s="102"/>
      <c r="F190" s="102"/>
      <c r="G190" s="102"/>
      <c r="H190" s="102"/>
      <c r="I190" s="102"/>
      <c r="J190" s="102"/>
    </row>
    <row r="191" spans="3:10" s="79" customFormat="1" ht="15" x14ac:dyDescent="0.25">
      <c r="C191" s="80"/>
      <c r="D191" s="102"/>
      <c r="E191" s="102"/>
      <c r="F191" s="102"/>
      <c r="G191" s="102"/>
      <c r="H191" s="102"/>
      <c r="I191" s="102"/>
      <c r="J191" s="102"/>
    </row>
    <row r="192" spans="3:10" s="79" customFormat="1" ht="15" x14ac:dyDescent="0.25">
      <c r="C192" s="80"/>
      <c r="D192" s="102"/>
      <c r="E192" s="102"/>
      <c r="F192" s="102"/>
      <c r="G192" s="102"/>
      <c r="H192" s="102"/>
      <c r="I192" s="102"/>
      <c r="J192" s="102"/>
    </row>
    <row r="193" spans="2:13" s="79" customFormat="1" ht="15" x14ac:dyDescent="0.25">
      <c r="C193" s="80"/>
      <c r="D193" s="102"/>
      <c r="E193" s="102"/>
      <c r="F193" s="102"/>
      <c r="G193" s="102"/>
      <c r="H193" s="102"/>
      <c r="I193" s="102"/>
      <c r="J193" s="102"/>
    </row>
    <row r="194" spans="2:13" s="79" customFormat="1" ht="15" x14ac:dyDescent="0.25">
      <c r="C194" s="80"/>
      <c r="D194" s="102"/>
      <c r="E194" s="102"/>
      <c r="F194" s="102"/>
      <c r="G194" s="102"/>
      <c r="H194" s="102"/>
      <c r="I194" s="102"/>
      <c r="J194" s="102"/>
    </row>
    <row r="195" spans="2:13" s="79" customFormat="1" ht="15" x14ac:dyDescent="0.25">
      <c r="C195" s="80"/>
      <c r="D195" s="102"/>
      <c r="E195" s="102"/>
      <c r="F195" s="102"/>
      <c r="G195" s="102"/>
      <c r="H195" s="102"/>
      <c r="I195" s="102"/>
      <c r="J195" s="102"/>
    </row>
    <row r="196" spans="2:13" s="79" customFormat="1" ht="15" x14ac:dyDescent="0.25">
      <c r="C196" s="80"/>
      <c r="D196" s="102"/>
      <c r="E196" s="102"/>
      <c r="F196" s="102"/>
      <c r="G196" s="102"/>
      <c r="H196" s="102"/>
      <c r="I196" s="102"/>
      <c r="J196" s="102"/>
    </row>
    <row r="197" spans="2:13" s="79" customFormat="1" ht="15" x14ac:dyDescent="0.25">
      <c r="C197" s="252"/>
      <c r="D197" s="251"/>
      <c r="E197" s="82"/>
    </row>
    <row r="198" spans="2:13" s="79" customFormat="1" ht="15" x14ac:dyDescent="0.25">
      <c r="C198" s="80"/>
      <c r="D198" s="82"/>
      <c r="E198" s="102"/>
      <c r="F198" s="247"/>
      <c r="G198" s="247"/>
      <c r="H198" s="247"/>
      <c r="I198" s="247"/>
    </row>
    <row r="199" spans="2:13" s="79" customFormat="1" ht="15.75" thickBot="1" x14ac:dyDescent="0.3">
      <c r="C199" s="80"/>
      <c r="D199" s="82"/>
      <c r="E199" s="102"/>
      <c r="F199" s="247"/>
      <c r="G199" s="247"/>
      <c r="H199" s="247"/>
      <c r="I199" s="247"/>
      <c r="K199" s="181" t="s">
        <v>1310</v>
      </c>
    </row>
    <row r="200" spans="2:13" s="79" customFormat="1" ht="15" x14ac:dyDescent="0.25">
      <c r="B200" s="367"/>
      <c r="C200" s="368"/>
      <c r="D200" s="259"/>
      <c r="E200" s="260"/>
      <c r="F200" s="259"/>
      <c r="G200" s="259"/>
      <c r="H200" s="259"/>
      <c r="I200" s="377"/>
    </row>
    <row r="201" spans="2:13" s="79" customFormat="1" ht="15" x14ac:dyDescent="0.25">
      <c r="B201" s="369"/>
      <c r="C201" s="267"/>
      <c r="D201" s="356" t="s">
        <v>54</v>
      </c>
      <c r="E201" s="356" t="s">
        <v>1307</v>
      </c>
      <c r="F201" s="357"/>
      <c r="G201" s="357"/>
      <c r="H201" s="263"/>
      <c r="I201" s="265"/>
      <c r="J201" s="263"/>
      <c r="K201" s="263"/>
      <c r="L201" s="263"/>
      <c r="M201" s="263"/>
    </row>
    <row r="202" spans="2:13" s="79" customFormat="1" ht="15" x14ac:dyDescent="0.25">
      <c r="B202" s="369"/>
      <c r="C202" s="267"/>
      <c r="D202" s="82"/>
      <c r="E202" s="82"/>
      <c r="F202" s="263"/>
      <c r="G202" s="263"/>
      <c r="H202" s="263"/>
      <c r="I202" s="265"/>
      <c r="J202" s="263"/>
      <c r="K202" s="263"/>
      <c r="L202" s="263"/>
      <c r="M202" s="263"/>
    </row>
    <row r="203" spans="2:13" s="79" customFormat="1" ht="15" x14ac:dyDescent="0.25">
      <c r="B203" s="369"/>
      <c r="C203" s="267" t="s">
        <v>1305</v>
      </c>
      <c r="D203" s="102">
        <f>+D77</f>
        <v>2000000000</v>
      </c>
      <c r="E203" s="225">
        <f>+D203/D206</f>
        <v>0.43415622442310381</v>
      </c>
      <c r="F203" s="358"/>
      <c r="G203" s="225"/>
      <c r="H203" s="102"/>
      <c r="I203" s="265"/>
      <c r="J203" s="263"/>
      <c r="K203" s="263"/>
      <c r="L203" s="263"/>
      <c r="M203" s="263"/>
    </row>
    <row r="204" spans="2:13" s="79" customFormat="1" ht="15" x14ac:dyDescent="0.25">
      <c r="B204" s="369"/>
      <c r="C204" s="267" t="s">
        <v>1306</v>
      </c>
      <c r="D204" s="102">
        <f>+D79</f>
        <v>2606636707</v>
      </c>
      <c r="E204" s="225">
        <f>+D204/D206</f>
        <v>0.56584377557689614</v>
      </c>
      <c r="F204" s="358"/>
      <c r="G204" s="225"/>
      <c r="H204" s="102"/>
      <c r="I204" s="265"/>
      <c r="J204" s="263"/>
      <c r="K204" s="263"/>
      <c r="L204" s="263"/>
      <c r="M204" s="263"/>
    </row>
    <row r="205" spans="2:13" s="79" customFormat="1" ht="15" x14ac:dyDescent="0.25">
      <c r="B205" s="369"/>
      <c r="C205" s="267" t="s">
        <v>1484</v>
      </c>
      <c r="D205" s="355">
        <f>+E203/E204</f>
        <v>0.76727224573685093</v>
      </c>
      <c r="E205" s="263"/>
      <c r="F205" s="264"/>
      <c r="G205" s="264"/>
      <c r="H205" s="264"/>
      <c r="I205" s="262"/>
      <c r="J205" s="263"/>
      <c r="K205" s="263"/>
      <c r="L205" s="263"/>
      <c r="M205" s="263"/>
    </row>
    <row r="206" spans="2:13" s="79" customFormat="1" ht="15" x14ac:dyDescent="0.25">
      <c r="B206" s="369"/>
      <c r="C206" s="359" t="s">
        <v>1247</v>
      </c>
      <c r="D206" s="359">
        <f>+D203+D204</f>
        <v>4606636707</v>
      </c>
      <c r="E206" s="360">
        <f>+E203+E204</f>
        <v>1</v>
      </c>
      <c r="F206" s="359"/>
      <c r="G206" s="361">
        <f>+'Cálculo WACC'!C44</f>
        <v>0.10042549713538762</v>
      </c>
      <c r="H206" s="362" t="s">
        <v>1304</v>
      </c>
      <c r="I206" s="262"/>
      <c r="J206" s="263"/>
      <c r="K206" s="263"/>
      <c r="L206" s="263"/>
      <c r="M206" s="263"/>
    </row>
    <row r="207" spans="2:13" s="79" customFormat="1" ht="15" x14ac:dyDescent="0.25">
      <c r="B207" s="369"/>
      <c r="C207" s="267"/>
      <c r="D207" s="82"/>
      <c r="E207" s="82"/>
      <c r="F207" s="263"/>
      <c r="G207" s="263"/>
      <c r="H207" s="263"/>
      <c r="I207" s="262"/>
      <c r="J207" s="263"/>
      <c r="K207" s="263"/>
      <c r="L207" s="263"/>
      <c r="M207" s="263"/>
    </row>
    <row r="208" spans="2:13" s="79" customFormat="1" ht="15" x14ac:dyDescent="0.25">
      <c r="B208" s="369"/>
      <c r="C208" s="342" t="s">
        <v>1308</v>
      </c>
      <c r="D208" s="363">
        <v>0.12</v>
      </c>
      <c r="E208" s="82"/>
      <c r="F208" s="263"/>
      <c r="G208" s="263"/>
      <c r="H208" s="263"/>
      <c r="I208" s="262"/>
      <c r="J208" s="263"/>
      <c r="K208" s="263"/>
      <c r="L208" s="263"/>
      <c r="M208" s="263"/>
    </row>
    <row r="209" spans="2:13" s="79" customFormat="1" ht="15" x14ac:dyDescent="0.25">
      <c r="B209" s="369"/>
      <c r="C209" s="342" t="s">
        <v>1742</v>
      </c>
      <c r="D209" s="225">
        <f>+'Prestamo Créditos'!C8</f>
        <v>0.18</v>
      </c>
      <c r="E209" s="244"/>
      <c r="F209" s="263"/>
      <c r="G209" s="263"/>
      <c r="H209" s="263"/>
      <c r="I209" s="262"/>
      <c r="J209" s="263"/>
      <c r="K209" s="263"/>
      <c r="L209" s="263"/>
      <c r="M209" s="263"/>
    </row>
    <row r="210" spans="2:13" s="79" customFormat="1" ht="15" x14ac:dyDescent="0.25">
      <c r="B210" s="369"/>
      <c r="C210" s="342" t="s">
        <v>1125</v>
      </c>
      <c r="D210" s="364">
        <v>0.09</v>
      </c>
      <c r="E210" s="82"/>
      <c r="F210" s="263"/>
      <c r="G210" s="263"/>
      <c r="H210" s="263"/>
      <c r="I210" s="262"/>
      <c r="J210" s="263"/>
      <c r="K210" s="263"/>
      <c r="L210" s="263"/>
      <c r="M210" s="263"/>
    </row>
    <row r="211" spans="2:13" s="79" customFormat="1" ht="15" x14ac:dyDescent="0.25">
      <c r="B211" s="369"/>
      <c r="C211" s="365" t="s">
        <v>1743</v>
      </c>
      <c r="D211" s="366">
        <f>+D209*(1-D210)</f>
        <v>0.1638</v>
      </c>
      <c r="E211" s="82"/>
      <c r="F211" s="263"/>
      <c r="G211" s="263"/>
      <c r="H211" s="263"/>
      <c r="I211" s="262"/>
      <c r="J211" s="263"/>
      <c r="K211" s="263"/>
      <c r="L211" s="263"/>
      <c r="M211" s="263"/>
    </row>
    <row r="212" spans="2:13" s="79" customFormat="1" ht="15" x14ac:dyDescent="0.25">
      <c r="B212" s="369"/>
      <c r="C212" s="267"/>
      <c r="D212" s="82"/>
      <c r="E212" s="102"/>
      <c r="F212" s="263"/>
      <c r="G212" s="263"/>
      <c r="H212" s="263"/>
      <c r="I212" s="262"/>
      <c r="J212" s="263"/>
      <c r="K212" s="263"/>
      <c r="L212" s="263"/>
      <c r="M212" s="263"/>
    </row>
    <row r="213" spans="2:13" s="79" customFormat="1" ht="15.75" thickBot="1" x14ac:dyDescent="0.3">
      <c r="B213" s="369"/>
      <c r="C213" s="267"/>
      <c r="D213" s="82"/>
      <c r="E213" s="102"/>
      <c r="F213" s="263"/>
      <c r="G213" s="263"/>
      <c r="H213" s="263"/>
      <c r="I213" s="262"/>
      <c r="J213" s="263"/>
      <c r="K213" s="263"/>
      <c r="L213" s="263"/>
      <c r="M213" s="263"/>
    </row>
    <row r="214" spans="2:13" s="79" customFormat="1" ht="15" x14ac:dyDescent="0.25">
      <c r="B214" s="369"/>
      <c r="C214" s="94"/>
      <c r="D214" s="412"/>
      <c r="E214" s="259"/>
      <c r="F214" s="259"/>
      <c r="G214" s="261"/>
      <c r="H214" s="263"/>
      <c r="I214" s="262"/>
      <c r="J214" s="263"/>
      <c r="K214" s="263"/>
      <c r="L214" s="263"/>
      <c r="M214" s="263"/>
    </row>
    <row r="215" spans="2:13" s="79" customFormat="1" ht="15" x14ac:dyDescent="0.25">
      <c r="B215" s="369"/>
      <c r="C215" s="94"/>
      <c r="D215" s="769" t="s">
        <v>1325</v>
      </c>
      <c r="E215" s="770"/>
      <c r="F215" s="770"/>
      <c r="G215" s="771"/>
      <c r="H215" s="263"/>
      <c r="I215" s="262"/>
      <c r="J215" s="263"/>
      <c r="K215" s="263"/>
      <c r="L215" s="263"/>
      <c r="M215" s="263"/>
    </row>
    <row r="216" spans="2:13" s="79" customFormat="1" ht="15" x14ac:dyDescent="0.25">
      <c r="B216" s="369"/>
      <c r="C216" s="94"/>
      <c r="D216" s="280"/>
      <c r="E216" s="263"/>
      <c r="F216" s="263"/>
      <c r="G216" s="262"/>
      <c r="H216" s="263"/>
      <c r="I216" s="262"/>
      <c r="J216" s="263"/>
      <c r="K216" s="263"/>
      <c r="L216" s="263"/>
      <c r="M216" s="263"/>
    </row>
    <row r="217" spans="2:13" s="79" customFormat="1" ht="15" x14ac:dyDescent="0.25">
      <c r="B217" s="369"/>
      <c r="C217" s="94"/>
      <c r="D217" s="369"/>
      <c r="E217" s="362" t="s">
        <v>1298</v>
      </c>
      <c r="F217" s="362" t="s">
        <v>1304</v>
      </c>
      <c r="G217" s="265"/>
      <c r="H217" s="264"/>
      <c r="I217" s="265"/>
      <c r="J217" s="263"/>
      <c r="K217" s="263"/>
      <c r="L217" s="263"/>
      <c r="M217" s="263"/>
    </row>
    <row r="218" spans="2:13" s="79" customFormat="1" ht="15" x14ac:dyDescent="0.25">
      <c r="B218" s="369"/>
      <c r="C218" s="94"/>
      <c r="D218" s="369"/>
      <c r="E218" s="264"/>
      <c r="F218" s="263"/>
      <c r="G218" s="265"/>
      <c r="H218" s="264"/>
      <c r="I218" s="265"/>
      <c r="J218" s="263"/>
      <c r="K218" s="263"/>
      <c r="L218" s="263"/>
      <c r="M218" s="263"/>
    </row>
    <row r="219" spans="2:13" s="79" customFormat="1" ht="15" x14ac:dyDescent="0.25">
      <c r="B219" s="369"/>
      <c r="C219" s="94"/>
      <c r="D219" s="369"/>
      <c r="E219" s="376">
        <f>+F168</f>
        <v>0.1196672981712672</v>
      </c>
      <c r="F219" s="376">
        <f>+G206</f>
        <v>0.10042549713538762</v>
      </c>
      <c r="G219" s="265"/>
      <c r="H219" s="264"/>
      <c r="I219" s="265"/>
      <c r="J219" s="263"/>
      <c r="K219" s="263"/>
      <c r="L219" s="263"/>
      <c r="M219" s="263"/>
    </row>
    <row r="220" spans="2:13" s="79" customFormat="1" ht="15.75" thickBot="1" x14ac:dyDescent="0.3">
      <c r="B220" s="369"/>
      <c r="C220" s="94"/>
      <c r="D220" s="413"/>
      <c r="E220" s="414"/>
      <c r="F220" s="415"/>
      <c r="G220" s="416"/>
      <c r="H220" s="264"/>
      <c r="I220" s="265"/>
      <c r="J220" s="263"/>
      <c r="K220" s="263"/>
      <c r="L220" s="263"/>
      <c r="M220" s="263"/>
    </row>
    <row r="221" spans="2:13" s="79" customFormat="1" ht="15" x14ac:dyDescent="0.25">
      <c r="B221" s="369"/>
      <c r="C221" s="94"/>
      <c r="D221" s="375"/>
      <c r="E221" s="244"/>
      <c r="F221" s="264"/>
      <c r="G221" s="264"/>
      <c r="H221" s="264"/>
      <c r="I221" s="265"/>
      <c r="J221" s="263"/>
      <c r="K221" s="263"/>
      <c r="L221" s="263"/>
      <c r="M221" s="263"/>
    </row>
    <row r="222" spans="2:13" s="79" customFormat="1" ht="15" x14ac:dyDescent="0.25">
      <c r="B222" s="369"/>
      <c r="C222" s="267"/>
      <c r="D222" s="82"/>
      <c r="E222" s="102"/>
      <c r="F222" s="264"/>
      <c r="G222" s="264"/>
      <c r="H222" s="264"/>
      <c r="I222" s="265"/>
      <c r="J222" s="263"/>
      <c r="K222" s="263"/>
      <c r="L222" s="263"/>
      <c r="M222" s="263"/>
    </row>
    <row r="223" spans="2:13" s="79" customFormat="1" ht="15" x14ac:dyDescent="0.25">
      <c r="B223" s="369"/>
      <c r="C223" s="370" t="s">
        <v>1485</v>
      </c>
      <c r="D223" s="82"/>
      <c r="E223" s="102"/>
      <c r="F223" s="264"/>
      <c r="G223" s="264"/>
      <c r="H223" s="264"/>
      <c r="I223" s="265"/>
      <c r="J223" s="263"/>
      <c r="K223" s="263"/>
      <c r="L223" s="263"/>
      <c r="M223" s="263"/>
    </row>
    <row r="224" spans="2:13" s="79" customFormat="1" ht="15" x14ac:dyDescent="0.25">
      <c r="B224" s="369"/>
      <c r="C224" s="370" t="s">
        <v>1486</v>
      </c>
      <c r="D224" s="82"/>
      <c r="E224" s="102"/>
      <c r="F224" s="264"/>
      <c r="G224" s="264"/>
      <c r="H224" s="264"/>
      <c r="I224" s="265"/>
      <c r="J224" s="263"/>
      <c r="K224" s="263"/>
      <c r="L224" s="263"/>
      <c r="M224" s="263"/>
    </row>
    <row r="225" spans="2:13" s="79" customFormat="1" ht="15.75" thickBot="1" x14ac:dyDescent="0.3">
      <c r="B225" s="371"/>
      <c r="C225" s="374"/>
      <c r="D225" s="266"/>
      <c r="E225" s="372"/>
      <c r="F225" s="373"/>
      <c r="G225" s="373"/>
      <c r="H225" s="373"/>
      <c r="I225" s="378"/>
      <c r="J225" s="263"/>
      <c r="K225" s="263"/>
      <c r="L225" s="263"/>
      <c r="M225" s="263"/>
    </row>
    <row r="226" spans="2:13" s="79" customFormat="1" ht="15" x14ac:dyDescent="0.25">
      <c r="D226" s="82"/>
      <c r="E226" s="102"/>
      <c r="F226" s="247"/>
      <c r="G226" s="247"/>
      <c r="H226" s="247"/>
      <c r="I226" s="247"/>
    </row>
    <row r="227" spans="2:13" s="79" customFormat="1" ht="15" x14ac:dyDescent="0.25">
      <c r="C227" s="80"/>
      <c r="D227" s="82"/>
      <c r="E227" s="102"/>
      <c r="F227" s="247"/>
      <c r="G227" s="247"/>
      <c r="H227" s="247"/>
      <c r="I227" s="247"/>
    </row>
    <row r="228" spans="2:13" s="79" customFormat="1" ht="15" x14ac:dyDescent="0.25">
      <c r="C228" s="80"/>
      <c r="D228" s="82"/>
      <c r="E228" s="82"/>
    </row>
    <row r="229" spans="2:13" s="79" customFormat="1" ht="15" x14ac:dyDescent="0.25">
      <c r="C229" s="728" t="s">
        <v>1301</v>
      </c>
      <c r="D229" s="728"/>
      <c r="E229" s="728"/>
      <c r="F229" s="728"/>
      <c r="G229" s="728"/>
      <c r="H229" s="728"/>
      <c r="I229" s="728"/>
      <c r="J229" s="728"/>
    </row>
    <row r="230" spans="2:13" s="79" customFormat="1" ht="15" x14ac:dyDescent="0.25">
      <c r="C230" s="80"/>
      <c r="D230" s="82"/>
      <c r="E230" s="82"/>
    </row>
    <row r="231" spans="2:13" s="79" customFormat="1" ht="15.75" thickBot="1" x14ac:dyDescent="0.3">
      <c r="C231" s="80"/>
      <c r="D231" s="85" t="s">
        <v>1289</v>
      </c>
      <c r="E231" s="85" t="s">
        <v>0</v>
      </c>
      <c r="F231" s="85" t="s">
        <v>1</v>
      </c>
      <c r="G231" s="85" t="s">
        <v>2</v>
      </c>
      <c r="H231" s="85" t="s">
        <v>496</v>
      </c>
      <c r="I231" s="85" t="s">
        <v>497</v>
      </c>
    </row>
    <row r="232" spans="2:13" s="79" customFormat="1" ht="15.75" thickTop="1" x14ac:dyDescent="0.25">
      <c r="C232" s="80"/>
      <c r="D232" s="82"/>
      <c r="E232" s="82"/>
    </row>
    <row r="233" spans="2:13" s="79" customFormat="1" ht="15" x14ac:dyDescent="0.25">
      <c r="C233" s="80" t="s">
        <v>1302</v>
      </c>
      <c r="D233" s="102">
        <f t="shared" ref="D233:I233" si="30">+D68</f>
        <v>4606636707</v>
      </c>
      <c r="E233" s="102">
        <f t="shared" si="30"/>
        <v>5422188670.2952728</v>
      </c>
      <c r="F233" s="102">
        <f t="shared" si="30"/>
        <v>6336618561.5202837</v>
      </c>
      <c r="G233" s="102">
        <f t="shared" si="30"/>
        <v>7406553446.9665909</v>
      </c>
      <c r="H233" s="102">
        <f t="shared" si="30"/>
        <v>9485038932.5448532</v>
      </c>
      <c r="I233" s="102">
        <f t="shared" si="30"/>
        <v>11745952186.732054</v>
      </c>
    </row>
    <row r="234" spans="2:13" s="79" customFormat="1" ht="15" x14ac:dyDescent="0.25">
      <c r="C234" s="80" t="s">
        <v>1303</v>
      </c>
      <c r="D234" s="102">
        <f t="shared" ref="D234:I234" si="31">+D77</f>
        <v>2000000000</v>
      </c>
      <c r="E234" s="102">
        <f t="shared" si="31"/>
        <v>1561083635.2884414</v>
      </c>
      <c r="F234" s="102">
        <f t="shared" si="31"/>
        <v>927818301.86367035</v>
      </c>
      <c r="G234" s="102">
        <f t="shared" si="31"/>
        <v>164800904.56841323</v>
      </c>
      <c r="H234" s="102">
        <f t="shared" si="31"/>
        <v>185055705.89124751</v>
      </c>
      <c r="I234" s="102">
        <f t="shared" si="31"/>
        <v>201775624.53550515</v>
      </c>
    </row>
    <row r="235" spans="2:13" s="79" customFormat="1" ht="15" x14ac:dyDescent="0.25">
      <c r="C235" s="80"/>
      <c r="D235" s="102"/>
      <c r="F235" s="247"/>
      <c r="G235" s="247"/>
      <c r="H235" s="247"/>
      <c r="I235" s="247"/>
    </row>
    <row r="236" spans="2:13" s="79" customFormat="1" ht="15.75" thickBot="1" x14ac:dyDescent="0.3">
      <c r="C236" s="170" t="s">
        <v>1488</v>
      </c>
      <c r="D236" s="102">
        <f>+D233-D234</f>
        <v>2606636707</v>
      </c>
      <c r="E236" s="102">
        <f>+E233-E234</f>
        <v>3861105035.0068312</v>
      </c>
      <c r="F236" s="102">
        <f t="shared" ref="F236:I236" si="32">+F233-F234</f>
        <v>5408800259.6566133</v>
      </c>
      <c r="G236" s="102">
        <f t="shared" si="32"/>
        <v>7241752542.3981781</v>
      </c>
      <c r="H236" s="102">
        <f t="shared" si="32"/>
        <v>9299983226.6536064</v>
      </c>
      <c r="I236" s="102">
        <f t="shared" si="32"/>
        <v>11544176562.196548</v>
      </c>
    </row>
    <row r="237" spans="2:13" s="79" customFormat="1" ht="15.75" thickTop="1" x14ac:dyDescent="0.25">
      <c r="C237" s="80"/>
      <c r="D237" s="82"/>
      <c r="E237" s="102"/>
      <c r="F237" s="247"/>
      <c r="G237" s="247"/>
      <c r="H237" s="247"/>
      <c r="I237" s="247"/>
    </row>
    <row r="238" spans="2:13" s="79" customFormat="1" ht="15" x14ac:dyDescent="0.25">
      <c r="C238" s="80"/>
      <c r="D238" s="82"/>
      <c r="E238" s="82"/>
    </row>
    <row r="239" spans="2:13" s="79" customFormat="1" ht="15" x14ac:dyDescent="0.25"/>
    <row r="240" spans="2:13" s="79" customFormat="1" ht="15" x14ac:dyDescent="0.25"/>
    <row r="241" spans="3:9" s="79" customFormat="1" ht="15" x14ac:dyDescent="0.25"/>
    <row r="242" spans="3:9" s="79" customFormat="1" ht="15" x14ac:dyDescent="0.25">
      <c r="I242" s="102"/>
    </row>
    <row r="243" spans="3:9" s="79" customFormat="1" ht="15" x14ac:dyDescent="0.25">
      <c r="I243" s="102"/>
    </row>
    <row r="244" spans="3:9" s="79" customFormat="1" ht="15" x14ac:dyDescent="0.25">
      <c r="I244" s="247"/>
    </row>
    <row r="245" spans="3:9" s="79" customFormat="1" ht="15" x14ac:dyDescent="0.25"/>
    <row r="246" spans="3:9" s="79" customFormat="1" ht="15" x14ac:dyDescent="0.25"/>
    <row r="247" spans="3:9" s="79" customFormat="1" ht="15" x14ac:dyDescent="0.25"/>
    <row r="248" spans="3:9" s="79" customFormat="1" ht="15" x14ac:dyDescent="0.25"/>
    <row r="249" spans="3:9" s="79" customFormat="1" ht="15" x14ac:dyDescent="0.25"/>
    <row r="250" spans="3:9" s="79" customFormat="1" ht="15" x14ac:dyDescent="0.25"/>
    <row r="251" spans="3:9" s="79" customFormat="1" ht="15" x14ac:dyDescent="0.25">
      <c r="C251" s="80"/>
      <c r="D251" s="82"/>
      <c r="E251" s="82"/>
    </row>
    <row r="252" spans="3:9" s="79" customFormat="1" ht="15" x14ac:dyDescent="0.25">
      <c r="C252" s="80"/>
      <c r="D252" s="225"/>
      <c r="E252" s="82"/>
    </row>
    <row r="253" spans="3:9" s="79" customFormat="1" ht="15" x14ac:dyDescent="0.25">
      <c r="C253" s="80"/>
      <c r="D253" s="225"/>
      <c r="E253" s="82"/>
    </row>
    <row r="254" spans="3:9" s="79" customFormat="1" ht="15" x14ac:dyDescent="0.25">
      <c r="C254" s="80"/>
      <c r="D254" s="82"/>
      <c r="E254" s="82"/>
    </row>
    <row r="255" spans="3:9" s="79" customFormat="1" ht="15" x14ac:dyDescent="0.25">
      <c r="C255" s="80"/>
      <c r="D255" s="82"/>
      <c r="E255" s="82"/>
    </row>
    <row r="256" spans="3:9" s="79" customFormat="1" ht="15" x14ac:dyDescent="0.25">
      <c r="C256" s="80"/>
      <c r="D256" s="82"/>
      <c r="E256" s="82"/>
    </row>
    <row r="257" spans="3:5" s="79" customFormat="1" ht="15" x14ac:dyDescent="0.25">
      <c r="C257" s="80"/>
      <c r="D257" s="82"/>
      <c r="E257" s="82"/>
    </row>
    <row r="258" spans="3:5" s="79" customFormat="1" ht="15" x14ac:dyDescent="0.25">
      <c r="C258" s="80"/>
      <c r="D258" s="82"/>
      <c r="E258" s="82"/>
    </row>
    <row r="259" spans="3:5" s="79" customFormat="1" ht="15" x14ac:dyDescent="0.25">
      <c r="C259" s="80"/>
      <c r="D259" s="82"/>
      <c r="E259" s="82"/>
    </row>
    <row r="260" spans="3:5" s="79" customFormat="1" ht="15" x14ac:dyDescent="0.25">
      <c r="C260" s="80"/>
      <c r="D260" s="82"/>
      <c r="E260" s="82"/>
    </row>
    <row r="261" spans="3:5" s="79" customFormat="1" ht="15" x14ac:dyDescent="0.25">
      <c r="C261" s="80"/>
      <c r="D261" s="82"/>
      <c r="E261" s="82"/>
    </row>
    <row r="262" spans="3:5" s="79" customFormat="1" ht="15" x14ac:dyDescent="0.25">
      <c r="C262" s="80"/>
      <c r="D262" s="82"/>
      <c r="E262" s="82"/>
    </row>
    <row r="263" spans="3:5" s="79" customFormat="1" ht="15" x14ac:dyDescent="0.25">
      <c r="C263" s="80"/>
      <c r="D263" s="82"/>
      <c r="E263" s="82"/>
    </row>
    <row r="264" spans="3:5" s="79" customFormat="1" ht="15" x14ac:dyDescent="0.25">
      <c r="C264" s="80"/>
      <c r="D264" s="82"/>
      <c r="E264" s="82"/>
    </row>
    <row r="265" spans="3:5" s="79" customFormat="1" ht="15" x14ac:dyDescent="0.25">
      <c r="C265" s="80"/>
      <c r="D265" s="82"/>
      <c r="E265" s="82"/>
    </row>
    <row r="266" spans="3:5" s="79" customFormat="1" ht="15" x14ac:dyDescent="0.25">
      <c r="C266" s="80"/>
      <c r="D266" s="82"/>
      <c r="E266" s="82"/>
    </row>
    <row r="267" spans="3:5" s="79" customFormat="1" ht="15" x14ac:dyDescent="0.25">
      <c r="C267" s="80"/>
      <c r="D267" s="82"/>
      <c r="E267" s="82"/>
    </row>
    <row r="268" spans="3:5" s="79" customFormat="1" ht="15" x14ac:dyDescent="0.25">
      <c r="C268" s="80"/>
      <c r="D268" s="82"/>
      <c r="E268" s="82"/>
    </row>
    <row r="269" spans="3:5" s="79" customFormat="1" ht="15" x14ac:dyDescent="0.25">
      <c r="C269" s="80"/>
      <c r="D269" s="82"/>
      <c r="E269" s="82"/>
    </row>
    <row r="270" spans="3:5" s="79" customFormat="1" ht="15" customHeight="1" x14ac:dyDescent="0.25">
      <c r="C270" s="80"/>
      <c r="D270" s="82"/>
      <c r="E270" s="82"/>
    </row>
    <row r="271" spans="3:5" ht="0" hidden="1" customHeight="1" x14ac:dyDescent="0.25"/>
  </sheetData>
  <mergeCells count="7">
    <mergeCell ref="C229:J229"/>
    <mergeCell ref="C5:G5"/>
    <mergeCell ref="C49:I49"/>
    <mergeCell ref="D174:E174"/>
    <mergeCell ref="C119:J119"/>
    <mergeCell ref="C99:G99"/>
    <mergeCell ref="D215:G215"/>
  </mergeCells>
  <hyperlinks>
    <hyperlink ref="K199" r:id="rId1"/>
    <hyperlink ref="F97" r:id="rId2"/>
    <hyperlink ref="F95" r:id="rId3"/>
    <hyperlink ref="C223" r:id="rId4" display="https://investigaciones.corficolombiana.com/documents/38211/0/Separata Version Web (1).pdf/0c116f63-44f0-deca-26b7-ce09d46762b1"/>
  </hyperlinks>
  <pageMargins left="0.7" right="0.7" top="0.75" bottom="0.75" header="0.3" footer="0.3"/>
  <pageSetup paperSize="9" scale="50" orientation="landscape" r:id="rId5"/>
  <drawing r:id="rId6"/>
  <legacy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CDC14"/>
  </sheetPr>
  <dimension ref="B3:K42"/>
  <sheetViews>
    <sheetView topLeftCell="A7" workbookViewId="0">
      <selection activeCell="C34" sqref="C34"/>
    </sheetView>
  </sheetViews>
  <sheetFormatPr baseColWidth="10" defaultRowHeight="15" x14ac:dyDescent="0.25"/>
  <cols>
    <col min="1" max="1" width="11.42578125" style="163" customWidth="1"/>
    <col min="2" max="2" width="47.5703125" style="163" bestFit="1" customWidth="1"/>
    <col min="3" max="3" width="16.140625" style="53" bestFit="1" customWidth="1"/>
    <col min="4" max="4" width="17.85546875" style="163" customWidth="1"/>
    <col min="5" max="7" width="13.85546875" style="163" bestFit="1" customWidth="1"/>
    <col min="8" max="10" width="11.42578125" style="163"/>
    <col min="11" max="11" width="13.85546875" style="163" bestFit="1" customWidth="1"/>
    <col min="12" max="233" width="11.42578125" style="163"/>
    <col min="234" max="234" width="11.42578125" style="163" customWidth="1"/>
    <col min="235" max="235" width="43.140625" style="163" bestFit="1" customWidth="1"/>
    <col min="236" max="236" width="33.140625" style="163" bestFit="1" customWidth="1"/>
    <col min="237" max="237" width="18.28515625" style="163" bestFit="1" customWidth="1"/>
    <col min="238" max="238" width="13.42578125" style="163" bestFit="1" customWidth="1"/>
    <col min="239" max="239" width="11.42578125" style="163" customWidth="1"/>
    <col min="240" max="240" width="15.85546875" style="163" bestFit="1" customWidth="1"/>
    <col min="241" max="241" width="14.85546875" style="163" bestFit="1" customWidth="1"/>
    <col min="242" max="242" width="13.85546875" style="163" bestFit="1" customWidth="1"/>
    <col min="243" max="243" width="11.42578125" style="163"/>
    <col min="244" max="244" width="43.140625" style="163" bestFit="1" customWidth="1"/>
    <col min="245" max="245" width="26.7109375" style="163" bestFit="1" customWidth="1"/>
    <col min="246" max="246" width="18.28515625" style="163" bestFit="1" customWidth="1"/>
    <col min="247" max="247" width="13.85546875" style="163" bestFit="1" customWidth="1"/>
    <col min="248" max="248" width="9.28515625" style="163" bestFit="1" customWidth="1"/>
    <col min="249" max="249" width="13.42578125" style="163" bestFit="1" customWidth="1"/>
    <col min="250" max="489" width="11.42578125" style="163"/>
    <col min="490" max="490" width="11.42578125" style="163" customWidth="1"/>
    <col min="491" max="491" width="43.140625" style="163" bestFit="1" customWidth="1"/>
    <col min="492" max="492" width="33.140625" style="163" bestFit="1" customWidth="1"/>
    <col min="493" max="493" width="18.28515625" style="163" bestFit="1" customWidth="1"/>
    <col min="494" max="494" width="13.42578125" style="163" bestFit="1" customWidth="1"/>
    <col min="495" max="495" width="11.42578125" style="163" customWidth="1"/>
    <col min="496" max="496" width="15.85546875" style="163" bestFit="1" customWidth="1"/>
    <col min="497" max="497" width="14.85546875" style="163" bestFit="1" customWidth="1"/>
    <col min="498" max="498" width="13.85546875" style="163" bestFit="1" customWidth="1"/>
    <col min="499" max="499" width="11.42578125" style="163"/>
    <col min="500" max="500" width="43.140625" style="163" bestFit="1" customWidth="1"/>
    <col min="501" max="501" width="26.7109375" style="163" bestFit="1" customWidth="1"/>
    <col min="502" max="502" width="18.28515625" style="163" bestFit="1" customWidth="1"/>
    <col min="503" max="503" width="13.85546875" style="163" bestFit="1" customWidth="1"/>
    <col min="504" max="504" width="9.28515625" style="163" bestFit="1" customWidth="1"/>
    <col min="505" max="505" width="13.42578125" style="163" bestFit="1" customWidth="1"/>
    <col min="506" max="745" width="11.42578125" style="163"/>
    <col min="746" max="746" width="11.42578125" style="163" customWidth="1"/>
    <col min="747" max="747" width="43.140625" style="163" bestFit="1" customWidth="1"/>
    <col min="748" max="748" width="33.140625" style="163" bestFit="1" customWidth="1"/>
    <col min="749" max="749" width="18.28515625" style="163" bestFit="1" customWidth="1"/>
    <col min="750" max="750" width="13.42578125" style="163" bestFit="1" customWidth="1"/>
    <col min="751" max="751" width="11.42578125" style="163" customWidth="1"/>
    <col min="752" max="752" width="15.85546875" style="163" bestFit="1" customWidth="1"/>
    <col min="753" max="753" width="14.85546875" style="163" bestFit="1" customWidth="1"/>
    <col min="754" max="754" width="13.85546875" style="163" bestFit="1" customWidth="1"/>
    <col min="755" max="755" width="11.42578125" style="163"/>
    <col min="756" max="756" width="43.140625" style="163" bestFit="1" customWidth="1"/>
    <col min="757" max="757" width="26.7109375" style="163" bestFit="1" customWidth="1"/>
    <col min="758" max="758" width="18.28515625" style="163" bestFit="1" customWidth="1"/>
    <col min="759" max="759" width="13.85546875" style="163" bestFit="1" customWidth="1"/>
    <col min="760" max="760" width="9.28515625" style="163" bestFit="1" customWidth="1"/>
    <col min="761" max="761" width="13.42578125" style="163" bestFit="1" customWidth="1"/>
    <col min="762" max="1001" width="11.42578125" style="163"/>
    <col min="1002" max="1002" width="11.42578125" style="163" customWidth="1"/>
    <col min="1003" max="1003" width="43.140625" style="163" bestFit="1" customWidth="1"/>
    <col min="1004" max="1004" width="33.140625" style="163" bestFit="1" customWidth="1"/>
    <col min="1005" max="1005" width="18.28515625" style="163" bestFit="1" customWidth="1"/>
    <col min="1006" max="1006" width="13.42578125" style="163" bestFit="1" customWidth="1"/>
    <col min="1007" max="1007" width="11.42578125" style="163" customWidth="1"/>
    <col min="1008" max="1008" width="15.85546875" style="163" bestFit="1" customWidth="1"/>
    <col min="1009" max="1009" width="14.85546875" style="163" bestFit="1" customWidth="1"/>
    <col min="1010" max="1010" width="13.85546875" style="163" bestFit="1" customWidth="1"/>
    <col min="1011" max="1011" width="11.42578125" style="163"/>
    <col min="1012" max="1012" width="43.140625" style="163" bestFit="1" customWidth="1"/>
    <col min="1013" max="1013" width="26.7109375" style="163" bestFit="1" customWidth="1"/>
    <col min="1014" max="1014" width="18.28515625" style="163" bestFit="1" customWidth="1"/>
    <col min="1015" max="1015" width="13.85546875" style="163" bestFit="1" customWidth="1"/>
    <col min="1016" max="1016" width="9.28515625" style="163" bestFit="1" customWidth="1"/>
    <col min="1017" max="1017" width="13.42578125" style="163" bestFit="1" customWidth="1"/>
    <col min="1018" max="1257" width="11.42578125" style="163"/>
    <col min="1258" max="1258" width="11.42578125" style="163" customWidth="1"/>
    <col min="1259" max="1259" width="43.140625" style="163" bestFit="1" customWidth="1"/>
    <col min="1260" max="1260" width="33.140625" style="163" bestFit="1" customWidth="1"/>
    <col min="1261" max="1261" width="18.28515625" style="163" bestFit="1" customWidth="1"/>
    <col min="1262" max="1262" width="13.42578125" style="163" bestFit="1" customWidth="1"/>
    <col min="1263" max="1263" width="11.42578125" style="163" customWidth="1"/>
    <col min="1264" max="1264" width="15.85546875" style="163" bestFit="1" customWidth="1"/>
    <col min="1265" max="1265" width="14.85546875" style="163" bestFit="1" customWidth="1"/>
    <col min="1266" max="1266" width="13.85546875" style="163" bestFit="1" customWidth="1"/>
    <col min="1267" max="1267" width="11.42578125" style="163"/>
    <col min="1268" max="1268" width="43.140625" style="163" bestFit="1" customWidth="1"/>
    <col min="1269" max="1269" width="26.7109375" style="163" bestFit="1" customWidth="1"/>
    <col min="1270" max="1270" width="18.28515625" style="163" bestFit="1" customWidth="1"/>
    <col min="1271" max="1271" width="13.85546875" style="163" bestFit="1" customWidth="1"/>
    <col min="1272" max="1272" width="9.28515625" style="163" bestFit="1" customWidth="1"/>
    <col min="1273" max="1273" width="13.42578125" style="163" bestFit="1" customWidth="1"/>
    <col min="1274" max="1513" width="11.42578125" style="163"/>
    <col min="1514" max="1514" width="11.42578125" style="163" customWidth="1"/>
    <col min="1515" max="1515" width="43.140625" style="163" bestFit="1" customWidth="1"/>
    <col min="1516" max="1516" width="33.140625" style="163" bestFit="1" customWidth="1"/>
    <col min="1517" max="1517" width="18.28515625" style="163" bestFit="1" customWidth="1"/>
    <col min="1518" max="1518" width="13.42578125" style="163" bestFit="1" customWidth="1"/>
    <col min="1519" max="1519" width="11.42578125" style="163" customWidth="1"/>
    <col min="1520" max="1520" width="15.85546875" style="163" bestFit="1" customWidth="1"/>
    <col min="1521" max="1521" width="14.85546875" style="163" bestFit="1" customWidth="1"/>
    <col min="1522" max="1522" width="13.85546875" style="163" bestFit="1" customWidth="1"/>
    <col min="1523" max="1523" width="11.42578125" style="163"/>
    <col min="1524" max="1524" width="43.140625" style="163" bestFit="1" customWidth="1"/>
    <col min="1525" max="1525" width="26.7109375" style="163" bestFit="1" customWidth="1"/>
    <col min="1526" max="1526" width="18.28515625" style="163" bestFit="1" customWidth="1"/>
    <col min="1527" max="1527" width="13.85546875" style="163" bestFit="1" customWidth="1"/>
    <col min="1528" max="1528" width="9.28515625" style="163" bestFit="1" customWidth="1"/>
    <col min="1529" max="1529" width="13.42578125" style="163" bestFit="1" customWidth="1"/>
    <col min="1530" max="1769" width="11.42578125" style="163"/>
    <col min="1770" max="1770" width="11.42578125" style="163" customWidth="1"/>
    <col min="1771" max="1771" width="43.140625" style="163" bestFit="1" customWidth="1"/>
    <col min="1772" max="1772" width="33.140625" style="163" bestFit="1" customWidth="1"/>
    <col min="1773" max="1773" width="18.28515625" style="163" bestFit="1" customWidth="1"/>
    <col min="1774" max="1774" width="13.42578125" style="163" bestFit="1" customWidth="1"/>
    <col min="1775" max="1775" width="11.42578125" style="163" customWidth="1"/>
    <col min="1776" max="1776" width="15.85546875" style="163" bestFit="1" customWidth="1"/>
    <col min="1777" max="1777" width="14.85546875" style="163" bestFit="1" customWidth="1"/>
    <col min="1778" max="1778" width="13.85546875" style="163" bestFit="1" customWidth="1"/>
    <col min="1779" max="1779" width="11.42578125" style="163"/>
    <col min="1780" max="1780" width="43.140625" style="163" bestFit="1" customWidth="1"/>
    <col min="1781" max="1781" width="26.7109375" style="163" bestFit="1" customWidth="1"/>
    <col min="1782" max="1782" width="18.28515625" style="163" bestFit="1" customWidth="1"/>
    <col min="1783" max="1783" width="13.85546875" style="163" bestFit="1" customWidth="1"/>
    <col min="1784" max="1784" width="9.28515625" style="163" bestFit="1" customWidth="1"/>
    <col min="1785" max="1785" width="13.42578125" style="163" bestFit="1" customWidth="1"/>
    <col min="1786" max="2025" width="11.42578125" style="163"/>
    <col min="2026" max="2026" width="11.42578125" style="163" customWidth="1"/>
    <col min="2027" max="2027" width="43.140625" style="163" bestFit="1" customWidth="1"/>
    <col min="2028" max="2028" width="33.140625" style="163" bestFit="1" customWidth="1"/>
    <col min="2029" max="2029" width="18.28515625" style="163" bestFit="1" customWidth="1"/>
    <col min="2030" max="2030" width="13.42578125" style="163" bestFit="1" customWidth="1"/>
    <col min="2031" max="2031" width="11.42578125" style="163" customWidth="1"/>
    <col min="2032" max="2032" width="15.85546875" style="163" bestFit="1" customWidth="1"/>
    <col min="2033" max="2033" width="14.85546875" style="163" bestFit="1" customWidth="1"/>
    <col min="2034" max="2034" width="13.85546875" style="163" bestFit="1" customWidth="1"/>
    <col min="2035" max="2035" width="11.42578125" style="163"/>
    <col min="2036" max="2036" width="43.140625" style="163" bestFit="1" customWidth="1"/>
    <col min="2037" max="2037" width="26.7109375" style="163" bestFit="1" customWidth="1"/>
    <col min="2038" max="2038" width="18.28515625" style="163" bestFit="1" customWidth="1"/>
    <col min="2039" max="2039" width="13.85546875" style="163" bestFit="1" customWidth="1"/>
    <col min="2040" max="2040" width="9.28515625" style="163" bestFit="1" customWidth="1"/>
    <col min="2041" max="2041" width="13.42578125" style="163" bestFit="1" customWidth="1"/>
    <col min="2042" max="2281" width="11.42578125" style="163"/>
    <col min="2282" max="2282" width="11.42578125" style="163" customWidth="1"/>
    <col min="2283" max="2283" width="43.140625" style="163" bestFit="1" customWidth="1"/>
    <col min="2284" max="2284" width="33.140625" style="163" bestFit="1" customWidth="1"/>
    <col min="2285" max="2285" width="18.28515625" style="163" bestFit="1" customWidth="1"/>
    <col min="2286" max="2286" width="13.42578125" style="163" bestFit="1" customWidth="1"/>
    <col min="2287" max="2287" width="11.42578125" style="163" customWidth="1"/>
    <col min="2288" max="2288" width="15.85546875" style="163" bestFit="1" customWidth="1"/>
    <col min="2289" max="2289" width="14.85546875" style="163" bestFit="1" customWidth="1"/>
    <col min="2290" max="2290" width="13.85546875" style="163" bestFit="1" customWidth="1"/>
    <col min="2291" max="2291" width="11.42578125" style="163"/>
    <col min="2292" max="2292" width="43.140625" style="163" bestFit="1" customWidth="1"/>
    <col min="2293" max="2293" width="26.7109375" style="163" bestFit="1" customWidth="1"/>
    <col min="2294" max="2294" width="18.28515625" style="163" bestFit="1" customWidth="1"/>
    <col min="2295" max="2295" width="13.85546875" style="163" bestFit="1" customWidth="1"/>
    <col min="2296" max="2296" width="9.28515625" style="163" bestFit="1" customWidth="1"/>
    <col min="2297" max="2297" width="13.42578125" style="163" bestFit="1" customWidth="1"/>
    <col min="2298" max="2537" width="11.42578125" style="163"/>
    <col min="2538" max="2538" width="11.42578125" style="163" customWidth="1"/>
    <col min="2539" max="2539" width="43.140625" style="163" bestFit="1" customWidth="1"/>
    <col min="2540" max="2540" width="33.140625" style="163" bestFit="1" customWidth="1"/>
    <col min="2541" max="2541" width="18.28515625" style="163" bestFit="1" customWidth="1"/>
    <col min="2542" max="2542" width="13.42578125" style="163" bestFit="1" customWidth="1"/>
    <col min="2543" max="2543" width="11.42578125" style="163" customWidth="1"/>
    <col min="2544" max="2544" width="15.85546875" style="163" bestFit="1" customWidth="1"/>
    <col min="2545" max="2545" width="14.85546875" style="163" bestFit="1" customWidth="1"/>
    <col min="2546" max="2546" width="13.85546875" style="163" bestFit="1" customWidth="1"/>
    <col min="2547" max="2547" width="11.42578125" style="163"/>
    <col min="2548" max="2548" width="43.140625" style="163" bestFit="1" customWidth="1"/>
    <col min="2549" max="2549" width="26.7109375" style="163" bestFit="1" customWidth="1"/>
    <col min="2550" max="2550" width="18.28515625" style="163" bestFit="1" customWidth="1"/>
    <col min="2551" max="2551" width="13.85546875" style="163" bestFit="1" customWidth="1"/>
    <col min="2552" max="2552" width="9.28515625" style="163" bestFit="1" customWidth="1"/>
    <col min="2553" max="2553" width="13.42578125" style="163" bestFit="1" customWidth="1"/>
    <col min="2554" max="2793" width="11.42578125" style="163"/>
    <col min="2794" max="2794" width="11.42578125" style="163" customWidth="1"/>
    <col min="2795" max="2795" width="43.140625" style="163" bestFit="1" customWidth="1"/>
    <col min="2796" max="2796" width="33.140625" style="163" bestFit="1" customWidth="1"/>
    <col min="2797" max="2797" width="18.28515625" style="163" bestFit="1" customWidth="1"/>
    <col min="2798" max="2798" width="13.42578125" style="163" bestFit="1" customWidth="1"/>
    <col min="2799" max="2799" width="11.42578125" style="163" customWidth="1"/>
    <col min="2800" max="2800" width="15.85546875" style="163" bestFit="1" customWidth="1"/>
    <col min="2801" max="2801" width="14.85546875" style="163" bestFit="1" customWidth="1"/>
    <col min="2802" max="2802" width="13.85546875" style="163" bestFit="1" customWidth="1"/>
    <col min="2803" max="2803" width="11.42578125" style="163"/>
    <col min="2804" max="2804" width="43.140625" style="163" bestFit="1" customWidth="1"/>
    <col min="2805" max="2805" width="26.7109375" style="163" bestFit="1" customWidth="1"/>
    <col min="2806" max="2806" width="18.28515625" style="163" bestFit="1" customWidth="1"/>
    <col min="2807" max="2807" width="13.85546875" style="163" bestFit="1" customWidth="1"/>
    <col min="2808" max="2808" width="9.28515625" style="163" bestFit="1" customWidth="1"/>
    <col min="2809" max="2809" width="13.42578125" style="163" bestFit="1" customWidth="1"/>
    <col min="2810" max="3049" width="11.42578125" style="163"/>
    <col min="3050" max="3050" width="11.42578125" style="163" customWidth="1"/>
    <col min="3051" max="3051" width="43.140625" style="163" bestFit="1" customWidth="1"/>
    <col min="3052" max="3052" width="33.140625" style="163" bestFit="1" customWidth="1"/>
    <col min="3053" max="3053" width="18.28515625" style="163" bestFit="1" customWidth="1"/>
    <col min="3054" max="3054" width="13.42578125" style="163" bestFit="1" customWidth="1"/>
    <col min="3055" max="3055" width="11.42578125" style="163" customWidth="1"/>
    <col min="3056" max="3056" width="15.85546875" style="163" bestFit="1" customWidth="1"/>
    <col min="3057" max="3057" width="14.85546875" style="163" bestFit="1" customWidth="1"/>
    <col min="3058" max="3058" width="13.85546875" style="163" bestFit="1" customWidth="1"/>
    <col min="3059" max="3059" width="11.42578125" style="163"/>
    <col min="3060" max="3060" width="43.140625" style="163" bestFit="1" customWidth="1"/>
    <col min="3061" max="3061" width="26.7109375" style="163" bestFit="1" customWidth="1"/>
    <col min="3062" max="3062" width="18.28515625" style="163" bestFit="1" customWidth="1"/>
    <col min="3063" max="3063" width="13.85546875" style="163" bestFit="1" customWidth="1"/>
    <col min="3064" max="3064" width="9.28515625" style="163" bestFit="1" customWidth="1"/>
    <col min="3065" max="3065" width="13.42578125" style="163" bestFit="1" customWidth="1"/>
    <col min="3066" max="3305" width="11.42578125" style="163"/>
    <col min="3306" max="3306" width="11.42578125" style="163" customWidth="1"/>
    <col min="3307" max="3307" width="43.140625" style="163" bestFit="1" customWidth="1"/>
    <col min="3308" max="3308" width="33.140625" style="163" bestFit="1" customWidth="1"/>
    <col min="3309" max="3309" width="18.28515625" style="163" bestFit="1" customWidth="1"/>
    <col min="3310" max="3310" width="13.42578125" style="163" bestFit="1" customWidth="1"/>
    <col min="3311" max="3311" width="11.42578125" style="163" customWidth="1"/>
    <col min="3312" max="3312" width="15.85546875" style="163" bestFit="1" customWidth="1"/>
    <col min="3313" max="3313" width="14.85546875" style="163" bestFit="1" customWidth="1"/>
    <col min="3314" max="3314" width="13.85546875" style="163" bestFit="1" customWidth="1"/>
    <col min="3315" max="3315" width="11.42578125" style="163"/>
    <col min="3316" max="3316" width="43.140625" style="163" bestFit="1" customWidth="1"/>
    <col min="3317" max="3317" width="26.7109375" style="163" bestFit="1" customWidth="1"/>
    <col min="3318" max="3318" width="18.28515625" style="163" bestFit="1" customWidth="1"/>
    <col min="3319" max="3319" width="13.85546875" style="163" bestFit="1" customWidth="1"/>
    <col min="3320" max="3320" width="9.28515625" style="163" bestFit="1" customWidth="1"/>
    <col min="3321" max="3321" width="13.42578125" style="163" bestFit="1" customWidth="1"/>
    <col min="3322" max="3561" width="11.42578125" style="163"/>
    <col min="3562" max="3562" width="11.42578125" style="163" customWidth="1"/>
    <col min="3563" max="3563" width="43.140625" style="163" bestFit="1" customWidth="1"/>
    <col min="3564" max="3564" width="33.140625" style="163" bestFit="1" customWidth="1"/>
    <col min="3565" max="3565" width="18.28515625" style="163" bestFit="1" customWidth="1"/>
    <col min="3566" max="3566" width="13.42578125" style="163" bestFit="1" customWidth="1"/>
    <col min="3567" max="3567" width="11.42578125" style="163" customWidth="1"/>
    <col min="3568" max="3568" width="15.85546875" style="163" bestFit="1" customWidth="1"/>
    <col min="3569" max="3569" width="14.85546875" style="163" bestFit="1" customWidth="1"/>
    <col min="3570" max="3570" width="13.85546875" style="163" bestFit="1" customWidth="1"/>
    <col min="3571" max="3571" width="11.42578125" style="163"/>
    <col min="3572" max="3572" width="43.140625" style="163" bestFit="1" customWidth="1"/>
    <col min="3573" max="3573" width="26.7109375" style="163" bestFit="1" customWidth="1"/>
    <col min="3574" max="3574" width="18.28515625" style="163" bestFit="1" customWidth="1"/>
    <col min="3575" max="3575" width="13.85546875" style="163" bestFit="1" customWidth="1"/>
    <col min="3576" max="3576" width="9.28515625" style="163" bestFit="1" customWidth="1"/>
    <col min="3577" max="3577" width="13.42578125" style="163" bestFit="1" customWidth="1"/>
    <col min="3578" max="3817" width="11.42578125" style="163"/>
    <col min="3818" max="3818" width="11.42578125" style="163" customWidth="1"/>
    <col min="3819" max="3819" width="43.140625" style="163" bestFit="1" customWidth="1"/>
    <col min="3820" max="3820" width="33.140625" style="163" bestFit="1" customWidth="1"/>
    <col min="3821" max="3821" width="18.28515625" style="163" bestFit="1" customWidth="1"/>
    <col min="3822" max="3822" width="13.42578125" style="163" bestFit="1" customWidth="1"/>
    <col min="3823" max="3823" width="11.42578125" style="163" customWidth="1"/>
    <col min="3824" max="3824" width="15.85546875" style="163" bestFit="1" customWidth="1"/>
    <col min="3825" max="3825" width="14.85546875" style="163" bestFit="1" customWidth="1"/>
    <col min="3826" max="3826" width="13.85546875" style="163" bestFit="1" customWidth="1"/>
    <col min="3827" max="3827" width="11.42578125" style="163"/>
    <col min="3828" max="3828" width="43.140625" style="163" bestFit="1" customWidth="1"/>
    <col min="3829" max="3829" width="26.7109375" style="163" bestFit="1" customWidth="1"/>
    <col min="3830" max="3830" width="18.28515625" style="163" bestFit="1" customWidth="1"/>
    <col min="3831" max="3831" width="13.85546875" style="163" bestFit="1" customWidth="1"/>
    <col min="3832" max="3832" width="9.28515625" style="163" bestFit="1" customWidth="1"/>
    <col min="3833" max="3833" width="13.42578125" style="163" bestFit="1" customWidth="1"/>
    <col min="3834" max="4073" width="11.42578125" style="163"/>
    <col min="4074" max="4074" width="11.42578125" style="163" customWidth="1"/>
    <col min="4075" max="4075" width="43.140625" style="163" bestFit="1" customWidth="1"/>
    <col min="4076" max="4076" width="33.140625" style="163" bestFit="1" customWidth="1"/>
    <col min="4077" max="4077" width="18.28515625" style="163" bestFit="1" customWidth="1"/>
    <col min="4078" max="4078" width="13.42578125" style="163" bestFit="1" customWidth="1"/>
    <col min="4079" max="4079" width="11.42578125" style="163" customWidth="1"/>
    <col min="4080" max="4080" width="15.85546875" style="163" bestFit="1" customWidth="1"/>
    <col min="4081" max="4081" width="14.85546875" style="163" bestFit="1" customWidth="1"/>
    <col min="4082" max="4082" width="13.85546875" style="163" bestFit="1" customWidth="1"/>
    <col min="4083" max="4083" width="11.42578125" style="163"/>
    <col min="4084" max="4084" width="43.140625" style="163" bestFit="1" customWidth="1"/>
    <col min="4085" max="4085" width="26.7109375" style="163" bestFit="1" customWidth="1"/>
    <col min="4086" max="4086" width="18.28515625" style="163" bestFit="1" customWidth="1"/>
    <col min="4087" max="4087" width="13.85546875" style="163" bestFit="1" customWidth="1"/>
    <col min="4088" max="4088" width="9.28515625" style="163" bestFit="1" customWidth="1"/>
    <col min="4089" max="4089" width="13.42578125" style="163" bestFit="1" customWidth="1"/>
    <col min="4090" max="4329" width="11.42578125" style="163"/>
    <col min="4330" max="4330" width="11.42578125" style="163" customWidth="1"/>
    <col min="4331" max="4331" width="43.140625" style="163" bestFit="1" customWidth="1"/>
    <col min="4332" max="4332" width="33.140625" style="163" bestFit="1" customWidth="1"/>
    <col min="4333" max="4333" width="18.28515625" style="163" bestFit="1" customWidth="1"/>
    <col min="4334" max="4334" width="13.42578125" style="163" bestFit="1" customWidth="1"/>
    <col min="4335" max="4335" width="11.42578125" style="163" customWidth="1"/>
    <col min="4336" max="4336" width="15.85546875" style="163" bestFit="1" customWidth="1"/>
    <col min="4337" max="4337" width="14.85546875" style="163" bestFit="1" customWidth="1"/>
    <col min="4338" max="4338" width="13.85546875" style="163" bestFit="1" customWidth="1"/>
    <col min="4339" max="4339" width="11.42578125" style="163"/>
    <col min="4340" max="4340" width="43.140625" style="163" bestFit="1" customWidth="1"/>
    <col min="4341" max="4341" width="26.7109375" style="163" bestFit="1" customWidth="1"/>
    <col min="4342" max="4342" width="18.28515625" style="163" bestFit="1" customWidth="1"/>
    <col min="4343" max="4343" width="13.85546875" style="163" bestFit="1" customWidth="1"/>
    <col min="4344" max="4344" width="9.28515625" style="163" bestFit="1" customWidth="1"/>
    <col min="4345" max="4345" width="13.42578125" style="163" bestFit="1" customWidth="1"/>
    <col min="4346" max="4585" width="11.42578125" style="163"/>
    <col min="4586" max="4586" width="11.42578125" style="163" customWidth="1"/>
    <col min="4587" max="4587" width="43.140625" style="163" bestFit="1" customWidth="1"/>
    <col min="4588" max="4588" width="33.140625" style="163" bestFit="1" customWidth="1"/>
    <col min="4589" max="4589" width="18.28515625" style="163" bestFit="1" customWidth="1"/>
    <col min="4590" max="4590" width="13.42578125" style="163" bestFit="1" customWidth="1"/>
    <col min="4591" max="4591" width="11.42578125" style="163" customWidth="1"/>
    <col min="4592" max="4592" width="15.85546875" style="163" bestFit="1" customWidth="1"/>
    <col min="4593" max="4593" width="14.85546875" style="163" bestFit="1" customWidth="1"/>
    <col min="4594" max="4594" width="13.85546875" style="163" bestFit="1" customWidth="1"/>
    <col min="4595" max="4595" width="11.42578125" style="163"/>
    <col min="4596" max="4596" width="43.140625" style="163" bestFit="1" customWidth="1"/>
    <col min="4597" max="4597" width="26.7109375" style="163" bestFit="1" customWidth="1"/>
    <col min="4598" max="4598" width="18.28515625" style="163" bestFit="1" customWidth="1"/>
    <col min="4599" max="4599" width="13.85546875" style="163" bestFit="1" customWidth="1"/>
    <col min="4600" max="4600" width="9.28515625" style="163" bestFit="1" customWidth="1"/>
    <col min="4601" max="4601" width="13.42578125" style="163" bestFit="1" customWidth="1"/>
    <col min="4602" max="4841" width="11.42578125" style="163"/>
    <col min="4842" max="4842" width="11.42578125" style="163" customWidth="1"/>
    <col min="4843" max="4843" width="43.140625" style="163" bestFit="1" customWidth="1"/>
    <col min="4844" max="4844" width="33.140625" style="163" bestFit="1" customWidth="1"/>
    <col min="4845" max="4845" width="18.28515625" style="163" bestFit="1" customWidth="1"/>
    <col min="4846" max="4846" width="13.42578125" style="163" bestFit="1" customWidth="1"/>
    <col min="4847" max="4847" width="11.42578125" style="163" customWidth="1"/>
    <col min="4848" max="4848" width="15.85546875" style="163" bestFit="1" customWidth="1"/>
    <col min="4849" max="4849" width="14.85546875" style="163" bestFit="1" customWidth="1"/>
    <col min="4850" max="4850" width="13.85546875" style="163" bestFit="1" customWidth="1"/>
    <col min="4851" max="4851" width="11.42578125" style="163"/>
    <col min="4852" max="4852" width="43.140625" style="163" bestFit="1" customWidth="1"/>
    <col min="4853" max="4853" width="26.7109375" style="163" bestFit="1" customWidth="1"/>
    <col min="4854" max="4854" width="18.28515625" style="163" bestFit="1" customWidth="1"/>
    <col min="4855" max="4855" width="13.85546875" style="163" bestFit="1" customWidth="1"/>
    <col min="4856" max="4856" width="9.28515625" style="163" bestFit="1" customWidth="1"/>
    <col min="4857" max="4857" width="13.42578125" style="163" bestFit="1" customWidth="1"/>
    <col min="4858" max="5097" width="11.42578125" style="163"/>
    <col min="5098" max="5098" width="11.42578125" style="163" customWidth="1"/>
    <col min="5099" max="5099" width="43.140625" style="163" bestFit="1" customWidth="1"/>
    <col min="5100" max="5100" width="33.140625" style="163" bestFit="1" customWidth="1"/>
    <col min="5101" max="5101" width="18.28515625" style="163" bestFit="1" customWidth="1"/>
    <col min="5102" max="5102" width="13.42578125" style="163" bestFit="1" customWidth="1"/>
    <col min="5103" max="5103" width="11.42578125" style="163" customWidth="1"/>
    <col min="5104" max="5104" width="15.85546875" style="163" bestFit="1" customWidth="1"/>
    <col min="5105" max="5105" width="14.85546875" style="163" bestFit="1" customWidth="1"/>
    <col min="5106" max="5106" width="13.85546875" style="163" bestFit="1" customWidth="1"/>
    <col min="5107" max="5107" width="11.42578125" style="163"/>
    <col min="5108" max="5108" width="43.140625" style="163" bestFit="1" customWidth="1"/>
    <col min="5109" max="5109" width="26.7109375" style="163" bestFit="1" customWidth="1"/>
    <col min="5110" max="5110" width="18.28515625" style="163" bestFit="1" customWidth="1"/>
    <col min="5111" max="5111" width="13.85546875" style="163" bestFit="1" customWidth="1"/>
    <col min="5112" max="5112" width="9.28515625" style="163" bestFit="1" customWidth="1"/>
    <col min="5113" max="5113" width="13.42578125" style="163" bestFit="1" customWidth="1"/>
    <col min="5114" max="5353" width="11.42578125" style="163"/>
    <col min="5354" max="5354" width="11.42578125" style="163" customWidth="1"/>
    <col min="5355" max="5355" width="43.140625" style="163" bestFit="1" customWidth="1"/>
    <col min="5356" max="5356" width="33.140625" style="163" bestFit="1" customWidth="1"/>
    <col min="5357" max="5357" width="18.28515625" style="163" bestFit="1" customWidth="1"/>
    <col min="5358" max="5358" width="13.42578125" style="163" bestFit="1" customWidth="1"/>
    <col min="5359" max="5359" width="11.42578125" style="163" customWidth="1"/>
    <col min="5360" max="5360" width="15.85546875" style="163" bestFit="1" customWidth="1"/>
    <col min="5361" max="5361" width="14.85546875" style="163" bestFit="1" customWidth="1"/>
    <col min="5362" max="5362" width="13.85546875" style="163" bestFit="1" customWidth="1"/>
    <col min="5363" max="5363" width="11.42578125" style="163"/>
    <col min="5364" max="5364" width="43.140625" style="163" bestFit="1" customWidth="1"/>
    <col min="5365" max="5365" width="26.7109375" style="163" bestFit="1" customWidth="1"/>
    <col min="5366" max="5366" width="18.28515625" style="163" bestFit="1" customWidth="1"/>
    <col min="5367" max="5367" width="13.85546875" style="163" bestFit="1" customWidth="1"/>
    <col min="5368" max="5368" width="9.28515625" style="163" bestFit="1" customWidth="1"/>
    <col min="5369" max="5369" width="13.42578125" style="163" bestFit="1" customWidth="1"/>
    <col min="5370" max="5609" width="11.42578125" style="163"/>
    <col min="5610" max="5610" width="11.42578125" style="163" customWidth="1"/>
    <col min="5611" max="5611" width="43.140625" style="163" bestFit="1" customWidth="1"/>
    <col min="5612" max="5612" width="33.140625" style="163" bestFit="1" customWidth="1"/>
    <col min="5613" max="5613" width="18.28515625" style="163" bestFit="1" customWidth="1"/>
    <col min="5614" max="5614" width="13.42578125" style="163" bestFit="1" customWidth="1"/>
    <col min="5615" max="5615" width="11.42578125" style="163" customWidth="1"/>
    <col min="5616" max="5616" width="15.85546875" style="163" bestFit="1" customWidth="1"/>
    <col min="5617" max="5617" width="14.85546875" style="163" bestFit="1" customWidth="1"/>
    <col min="5618" max="5618" width="13.85546875" style="163" bestFit="1" customWidth="1"/>
    <col min="5619" max="5619" width="11.42578125" style="163"/>
    <col min="5620" max="5620" width="43.140625" style="163" bestFit="1" customWidth="1"/>
    <col min="5621" max="5621" width="26.7109375" style="163" bestFit="1" customWidth="1"/>
    <col min="5622" max="5622" width="18.28515625" style="163" bestFit="1" customWidth="1"/>
    <col min="5623" max="5623" width="13.85546875" style="163" bestFit="1" customWidth="1"/>
    <col min="5624" max="5624" width="9.28515625" style="163" bestFit="1" customWidth="1"/>
    <col min="5625" max="5625" width="13.42578125" style="163" bestFit="1" customWidth="1"/>
    <col min="5626" max="5865" width="11.42578125" style="163"/>
    <col min="5866" max="5866" width="11.42578125" style="163" customWidth="1"/>
    <col min="5867" max="5867" width="43.140625" style="163" bestFit="1" customWidth="1"/>
    <col min="5868" max="5868" width="33.140625" style="163" bestFit="1" customWidth="1"/>
    <col min="5869" max="5869" width="18.28515625" style="163" bestFit="1" customWidth="1"/>
    <col min="5870" max="5870" width="13.42578125" style="163" bestFit="1" customWidth="1"/>
    <col min="5871" max="5871" width="11.42578125" style="163" customWidth="1"/>
    <col min="5872" max="5872" width="15.85546875" style="163" bestFit="1" customWidth="1"/>
    <col min="5873" max="5873" width="14.85546875" style="163" bestFit="1" customWidth="1"/>
    <col min="5874" max="5874" width="13.85546875" style="163" bestFit="1" customWidth="1"/>
    <col min="5875" max="5875" width="11.42578125" style="163"/>
    <col min="5876" max="5876" width="43.140625" style="163" bestFit="1" customWidth="1"/>
    <col min="5877" max="5877" width="26.7109375" style="163" bestFit="1" customWidth="1"/>
    <col min="5878" max="5878" width="18.28515625" style="163" bestFit="1" customWidth="1"/>
    <col min="5879" max="5879" width="13.85546875" style="163" bestFit="1" customWidth="1"/>
    <col min="5880" max="5880" width="9.28515625" style="163" bestFit="1" customWidth="1"/>
    <col min="5881" max="5881" width="13.42578125" style="163" bestFit="1" customWidth="1"/>
    <col min="5882" max="6121" width="11.42578125" style="163"/>
    <col min="6122" max="6122" width="11.42578125" style="163" customWidth="1"/>
    <col min="6123" max="6123" width="43.140625" style="163" bestFit="1" customWidth="1"/>
    <col min="6124" max="6124" width="33.140625" style="163" bestFit="1" customWidth="1"/>
    <col min="6125" max="6125" width="18.28515625" style="163" bestFit="1" customWidth="1"/>
    <col min="6126" max="6126" width="13.42578125" style="163" bestFit="1" customWidth="1"/>
    <col min="6127" max="6127" width="11.42578125" style="163" customWidth="1"/>
    <col min="6128" max="6128" width="15.85546875" style="163" bestFit="1" customWidth="1"/>
    <col min="6129" max="6129" width="14.85546875" style="163" bestFit="1" customWidth="1"/>
    <col min="6130" max="6130" width="13.85546875" style="163" bestFit="1" customWidth="1"/>
    <col min="6131" max="6131" width="11.42578125" style="163"/>
    <col min="6132" max="6132" width="43.140625" style="163" bestFit="1" customWidth="1"/>
    <col min="6133" max="6133" width="26.7109375" style="163" bestFit="1" customWidth="1"/>
    <col min="6134" max="6134" width="18.28515625" style="163" bestFit="1" customWidth="1"/>
    <col min="6135" max="6135" width="13.85546875" style="163" bestFit="1" customWidth="1"/>
    <col min="6136" max="6136" width="9.28515625" style="163" bestFit="1" customWidth="1"/>
    <col min="6137" max="6137" width="13.42578125" style="163" bestFit="1" customWidth="1"/>
    <col min="6138" max="6377" width="11.42578125" style="163"/>
    <col min="6378" max="6378" width="11.42578125" style="163" customWidth="1"/>
    <col min="6379" max="6379" width="43.140625" style="163" bestFit="1" customWidth="1"/>
    <col min="6380" max="6380" width="33.140625" style="163" bestFit="1" customWidth="1"/>
    <col min="6381" max="6381" width="18.28515625" style="163" bestFit="1" customWidth="1"/>
    <col min="6382" max="6382" width="13.42578125" style="163" bestFit="1" customWidth="1"/>
    <col min="6383" max="6383" width="11.42578125" style="163" customWidth="1"/>
    <col min="6384" max="6384" width="15.85546875" style="163" bestFit="1" customWidth="1"/>
    <col min="6385" max="6385" width="14.85546875" style="163" bestFit="1" customWidth="1"/>
    <col min="6386" max="6386" width="13.85546875" style="163" bestFit="1" customWidth="1"/>
    <col min="6387" max="6387" width="11.42578125" style="163"/>
    <col min="6388" max="6388" width="43.140625" style="163" bestFit="1" customWidth="1"/>
    <col min="6389" max="6389" width="26.7109375" style="163" bestFit="1" customWidth="1"/>
    <col min="6390" max="6390" width="18.28515625" style="163" bestFit="1" customWidth="1"/>
    <col min="6391" max="6391" width="13.85546875" style="163" bestFit="1" customWidth="1"/>
    <col min="6392" max="6392" width="9.28515625" style="163" bestFit="1" customWidth="1"/>
    <col min="6393" max="6393" width="13.42578125" style="163" bestFit="1" customWidth="1"/>
    <col min="6394" max="6633" width="11.42578125" style="163"/>
    <col min="6634" max="6634" width="11.42578125" style="163" customWidth="1"/>
    <col min="6635" max="6635" width="43.140625" style="163" bestFit="1" customWidth="1"/>
    <col min="6636" max="6636" width="33.140625" style="163" bestFit="1" customWidth="1"/>
    <col min="6637" max="6637" width="18.28515625" style="163" bestFit="1" customWidth="1"/>
    <col min="6638" max="6638" width="13.42578125" style="163" bestFit="1" customWidth="1"/>
    <col min="6639" max="6639" width="11.42578125" style="163" customWidth="1"/>
    <col min="6640" max="6640" width="15.85546875" style="163" bestFit="1" customWidth="1"/>
    <col min="6641" max="6641" width="14.85546875" style="163" bestFit="1" customWidth="1"/>
    <col min="6642" max="6642" width="13.85546875" style="163" bestFit="1" customWidth="1"/>
    <col min="6643" max="6643" width="11.42578125" style="163"/>
    <col min="6644" max="6644" width="43.140625" style="163" bestFit="1" customWidth="1"/>
    <col min="6645" max="6645" width="26.7109375" style="163" bestFit="1" customWidth="1"/>
    <col min="6646" max="6646" width="18.28515625" style="163" bestFit="1" customWidth="1"/>
    <col min="6647" max="6647" width="13.85546875" style="163" bestFit="1" customWidth="1"/>
    <col min="6648" max="6648" width="9.28515625" style="163" bestFit="1" customWidth="1"/>
    <col min="6649" max="6649" width="13.42578125" style="163" bestFit="1" customWidth="1"/>
    <col min="6650" max="6889" width="11.42578125" style="163"/>
    <col min="6890" max="6890" width="11.42578125" style="163" customWidth="1"/>
    <col min="6891" max="6891" width="43.140625" style="163" bestFit="1" customWidth="1"/>
    <col min="6892" max="6892" width="33.140625" style="163" bestFit="1" customWidth="1"/>
    <col min="6893" max="6893" width="18.28515625" style="163" bestFit="1" customWidth="1"/>
    <col min="6894" max="6894" width="13.42578125" style="163" bestFit="1" customWidth="1"/>
    <col min="6895" max="6895" width="11.42578125" style="163" customWidth="1"/>
    <col min="6896" max="6896" width="15.85546875" style="163" bestFit="1" customWidth="1"/>
    <col min="6897" max="6897" width="14.85546875" style="163" bestFit="1" customWidth="1"/>
    <col min="6898" max="6898" width="13.85546875" style="163" bestFit="1" customWidth="1"/>
    <col min="6899" max="6899" width="11.42578125" style="163"/>
    <col min="6900" max="6900" width="43.140625" style="163" bestFit="1" customWidth="1"/>
    <col min="6901" max="6901" width="26.7109375" style="163" bestFit="1" customWidth="1"/>
    <col min="6902" max="6902" width="18.28515625" style="163" bestFit="1" customWidth="1"/>
    <col min="6903" max="6903" width="13.85546875" style="163" bestFit="1" customWidth="1"/>
    <col min="6904" max="6904" width="9.28515625" style="163" bestFit="1" customWidth="1"/>
    <col min="6905" max="6905" width="13.42578125" style="163" bestFit="1" customWidth="1"/>
    <col min="6906" max="7145" width="11.42578125" style="163"/>
    <col min="7146" max="7146" width="11.42578125" style="163" customWidth="1"/>
    <col min="7147" max="7147" width="43.140625" style="163" bestFit="1" customWidth="1"/>
    <col min="7148" max="7148" width="33.140625" style="163" bestFit="1" customWidth="1"/>
    <col min="7149" max="7149" width="18.28515625" style="163" bestFit="1" customWidth="1"/>
    <col min="7150" max="7150" width="13.42578125" style="163" bestFit="1" customWidth="1"/>
    <col min="7151" max="7151" width="11.42578125" style="163" customWidth="1"/>
    <col min="7152" max="7152" width="15.85546875" style="163" bestFit="1" customWidth="1"/>
    <col min="7153" max="7153" width="14.85546875" style="163" bestFit="1" customWidth="1"/>
    <col min="7154" max="7154" width="13.85546875" style="163" bestFit="1" customWidth="1"/>
    <col min="7155" max="7155" width="11.42578125" style="163"/>
    <col min="7156" max="7156" width="43.140625" style="163" bestFit="1" customWidth="1"/>
    <col min="7157" max="7157" width="26.7109375" style="163" bestFit="1" customWidth="1"/>
    <col min="7158" max="7158" width="18.28515625" style="163" bestFit="1" customWidth="1"/>
    <col min="7159" max="7159" width="13.85546875" style="163" bestFit="1" customWidth="1"/>
    <col min="7160" max="7160" width="9.28515625" style="163" bestFit="1" customWidth="1"/>
    <col min="7161" max="7161" width="13.42578125" style="163" bestFit="1" customWidth="1"/>
    <col min="7162" max="7401" width="11.42578125" style="163"/>
    <col min="7402" max="7402" width="11.42578125" style="163" customWidth="1"/>
    <col min="7403" max="7403" width="43.140625" style="163" bestFit="1" customWidth="1"/>
    <col min="7404" max="7404" width="33.140625" style="163" bestFit="1" customWidth="1"/>
    <col min="7405" max="7405" width="18.28515625" style="163" bestFit="1" customWidth="1"/>
    <col min="7406" max="7406" width="13.42578125" style="163" bestFit="1" customWidth="1"/>
    <col min="7407" max="7407" width="11.42578125" style="163" customWidth="1"/>
    <col min="7408" max="7408" width="15.85546875" style="163" bestFit="1" customWidth="1"/>
    <col min="7409" max="7409" width="14.85546875" style="163" bestFit="1" customWidth="1"/>
    <col min="7410" max="7410" width="13.85546875" style="163" bestFit="1" customWidth="1"/>
    <col min="7411" max="7411" width="11.42578125" style="163"/>
    <col min="7412" max="7412" width="43.140625" style="163" bestFit="1" customWidth="1"/>
    <col min="7413" max="7413" width="26.7109375" style="163" bestFit="1" customWidth="1"/>
    <col min="7414" max="7414" width="18.28515625" style="163" bestFit="1" customWidth="1"/>
    <col min="7415" max="7415" width="13.85546875" style="163" bestFit="1" customWidth="1"/>
    <col min="7416" max="7416" width="9.28515625" style="163" bestFit="1" customWidth="1"/>
    <col min="7417" max="7417" width="13.42578125" style="163" bestFit="1" customWidth="1"/>
    <col min="7418" max="7657" width="11.42578125" style="163"/>
    <col min="7658" max="7658" width="11.42578125" style="163" customWidth="1"/>
    <col min="7659" max="7659" width="43.140625" style="163" bestFit="1" customWidth="1"/>
    <col min="7660" max="7660" width="33.140625" style="163" bestFit="1" customWidth="1"/>
    <col min="7661" max="7661" width="18.28515625" style="163" bestFit="1" customWidth="1"/>
    <col min="7662" max="7662" width="13.42578125" style="163" bestFit="1" customWidth="1"/>
    <col min="7663" max="7663" width="11.42578125" style="163" customWidth="1"/>
    <col min="7664" max="7664" width="15.85546875" style="163" bestFit="1" customWidth="1"/>
    <col min="7665" max="7665" width="14.85546875" style="163" bestFit="1" customWidth="1"/>
    <col min="7666" max="7666" width="13.85546875" style="163" bestFit="1" customWidth="1"/>
    <col min="7667" max="7667" width="11.42578125" style="163"/>
    <col min="7668" max="7668" width="43.140625" style="163" bestFit="1" customWidth="1"/>
    <col min="7669" max="7669" width="26.7109375" style="163" bestFit="1" customWidth="1"/>
    <col min="7670" max="7670" width="18.28515625" style="163" bestFit="1" customWidth="1"/>
    <col min="7671" max="7671" width="13.85546875" style="163" bestFit="1" customWidth="1"/>
    <col min="7672" max="7672" width="9.28515625" style="163" bestFit="1" customWidth="1"/>
    <col min="7673" max="7673" width="13.42578125" style="163" bestFit="1" customWidth="1"/>
    <col min="7674" max="7913" width="11.42578125" style="163"/>
    <col min="7914" max="7914" width="11.42578125" style="163" customWidth="1"/>
    <col min="7915" max="7915" width="43.140625" style="163" bestFit="1" customWidth="1"/>
    <col min="7916" max="7916" width="33.140625" style="163" bestFit="1" customWidth="1"/>
    <col min="7917" max="7917" width="18.28515625" style="163" bestFit="1" customWidth="1"/>
    <col min="7918" max="7918" width="13.42578125" style="163" bestFit="1" customWidth="1"/>
    <col min="7919" max="7919" width="11.42578125" style="163" customWidth="1"/>
    <col min="7920" max="7920" width="15.85546875" style="163" bestFit="1" customWidth="1"/>
    <col min="7921" max="7921" width="14.85546875" style="163" bestFit="1" customWidth="1"/>
    <col min="7922" max="7922" width="13.85546875" style="163" bestFit="1" customWidth="1"/>
    <col min="7923" max="7923" width="11.42578125" style="163"/>
    <col min="7924" max="7924" width="43.140625" style="163" bestFit="1" customWidth="1"/>
    <col min="7925" max="7925" width="26.7109375" style="163" bestFit="1" customWidth="1"/>
    <col min="7926" max="7926" width="18.28515625" style="163" bestFit="1" customWidth="1"/>
    <col min="7927" max="7927" width="13.85546875" style="163" bestFit="1" customWidth="1"/>
    <col min="7928" max="7928" width="9.28515625" style="163" bestFit="1" customWidth="1"/>
    <col min="7929" max="7929" width="13.42578125" style="163" bestFit="1" customWidth="1"/>
    <col min="7930" max="8169" width="11.42578125" style="163"/>
    <col min="8170" max="8170" width="11.42578125" style="163" customWidth="1"/>
    <col min="8171" max="8171" width="43.140625" style="163" bestFit="1" customWidth="1"/>
    <col min="8172" max="8172" width="33.140625" style="163" bestFit="1" customWidth="1"/>
    <col min="8173" max="8173" width="18.28515625" style="163" bestFit="1" customWidth="1"/>
    <col min="8174" max="8174" width="13.42578125" style="163" bestFit="1" customWidth="1"/>
    <col min="8175" max="8175" width="11.42578125" style="163" customWidth="1"/>
    <col min="8176" max="8176" width="15.85546875" style="163" bestFit="1" customWidth="1"/>
    <col min="8177" max="8177" width="14.85546875" style="163" bestFit="1" customWidth="1"/>
    <col min="8178" max="8178" width="13.85546875" style="163" bestFit="1" customWidth="1"/>
    <col min="8179" max="8179" width="11.42578125" style="163"/>
    <col min="8180" max="8180" width="43.140625" style="163" bestFit="1" customWidth="1"/>
    <col min="8181" max="8181" width="26.7109375" style="163" bestFit="1" customWidth="1"/>
    <col min="8182" max="8182" width="18.28515625" style="163" bestFit="1" customWidth="1"/>
    <col min="8183" max="8183" width="13.85546875" style="163" bestFit="1" customWidth="1"/>
    <col min="8184" max="8184" width="9.28515625" style="163" bestFit="1" customWidth="1"/>
    <col min="8185" max="8185" width="13.42578125" style="163" bestFit="1" customWidth="1"/>
    <col min="8186" max="8425" width="11.42578125" style="163"/>
    <col min="8426" max="8426" width="11.42578125" style="163" customWidth="1"/>
    <col min="8427" max="8427" width="43.140625" style="163" bestFit="1" customWidth="1"/>
    <col min="8428" max="8428" width="33.140625" style="163" bestFit="1" customWidth="1"/>
    <col min="8429" max="8429" width="18.28515625" style="163" bestFit="1" customWidth="1"/>
    <col min="8430" max="8430" width="13.42578125" style="163" bestFit="1" customWidth="1"/>
    <col min="8431" max="8431" width="11.42578125" style="163" customWidth="1"/>
    <col min="8432" max="8432" width="15.85546875" style="163" bestFit="1" customWidth="1"/>
    <col min="8433" max="8433" width="14.85546875" style="163" bestFit="1" customWidth="1"/>
    <col min="8434" max="8434" width="13.85546875" style="163" bestFit="1" customWidth="1"/>
    <col min="8435" max="8435" width="11.42578125" style="163"/>
    <col min="8436" max="8436" width="43.140625" style="163" bestFit="1" customWidth="1"/>
    <col min="8437" max="8437" width="26.7109375" style="163" bestFit="1" customWidth="1"/>
    <col min="8438" max="8438" width="18.28515625" style="163" bestFit="1" customWidth="1"/>
    <col min="8439" max="8439" width="13.85546875" style="163" bestFit="1" customWidth="1"/>
    <col min="8440" max="8440" width="9.28515625" style="163" bestFit="1" customWidth="1"/>
    <col min="8441" max="8441" width="13.42578125" style="163" bestFit="1" customWidth="1"/>
    <col min="8442" max="8681" width="11.42578125" style="163"/>
    <col min="8682" max="8682" width="11.42578125" style="163" customWidth="1"/>
    <col min="8683" max="8683" width="43.140625" style="163" bestFit="1" customWidth="1"/>
    <col min="8684" max="8684" width="33.140625" style="163" bestFit="1" customWidth="1"/>
    <col min="8685" max="8685" width="18.28515625" style="163" bestFit="1" customWidth="1"/>
    <col min="8686" max="8686" width="13.42578125" style="163" bestFit="1" customWidth="1"/>
    <col min="8687" max="8687" width="11.42578125" style="163" customWidth="1"/>
    <col min="8688" max="8688" width="15.85546875" style="163" bestFit="1" customWidth="1"/>
    <col min="8689" max="8689" width="14.85546875" style="163" bestFit="1" customWidth="1"/>
    <col min="8690" max="8690" width="13.85546875" style="163" bestFit="1" customWidth="1"/>
    <col min="8691" max="8691" width="11.42578125" style="163"/>
    <col min="8692" max="8692" width="43.140625" style="163" bestFit="1" customWidth="1"/>
    <col min="8693" max="8693" width="26.7109375" style="163" bestFit="1" customWidth="1"/>
    <col min="8694" max="8694" width="18.28515625" style="163" bestFit="1" customWidth="1"/>
    <col min="8695" max="8695" width="13.85546875" style="163" bestFit="1" customWidth="1"/>
    <col min="8696" max="8696" width="9.28515625" style="163" bestFit="1" customWidth="1"/>
    <col min="8697" max="8697" width="13.42578125" style="163" bestFit="1" customWidth="1"/>
    <col min="8698" max="8937" width="11.42578125" style="163"/>
    <col min="8938" max="8938" width="11.42578125" style="163" customWidth="1"/>
    <col min="8939" max="8939" width="43.140625" style="163" bestFit="1" customWidth="1"/>
    <col min="8940" max="8940" width="33.140625" style="163" bestFit="1" customWidth="1"/>
    <col min="8941" max="8941" width="18.28515625" style="163" bestFit="1" customWidth="1"/>
    <col min="8942" max="8942" width="13.42578125" style="163" bestFit="1" customWidth="1"/>
    <col min="8943" max="8943" width="11.42578125" style="163" customWidth="1"/>
    <col min="8944" max="8944" width="15.85546875" style="163" bestFit="1" customWidth="1"/>
    <col min="8945" max="8945" width="14.85546875" style="163" bestFit="1" customWidth="1"/>
    <col min="8946" max="8946" width="13.85546875" style="163" bestFit="1" customWidth="1"/>
    <col min="8947" max="8947" width="11.42578125" style="163"/>
    <col min="8948" max="8948" width="43.140625" style="163" bestFit="1" customWidth="1"/>
    <col min="8949" max="8949" width="26.7109375" style="163" bestFit="1" customWidth="1"/>
    <col min="8950" max="8950" width="18.28515625" style="163" bestFit="1" customWidth="1"/>
    <col min="8951" max="8951" width="13.85546875" style="163" bestFit="1" customWidth="1"/>
    <col min="8952" max="8952" width="9.28515625" style="163" bestFit="1" customWidth="1"/>
    <col min="8953" max="8953" width="13.42578125" style="163" bestFit="1" customWidth="1"/>
    <col min="8954" max="9193" width="11.42578125" style="163"/>
    <col min="9194" max="9194" width="11.42578125" style="163" customWidth="1"/>
    <col min="9195" max="9195" width="43.140625" style="163" bestFit="1" customWidth="1"/>
    <col min="9196" max="9196" width="33.140625" style="163" bestFit="1" customWidth="1"/>
    <col min="9197" max="9197" width="18.28515625" style="163" bestFit="1" customWidth="1"/>
    <col min="9198" max="9198" width="13.42578125" style="163" bestFit="1" customWidth="1"/>
    <col min="9199" max="9199" width="11.42578125" style="163" customWidth="1"/>
    <col min="9200" max="9200" width="15.85546875" style="163" bestFit="1" customWidth="1"/>
    <col min="9201" max="9201" width="14.85546875" style="163" bestFit="1" customWidth="1"/>
    <col min="9202" max="9202" width="13.85546875" style="163" bestFit="1" customWidth="1"/>
    <col min="9203" max="9203" width="11.42578125" style="163"/>
    <col min="9204" max="9204" width="43.140625" style="163" bestFit="1" customWidth="1"/>
    <col min="9205" max="9205" width="26.7109375" style="163" bestFit="1" customWidth="1"/>
    <col min="9206" max="9206" width="18.28515625" style="163" bestFit="1" customWidth="1"/>
    <col min="9207" max="9207" width="13.85546875" style="163" bestFit="1" customWidth="1"/>
    <col min="9208" max="9208" width="9.28515625" style="163" bestFit="1" customWidth="1"/>
    <col min="9209" max="9209" width="13.42578125" style="163" bestFit="1" customWidth="1"/>
    <col min="9210" max="9449" width="11.42578125" style="163"/>
    <col min="9450" max="9450" width="11.42578125" style="163" customWidth="1"/>
    <col min="9451" max="9451" width="43.140625" style="163" bestFit="1" customWidth="1"/>
    <col min="9452" max="9452" width="33.140625" style="163" bestFit="1" customWidth="1"/>
    <col min="9453" max="9453" width="18.28515625" style="163" bestFit="1" customWidth="1"/>
    <col min="9454" max="9454" width="13.42578125" style="163" bestFit="1" customWidth="1"/>
    <col min="9455" max="9455" width="11.42578125" style="163" customWidth="1"/>
    <col min="9456" max="9456" width="15.85546875" style="163" bestFit="1" customWidth="1"/>
    <col min="9457" max="9457" width="14.85546875" style="163" bestFit="1" customWidth="1"/>
    <col min="9458" max="9458" width="13.85546875" style="163" bestFit="1" customWidth="1"/>
    <col min="9459" max="9459" width="11.42578125" style="163"/>
    <col min="9460" max="9460" width="43.140625" style="163" bestFit="1" customWidth="1"/>
    <col min="9461" max="9461" width="26.7109375" style="163" bestFit="1" customWidth="1"/>
    <col min="9462" max="9462" width="18.28515625" style="163" bestFit="1" customWidth="1"/>
    <col min="9463" max="9463" width="13.85546875" style="163" bestFit="1" customWidth="1"/>
    <col min="9464" max="9464" width="9.28515625" style="163" bestFit="1" customWidth="1"/>
    <col min="9465" max="9465" width="13.42578125" style="163" bestFit="1" customWidth="1"/>
    <col min="9466" max="9705" width="11.42578125" style="163"/>
    <col min="9706" max="9706" width="11.42578125" style="163" customWidth="1"/>
    <col min="9707" max="9707" width="43.140625" style="163" bestFit="1" customWidth="1"/>
    <col min="9708" max="9708" width="33.140625" style="163" bestFit="1" customWidth="1"/>
    <col min="9709" max="9709" width="18.28515625" style="163" bestFit="1" customWidth="1"/>
    <col min="9710" max="9710" width="13.42578125" style="163" bestFit="1" customWidth="1"/>
    <col min="9711" max="9711" width="11.42578125" style="163" customWidth="1"/>
    <col min="9712" max="9712" width="15.85546875" style="163" bestFit="1" customWidth="1"/>
    <col min="9713" max="9713" width="14.85546875" style="163" bestFit="1" customWidth="1"/>
    <col min="9714" max="9714" width="13.85546875" style="163" bestFit="1" customWidth="1"/>
    <col min="9715" max="9715" width="11.42578125" style="163"/>
    <col min="9716" max="9716" width="43.140625" style="163" bestFit="1" customWidth="1"/>
    <col min="9717" max="9717" width="26.7109375" style="163" bestFit="1" customWidth="1"/>
    <col min="9718" max="9718" width="18.28515625" style="163" bestFit="1" customWidth="1"/>
    <col min="9719" max="9719" width="13.85546875" style="163" bestFit="1" customWidth="1"/>
    <col min="9720" max="9720" width="9.28515625" style="163" bestFit="1" customWidth="1"/>
    <col min="9721" max="9721" width="13.42578125" style="163" bestFit="1" customWidth="1"/>
    <col min="9722" max="9961" width="11.42578125" style="163"/>
    <col min="9962" max="9962" width="11.42578125" style="163" customWidth="1"/>
    <col min="9963" max="9963" width="43.140625" style="163" bestFit="1" customWidth="1"/>
    <col min="9964" max="9964" width="33.140625" style="163" bestFit="1" customWidth="1"/>
    <col min="9965" max="9965" width="18.28515625" style="163" bestFit="1" customWidth="1"/>
    <col min="9966" max="9966" width="13.42578125" style="163" bestFit="1" customWidth="1"/>
    <col min="9967" max="9967" width="11.42578125" style="163" customWidth="1"/>
    <col min="9968" max="9968" width="15.85546875" style="163" bestFit="1" customWidth="1"/>
    <col min="9969" max="9969" width="14.85546875" style="163" bestFit="1" customWidth="1"/>
    <col min="9970" max="9970" width="13.85546875" style="163" bestFit="1" customWidth="1"/>
    <col min="9971" max="9971" width="11.42578125" style="163"/>
    <col min="9972" max="9972" width="43.140625" style="163" bestFit="1" customWidth="1"/>
    <col min="9973" max="9973" width="26.7109375" style="163" bestFit="1" customWidth="1"/>
    <col min="9974" max="9974" width="18.28515625" style="163" bestFit="1" customWidth="1"/>
    <col min="9975" max="9975" width="13.85546875" style="163" bestFit="1" customWidth="1"/>
    <col min="9976" max="9976" width="9.28515625" style="163" bestFit="1" customWidth="1"/>
    <col min="9977" max="9977" width="13.42578125" style="163" bestFit="1" customWidth="1"/>
    <col min="9978" max="10217" width="11.42578125" style="163"/>
    <col min="10218" max="10218" width="11.42578125" style="163" customWidth="1"/>
    <col min="10219" max="10219" width="43.140625" style="163" bestFit="1" customWidth="1"/>
    <col min="10220" max="10220" width="33.140625" style="163" bestFit="1" customWidth="1"/>
    <col min="10221" max="10221" width="18.28515625" style="163" bestFit="1" customWidth="1"/>
    <col min="10222" max="10222" width="13.42578125" style="163" bestFit="1" customWidth="1"/>
    <col min="10223" max="10223" width="11.42578125" style="163" customWidth="1"/>
    <col min="10224" max="10224" width="15.85546875" style="163" bestFit="1" customWidth="1"/>
    <col min="10225" max="10225" width="14.85546875" style="163" bestFit="1" customWidth="1"/>
    <col min="10226" max="10226" width="13.85546875" style="163" bestFit="1" customWidth="1"/>
    <col min="10227" max="10227" width="11.42578125" style="163"/>
    <col min="10228" max="10228" width="43.140625" style="163" bestFit="1" customWidth="1"/>
    <col min="10229" max="10229" width="26.7109375" style="163" bestFit="1" customWidth="1"/>
    <col min="10230" max="10230" width="18.28515625" style="163" bestFit="1" customWidth="1"/>
    <col min="10231" max="10231" width="13.85546875" style="163" bestFit="1" customWidth="1"/>
    <col min="10232" max="10232" width="9.28515625" style="163" bestFit="1" customWidth="1"/>
    <col min="10233" max="10233" width="13.42578125" style="163" bestFit="1" customWidth="1"/>
    <col min="10234" max="10473" width="11.42578125" style="163"/>
    <col min="10474" max="10474" width="11.42578125" style="163" customWidth="1"/>
    <col min="10475" max="10475" width="43.140625" style="163" bestFit="1" customWidth="1"/>
    <col min="10476" max="10476" width="33.140625" style="163" bestFit="1" customWidth="1"/>
    <col min="10477" max="10477" width="18.28515625" style="163" bestFit="1" customWidth="1"/>
    <col min="10478" max="10478" width="13.42578125" style="163" bestFit="1" customWidth="1"/>
    <col min="10479" max="10479" width="11.42578125" style="163" customWidth="1"/>
    <col min="10480" max="10480" width="15.85546875" style="163" bestFit="1" customWidth="1"/>
    <col min="10481" max="10481" width="14.85546875" style="163" bestFit="1" customWidth="1"/>
    <col min="10482" max="10482" width="13.85546875" style="163" bestFit="1" customWidth="1"/>
    <col min="10483" max="10483" width="11.42578125" style="163"/>
    <col min="10484" max="10484" width="43.140625" style="163" bestFit="1" customWidth="1"/>
    <col min="10485" max="10485" width="26.7109375" style="163" bestFit="1" customWidth="1"/>
    <col min="10486" max="10486" width="18.28515625" style="163" bestFit="1" customWidth="1"/>
    <col min="10487" max="10487" width="13.85546875" style="163" bestFit="1" customWidth="1"/>
    <col min="10488" max="10488" width="9.28515625" style="163" bestFit="1" customWidth="1"/>
    <col min="10489" max="10489" width="13.42578125" style="163" bestFit="1" customWidth="1"/>
    <col min="10490" max="10729" width="11.42578125" style="163"/>
    <col min="10730" max="10730" width="11.42578125" style="163" customWidth="1"/>
    <col min="10731" max="10731" width="43.140625" style="163" bestFit="1" customWidth="1"/>
    <col min="10732" max="10732" width="33.140625" style="163" bestFit="1" customWidth="1"/>
    <col min="10733" max="10733" width="18.28515625" style="163" bestFit="1" customWidth="1"/>
    <col min="10734" max="10734" width="13.42578125" style="163" bestFit="1" customWidth="1"/>
    <col min="10735" max="10735" width="11.42578125" style="163" customWidth="1"/>
    <col min="10736" max="10736" width="15.85546875" style="163" bestFit="1" customWidth="1"/>
    <col min="10737" max="10737" width="14.85546875" style="163" bestFit="1" customWidth="1"/>
    <col min="10738" max="10738" width="13.85546875" style="163" bestFit="1" customWidth="1"/>
    <col min="10739" max="10739" width="11.42578125" style="163"/>
    <col min="10740" max="10740" width="43.140625" style="163" bestFit="1" customWidth="1"/>
    <col min="10741" max="10741" width="26.7109375" style="163" bestFit="1" customWidth="1"/>
    <col min="10742" max="10742" width="18.28515625" style="163" bestFit="1" customWidth="1"/>
    <col min="10743" max="10743" width="13.85546875" style="163" bestFit="1" customWidth="1"/>
    <col min="10744" max="10744" width="9.28515625" style="163" bestFit="1" customWidth="1"/>
    <col min="10745" max="10745" width="13.42578125" style="163" bestFit="1" customWidth="1"/>
    <col min="10746" max="10985" width="11.42578125" style="163"/>
    <col min="10986" max="10986" width="11.42578125" style="163" customWidth="1"/>
    <col min="10987" max="10987" width="43.140625" style="163" bestFit="1" customWidth="1"/>
    <col min="10988" max="10988" width="33.140625" style="163" bestFit="1" customWidth="1"/>
    <col min="10989" max="10989" width="18.28515625" style="163" bestFit="1" customWidth="1"/>
    <col min="10990" max="10990" width="13.42578125" style="163" bestFit="1" customWidth="1"/>
    <col min="10991" max="10991" width="11.42578125" style="163" customWidth="1"/>
    <col min="10992" max="10992" width="15.85546875" style="163" bestFit="1" customWidth="1"/>
    <col min="10993" max="10993" width="14.85546875" style="163" bestFit="1" customWidth="1"/>
    <col min="10994" max="10994" width="13.85546875" style="163" bestFit="1" customWidth="1"/>
    <col min="10995" max="10995" width="11.42578125" style="163"/>
    <col min="10996" max="10996" width="43.140625" style="163" bestFit="1" customWidth="1"/>
    <col min="10997" max="10997" width="26.7109375" style="163" bestFit="1" customWidth="1"/>
    <col min="10998" max="10998" width="18.28515625" style="163" bestFit="1" customWidth="1"/>
    <col min="10999" max="10999" width="13.85546875" style="163" bestFit="1" customWidth="1"/>
    <col min="11000" max="11000" width="9.28515625" style="163" bestFit="1" customWidth="1"/>
    <col min="11001" max="11001" width="13.42578125" style="163" bestFit="1" customWidth="1"/>
    <col min="11002" max="11241" width="11.42578125" style="163"/>
    <col min="11242" max="11242" width="11.42578125" style="163" customWidth="1"/>
    <col min="11243" max="11243" width="43.140625" style="163" bestFit="1" customWidth="1"/>
    <col min="11244" max="11244" width="33.140625" style="163" bestFit="1" customWidth="1"/>
    <col min="11245" max="11245" width="18.28515625" style="163" bestFit="1" customWidth="1"/>
    <col min="11246" max="11246" width="13.42578125" style="163" bestFit="1" customWidth="1"/>
    <col min="11247" max="11247" width="11.42578125" style="163" customWidth="1"/>
    <col min="11248" max="11248" width="15.85546875" style="163" bestFit="1" customWidth="1"/>
    <col min="11249" max="11249" width="14.85546875" style="163" bestFit="1" customWidth="1"/>
    <col min="11250" max="11250" width="13.85546875" style="163" bestFit="1" customWidth="1"/>
    <col min="11251" max="11251" width="11.42578125" style="163"/>
    <col min="11252" max="11252" width="43.140625" style="163" bestFit="1" customWidth="1"/>
    <col min="11253" max="11253" width="26.7109375" style="163" bestFit="1" customWidth="1"/>
    <col min="11254" max="11254" width="18.28515625" style="163" bestFit="1" customWidth="1"/>
    <col min="11255" max="11255" width="13.85546875" style="163" bestFit="1" customWidth="1"/>
    <col min="11256" max="11256" width="9.28515625" style="163" bestFit="1" customWidth="1"/>
    <col min="11257" max="11257" width="13.42578125" style="163" bestFit="1" customWidth="1"/>
    <col min="11258" max="11497" width="11.42578125" style="163"/>
    <col min="11498" max="11498" width="11.42578125" style="163" customWidth="1"/>
    <col min="11499" max="11499" width="43.140625" style="163" bestFit="1" customWidth="1"/>
    <col min="11500" max="11500" width="33.140625" style="163" bestFit="1" customWidth="1"/>
    <col min="11501" max="11501" width="18.28515625" style="163" bestFit="1" customWidth="1"/>
    <col min="11502" max="11502" width="13.42578125" style="163" bestFit="1" customWidth="1"/>
    <col min="11503" max="11503" width="11.42578125" style="163" customWidth="1"/>
    <col min="11504" max="11504" width="15.85546875" style="163" bestFit="1" customWidth="1"/>
    <col min="11505" max="11505" width="14.85546875" style="163" bestFit="1" customWidth="1"/>
    <col min="11506" max="11506" width="13.85546875" style="163" bestFit="1" customWidth="1"/>
    <col min="11507" max="11507" width="11.42578125" style="163"/>
    <col min="11508" max="11508" width="43.140625" style="163" bestFit="1" customWidth="1"/>
    <col min="11509" max="11509" width="26.7109375" style="163" bestFit="1" customWidth="1"/>
    <col min="11510" max="11510" width="18.28515625" style="163" bestFit="1" customWidth="1"/>
    <col min="11511" max="11511" width="13.85546875" style="163" bestFit="1" customWidth="1"/>
    <col min="11512" max="11512" width="9.28515625" style="163" bestFit="1" customWidth="1"/>
    <col min="11513" max="11513" width="13.42578125" style="163" bestFit="1" customWidth="1"/>
    <col min="11514" max="11753" width="11.42578125" style="163"/>
    <col min="11754" max="11754" width="11.42578125" style="163" customWidth="1"/>
    <col min="11755" max="11755" width="43.140625" style="163" bestFit="1" customWidth="1"/>
    <col min="11756" max="11756" width="33.140625" style="163" bestFit="1" customWidth="1"/>
    <col min="11757" max="11757" width="18.28515625" style="163" bestFit="1" customWidth="1"/>
    <col min="11758" max="11758" width="13.42578125" style="163" bestFit="1" customWidth="1"/>
    <col min="11759" max="11759" width="11.42578125" style="163" customWidth="1"/>
    <col min="11760" max="11760" width="15.85546875" style="163" bestFit="1" customWidth="1"/>
    <col min="11761" max="11761" width="14.85546875" style="163" bestFit="1" customWidth="1"/>
    <col min="11762" max="11762" width="13.85546875" style="163" bestFit="1" customWidth="1"/>
    <col min="11763" max="11763" width="11.42578125" style="163"/>
    <col min="11764" max="11764" width="43.140625" style="163" bestFit="1" customWidth="1"/>
    <col min="11765" max="11765" width="26.7109375" style="163" bestFit="1" customWidth="1"/>
    <col min="11766" max="11766" width="18.28515625" style="163" bestFit="1" customWidth="1"/>
    <col min="11767" max="11767" width="13.85546875" style="163" bestFit="1" customWidth="1"/>
    <col min="11768" max="11768" width="9.28515625" style="163" bestFit="1" customWidth="1"/>
    <col min="11769" max="11769" width="13.42578125" style="163" bestFit="1" customWidth="1"/>
    <col min="11770" max="12009" width="11.42578125" style="163"/>
    <col min="12010" max="12010" width="11.42578125" style="163" customWidth="1"/>
    <col min="12011" max="12011" width="43.140625" style="163" bestFit="1" customWidth="1"/>
    <col min="12012" max="12012" width="33.140625" style="163" bestFit="1" customWidth="1"/>
    <col min="12013" max="12013" width="18.28515625" style="163" bestFit="1" customWidth="1"/>
    <col min="12014" max="12014" width="13.42578125" style="163" bestFit="1" customWidth="1"/>
    <col min="12015" max="12015" width="11.42578125" style="163" customWidth="1"/>
    <col min="12016" max="12016" width="15.85546875" style="163" bestFit="1" customWidth="1"/>
    <col min="12017" max="12017" width="14.85546875" style="163" bestFit="1" customWidth="1"/>
    <col min="12018" max="12018" width="13.85546875" style="163" bestFit="1" customWidth="1"/>
    <col min="12019" max="12019" width="11.42578125" style="163"/>
    <col min="12020" max="12020" width="43.140625" style="163" bestFit="1" customWidth="1"/>
    <col min="12021" max="12021" width="26.7109375" style="163" bestFit="1" customWidth="1"/>
    <col min="12022" max="12022" width="18.28515625" style="163" bestFit="1" customWidth="1"/>
    <col min="12023" max="12023" width="13.85546875" style="163" bestFit="1" customWidth="1"/>
    <col min="12024" max="12024" width="9.28515625" style="163" bestFit="1" customWidth="1"/>
    <col min="12025" max="12025" width="13.42578125" style="163" bestFit="1" customWidth="1"/>
    <col min="12026" max="12265" width="11.42578125" style="163"/>
    <col min="12266" max="12266" width="11.42578125" style="163" customWidth="1"/>
    <col min="12267" max="12267" width="43.140625" style="163" bestFit="1" customWidth="1"/>
    <col min="12268" max="12268" width="33.140625" style="163" bestFit="1" customWidth="1"/>
    <col min="12269" max="12269" width="18.28515625" style="163" bestFit="1" customWidth="1"/>
    <col min="12270" max="12270" width="13.42578125" style="163" bestFit="1" customWidth="1"/>
    <col min="12271" max="12271" width="11.42578125" style="163" customWidth="1"/>
    <col min="12272" max="12272" width="15.85546875" style="163" bestFit="1" customWidth="1"/>
    <col min="12273" max="12273" width="14.85546875" style="163" bestFit="1" customWidth="1"/>
    <col min="12274" max="12274" width="13.85546875" style="163" bestFit="1" customWidth="1"/>
    <col min="12275" max="12275" width="11.42578125" style="163"/>
    <col min="12276" max="12276" width="43.140625" style="163" bestFit="1" customWidth="1"/>
    <col min="12277" max="12277" width="26.7109375" style="163" bestFit="1" customWidth="1"/>
    <col min="12278" max="12278" width="18.28515625" style="163" bestFit="1" customWidth="1"/>
    <col min="12279" max="12279" width="13.85546875" style="163" bestFit="1" customWidth="1"/>
    <col min="12280" max="12280" width="9.28515625" style="163" bestFit="1" customWidth="1"/>
    <col min="12281" max="12281" width="13.42578125" style="163" bestFit="1" customWidth="1"/>
    <col min="12282" max="12521" width="11.42578125" style="163"/>
    <col min="12522" max="12522" width="11.42578125" style="163" customWidth="1"/>
    <col min="12523" max="12523" width="43.140625" style="163" bestFit="1" customWidth="1"/>
    <col min="12524" max="12524" width="33.140625" style="163" bestFit="1" customWidth="1"/>
    <col min="12525" max="12525" width="18.28515625" style="163" bestFit="1" customWidth="1"/>
    <col min="12526" max="12526" width="13.42578125" style="163" bestFit="1" customWidth="1"/>
    <col min="12527" max="12527" width="11.42578125" style="163" customWidth="1"/>
    <col min="12528" max="12528" width="15.85546875" style="163" bestFit="1" customWidth="1"/>
    <col min="12529" max="12529" width="14.85546875" style="163" bestFit="1" customWidth="1"/>
    <col min="12530" max="12530" width="13.85546875" style="163" bestFit="1" customWidth="1"/>
    <col min="12531" max="12531" width="11.42578125" style="163"/>
    <col min="12532" max="12532" width="43.140625" style="163" bestFit="1" customWidth="1"/>
    <col min="12533" max="12533" width="26.7109375" style="163" bestFit="1" customWidth="1"/>
    <col min="12534" max="12534" width="18.28515625" style="163" bestFit="1" customWidth="1"/>
    <col min="12535" max="12535" width="13.85546875" style="163" bestFit="1" customWidth="1"/>
    <col min="12536" max="12536" width="9.28515625" style="163" bestFit="1" customWidth="1"/>
    <col min="12537" max="12537" width="13.42578125" style="163" bestFit="1" customWidth="1"/>
    <col min="12538" max="12777" width="11.42578125" style="163"/>
    <col min="12778" max="12778" width="11.42578125" style="163" customWidth="1"/>
    <col min="12779" max="12779" width="43.140625" style="163" bestFit="1" customWidth="1"/>
    <col min="12780" max="12780" width="33.140625" style="163" bestFit="1" customWidth="1"/>
    <col min="12781" max="12781" width="18.28515625" style="163" bestFit="1" customWidth="1"/>
    <col min="12782" max="12782" width="13.42578125" style="163" bestFit="1" customWidth="1"/>
    <col min="12783" max="12783" width="11.42578125" style="163" customWidth="1"/>
    <col min="12784" max="12784" width="15.85546875" style="163" bestFit="1" customWidth="1"/>
    <col min="12785" max="12785" width="14.85546875" style="163" bestFit="1" customWidth="1"/>
    <col min="12786" max="12786" width="13.85546875" style="163" bestFit="1" customWidth="1"/>
    <col min="12787" max="12787" width="11.42578125" style="163"/>
    <col min="12788" max="12788" width="43.140625" style="163" bestFit="1" customWidth="1"/>
    <col min="12789" max="12789" width="26.7109375" style="163" bestFit="1" customWidth="1"/>
    <col min="12790" max="12790" width="18.28515625" style="163" bestFit="1" customWidth="1"/>
    <col min="12791" max="12791" width="13.85546875" style="163" bestFit="1" customWidth="1"/>
    <col min="12792" max="12792" width="9.28515625" style="163" bestFit="1" customWidth="1"/>
    <col min="12793" max="12793" width="13.42578125" style="163" bestFit="1" customWidth="1"/>
    <col min="12794" max="13033" width="11.42578125" style="163"/>
    <col min="13034" max="13034" width="11.42578125" style="163" customWidth="1"/>
    <col min="13035" max="13035" width="43.140625" style="163" bestFit="1" customWidth="1"/>
    <col min="13036" max="13036" width="33.140625" style="163" bestFit="1" customWidth="1"/>
    <col min="13037" max="13037" width="18.28515625" style="163" bestFit="1" customWidth="1"/>
    <col min="13038" max="13038" width="13.42578125" style="163" bestFit="1" customWidth="1"/>
    <col min="13039" max="13039" width="11.42578125" style="163" customWidth="1"/>
    <col min="13040" max="13040" width="15.85546875" style="163" bestFit="1" customWidth="1"/>
    <col min="13041" max="13041" width="14.85546875" style="163" bestFit="1" customWidth="1"/>
    <col min="13042" max="13042" width="13.85546875" style="163" bestFit="1" customWidth="1"/>
    <col min="13043" max="13043" width="11.42578125" style="163"/>
    <col min="13044" max="13044" width="43.140625" style="163" bestFit="1" customWidth="1"/>
    <col min="13045" max="13045" width="26.7109375" style="163" bestFit="1" customWidth="1"/>
    <col min="13046" max="13046" width="18.28515625" style="163" bestFit="1" customWidth="1"/>
    <col min="13047" max="13047" width="13.85546875" style="163" bestFit="1" customWidth="1"/>
    <col min="13048" max="13048" width="9.28515625" style="163" bestFit="1" customWidth="1"/>
    <col min="13049" max="13049" width="13.42578125" style="163" bestFit="1" customWidth="1"/>
    <col min="13050" max="13289" width="11.42578125" style="163"/>
    <col min="13290" max="13290" width="11.42578125" style="163" customWidth="1"/>
    <col min="13291" max="13291" width="43.140625" style="163" bestFit="1" customWidth="1"/>
    <col min="13292" max="13292" width="33.140625" style="163" bestFit="1" customWidth="1"/>
    <col min="13293" max="13293" width="18.28515625" style="163" bestFit="1" customWidth="1"/>
    <col min="13294" max="13294" width="13.42578125" style="163" bestFit="1" customWidth="1"/>
    <col min="13295" max="13295" width="11.42578125" style="163" customWidth="1"/>
    <col min="13296" max="13296" width="15.85546875" style="163" bestFit="1" customWidth="1"/>
    <col min="13297" max="13297" width="14.85546875" style="163" bestFit="1" customWidth="1"/>
    <col min="13298" max="13298" width="13.85546875" style="163" bestFit="1" customWidth="1"/>
    <col min="13299" max="13299" width="11.42578125" style="163"/>
    <col min="13300" max="13300" width="43.140625" style="163" bestFit="1" customWidth="1"/>
    <col min="13301" max="13301" width="26.7109375" style="163" bestFit="1" customWidth="1"/>
    <col min="13302" max="13302" width="18.28515625" style="163" bestFit="1" customWidth="1"/>
    <col min="13303" max="13303" width="13.85546875" style="163" bestFit="1" customWidth="1"/>
    <col min="13304" max="13304" width="9.28515625" style="163" bestFit="1" customWidth="1"/>
    <col min="13305" max="13305" width="13.42578125" style="163" bestFit="1" customWidth="1"/>
    <col min="13306" max="13545" width="11.42578125" style="163"/>
    <col min="13546" max="13546" width="11.42578125" style="163" customWidth="1"/>
    <col min="13547" max="13547" width="43.140625" style="163" bestFit="1" customWidth="1"/>
    <col min="13548" max="13548" width="33.140625" style="163" bestFit="1" customWidth="1"/>
    <col min="13549" max="13549" width="18.28515625" style="163" bestFit="1" customWidth="1"/>
    <col min="13550" max="13550" width="13.42578125" style="163" bestFit="1" customWidth="1"/>
    <col min="13551" max="13551" width="11.42578125" style="163" customWidth="1"/>
    <col min="13552" max="13552" width="15.85546875" style="163" bestFit="1" customWidth="1"/>
    <col min="13553" max="13553" width="14.85546875" style="163" bestFit="1" customWidth="1"/>
    <col min="13554" max="13554" width="13.85546875" style="163" bestFit="1" customWidth="1"/>
    <col min="13555" max="13555" width="11.42578125" style="163"/>
    <col min="13556" max="13556" width="43.140625" style="163" bestFit="1" customWidth="1"/>
    <col min="13557" max="13557" width="26.7109375" style="163" bestFit="1" customWidth="1"/>
    <col min="13558" max="13558" width="18.28515625" style="163" bestFit="1" customWidth="1"/>
    <col min="13559" max="13559" width="13.85546875" style="163" bestFit="1" customWidth="1"/>
    <col min="13560" max="13560" width="9.28515625" style="163" bestFit="1" customWidth="1"/>
    <col min="13561" max="13561" width="13.42578125" style="163" bestFit="1" customWidth="1"/>
    <col min="13562" max="13801" width="11.42578125" style="163"/>
    <col min="13802" max="13802" width="11.42578125" style="163" customWidth="1"/>
    <col min="13803" max="13803" width="43.140625" style="163" bestFit="1" customWidth="1"/>
    <col min="13804" max="13804" width="33.140625" style="163" bestFit="1" customWidth="1"/>
    <col min="13805" max="13805" width="18.28515625" style="163" bestFit="1" customWidth="1"/>
    <col min="13806" max="13806" width="13.42578125" style="163" bestFit="1" customWidth="1"/>
    <col min="13807" max="13807" width="11.42578125" style="163" customWidth="1"/>
    <col min="13808" max="13808" width="15.85546875" style="163" bestFit="1" customWidth="1"/>
    <col min="13809" max="13809" width="14.85546875" style="163" bestFit="1" customWidth="1"/>
    <col min="13810" max="13810" width="13.85546875" style="163" bestFit="1" customWidth="1"/>
    <col min="13811" max="13811" width="11.42578125" style="163"/>
    <col min="13812" max="13812" width="43.140625" style="163" bestFit="1" customWidth="1"/>
    <col min="13813" max="13813" width="26.7109375" style="163" bestFit="1" customWidth="1"/>
    <col min="13814" max="13814" width="18.28515625" style="163" bestFit="1" customWidth="1"/>
    <col min="13815" max="13815" width="13.85546875" style="163" bestFit="1" customWidth="1"/>
    <col min="13816" max="13816" width="9.28515625" style="163" bestFit="1" customWidth="1"/>
    <col min="13817" max="13817" width="13.42578125" style="163" bestFit="1" customWidth="1"/>
    <col min="13818" max="14057" width="11.42578125" style="163"/>
    <col min="14058" max="14058" width="11.42578125" style="163" customWidth="1"/>
    <col min="14059" max="14059" width="43.140625" style="163" bestFit="1" customWidth="1"/>
    <col min="14060" max="14060" width="33.140625" style="163" bestFit="1" customWidth="1"/>
    <col min="14061" max="14061" width="18.28515625" style="163" bestFit="1" customWidth="1"/>
    <col min="14062" max="14062" width="13.42578125" style="163" bestFit="1" customWidth="1"/>
    <col min="14063" max="14063" width="11.42578125" style="163" customWidth="1"/>
    <col min="14064" max="14064" width="15.85546875" style="163" bestFit="1" customWidth="1"/>
    <col min="14065" max="14065" width="14.85546875" style="163" bestFit="1" customWidth="1"/>
    <col min="14066" max="14066" width="13.85546875" style="163" bestFit="1" customWidth="1"/>
    <col min="14067" max="14067" width="11.42578125" style="163"/>
    <col min="14068" max="14068" width="43.140625" style="163" bestFit="1" customWidth="1"/>
    <col min="14069" max="14069" width="26.7109375" style="163" bestFit="1" customWidth="1"/>
    <col min="14070" max="14070" width="18.28515625" style="163" bestFit="1" customWidth="1"/>
    <col min="14071" max="14071" width="13.85546875" style="163" bestFit="1" customWidth="1"/>
    <col min="14072" max="14072" width="9.28515625" style="163" bestFit="1" customWidth="1"/>
    <col min="14073" max="14073" width="13.42578125" style="163" bestFit="1" customWidth="1"/>
    <col min="14074" max="14313" width="11.42578125" style="163"/>
    <col min="14314" max="14314" width="11.42578125" style="163" customWidth="1"/>
    <col min="14315" max="14315" width="43.140625" style="163" bestFit="1" customWidth="1"/>
    <col min="14316" max="14316" width="33.140625" style="163" bestFit="1" customWidth="1"/>
    <col min="14317" max="14317" width="18.28515625" style="163" bestFit="1" customWidth="1"/>
    <col min="14318" max="14318" width="13.42578125" style="163" bestFit="1" customWidth="1"/>
    <col min="14319" max="14319" width="11.42578125" style="163" customWidth="1"/>
    <col min="14320" max="14320" width="15.85546875" style="163" bestFit="1" customWidth="1"/>
    <col min="14321" max="14321" width="14.85546875" style="163" bestFit="1" customWidth="1"/>
    <col min="14322" max="14322" width="13.85546875" style="163" bestFit="1" customWidth="1"/>
    <col min="14323" max="14323" width="11.42578125" style="163"/>
    <col min="14324" max="14324" width="43.140625" style="163" bestFit="1" customWidth="1"/>
    <col min="14325" max="14325" width="26.7109375" style="163" bestFit="1" customWidth="1"/>
    <col min="14326" max="14326" width="18.28515625" style="163" bestFit="1" customWidth="1"/>
    <col min="14327" max="14327" width="13.85546875" style="163" bestFit="1" customWidth="1"/>
    <col min="14328" max="14328" width="9.28515625" style="163" bestFit="1" customWidth="1"/>
    <col min="14329" max="14329" width="13.42578125" style="163" bestFit="1" customWidth="1"/>
    <col min="14330" max="14569" width="11.42578125" style="163"/>
    <col min="14570" max="14570" width="11.42578125" style="163" customWidth="1"/>
    <col min="14571" max="14571" width="43.140625" style="163" bestFit="1" customWidth="1"/>
    <col min="14572" max="14572" width="33.140625" style="163" bestFit="1" customWidth="1"/>
    <col min="14573" max="14573" width="18.28515625" style="163" bestFit="1" customWidth="1"/>
    <col min="14574" max="14574" width="13.42578125" style="163" bestFit="1" customWidth="1"/>
    <col min="14575" max="14575" width="11.42578125" style="163" customWidth="1"/>
    <col min="14576" max="14576" width="15.85546875" style="163" bestFit="1" customWidth="1"/>
    <col min="14577" max="14577" width="14.85546875" style="163" bestFit="1" customWidth="1"/>
    <col min="14578" max="14578" width="13.85546875" style="163" bestFit="1" customWidth="1"/>
    <col min="14579" max="14579" width="11.42578125" style="163"/>
    <col min="14580" max="14580" width="43.140625" style="163" bestFit="1" customWidth="1"/>
    <col min="14581" max="14581" width="26.7109375" style="163" bestFit="1" customWidth="1"/>
    <col min="14582" max="14582" width="18.28515625" style="163" bestFit="1" customWidth="1"/>
    <col min="14583" max="14583" width="13.85546875" style="163" bestFit="1" customWidth="1"/>
    <col min="14584" max="14584" width="9.28515625" style="163" bestFit="1" customWidth="1"/>
    <col min="14585" max="14585" width="13.42578125" style="163" bestFit="1" customWidth="1"/>
    <col min="14586" max="14825" width="11.42578125" style="163"/>
    <col min="14826" max="14826" width="11.42578125" style="163" customWidth="1"/>
    <col min="14827" max="14827" width="43.140625" style="163" bestFit="1" customWidth="1"/>
    <col min="14828" max="14828" width="33.140625" style="163" bestFit="1" customWidth="1"/>
    <col min="14829" max="14829" width="18.28515625" style="163" bestFit="1" customWidth="1"/>
    <col min="14830" max="14830" width="13.42578125" style="163" bestFit="1" customWidth="1"/>
    <col min="14831" max="14831" width="11.42578125" style="163" customWidth="1"/>
    <col min="14832" max="14832" width="15.85546875" style="163" bestFit="1" customWidth="1"/>
    <col min="14833" max="14833" width="14.85546875" style="163" bestFit="1" customWidth="1"/>
    <col min="14834" max="14834" width="13.85546875" style="163" bestFit="1" customWidth="1"/>
    <col min="14835" max="14835" width="11.42578125" style="163"/>
    <col min="14836" max="14836" width="43.140625" style="163" bestFit="1" customWidth="1"/>
    <col min="14837" max="14837" width="26.7109375" style="163" bestFit="1" customWidth="1"/>
    <col min="14838" max="14838" width="18.28515625" style="163" bestFit="1" customWidth="1"/>
    <col min="14839" max="14839" width="13.85546875" style="163" bestFit="1" customWidth="1"/>
    <col min="14840" max="14840" width="9.28515625" style="163" bestFit="1" customWidth="1"/>
    <col min="14841" max="14841" width="13.42578125" style="163" bestFit="1" customWidth="1"/>
    <col min="14842" max="15081" width="11.42578125" style="163"/>
    <col min="15082" max="15082" width="11.42578125" style="163" customWidth="1"/>
    <col min="15083" max="15083" width="43.140625" style="163" bestFit="1" customWidth="1"/>
    <col min="15084" max="15084" width="33.140625" style="163" bestFit="1" customWidth="1"/>
    <col min="15085" max="15085" width="18.28515625" style="163" bestFit="1" customWidth="1"/>
    <col min="15086" max="15086" width="13.42578125" style="163" bestFit="1" customWidth="1"/>
    <col min="15087" max="15087" width="11.42578125" style="163" customWidth="1"/>
    <col min="15088" max="15088" width="15.85546875" style="163" bestFit="1" customWidth="1"/>
    <col min="15089" max="15089" width="14.85546875" style="163" bestFit="1" customWidth="1"/>
    <col min="15090" max="15090" width="13.85546875" style="163" bestFit="1" customWidth="1"/>
    <col min="15091" max="15091" width="11.42578125" style="163"/>
    <col min="15092" max="15092" width="43.140625" style="163" bestFit="1" customWidth="1"/>
    <col min="15093" max="15093" width="26.7109375" style="163" bestFit="1" customWidth="1"/>
    <col min="15094" max="15094" width="18.28515625" style="163" bestFit="1" customWidth="1"/>
    <col min="15095" max="15095" width="13.85546875" style="163" bestFit="1" customWidth="1"/>
    <col min="15096" max="15096" width="9.28515625" style="163" bestFit="1" customWidth="1"/>
    <col min="15097" max="15097" width="13.42578125" style="163" bestFit="1" customWidth="1"/>
    <col min="15098" max="15337" width="11.42578125" style="163"/>
    <col min="15338" max="15338" width="11.42578125" style="163" customWidth="1"/>
    <col min="15339" max="15339" width="43.140625" style="163" bestFit="1" customWidth="1"/>
    <col min="15340" max="15340" width="33.140625" style="163" bestFit="1" customWidth="1"/>
    <col min="15341" max="15341" width="18.28515625" style="163" bestFit="1" customWidth="1"/>
    <col min="15342" max="15342" width="13.42578125" style="163" bestFit="1" customWidth="1"/>
    <col min="15343" max="15343" width="11.42578125" style="163" customWidth="1"/>
    <col min="15344" max="15344" width="15.85546875" style="163" bestFit="1" customWidth="1"/>
    <col min="15345" max="15345" width="14.85546875" style="163" bestFit="1" customWidth="1"/>
    <col min="15346" max="15346" width="13.85546875" style="163" bestFit="1" customWidth="1"/>
    <col min="15347" max="15347" width="11.42578125" style="163"/>
    <col min="15348" max="15348" width="43.140625" style="163" bestFit="1" customWidth="1"/>
    <col min="15349" max="15349" width="26.7109375" style="163" bestFit="1" customWidth="1"/>
    <col min="15350" max="15350" width="18.28515625" style="163" bestFit="1" customWidth="1"/>
    <col min="15351" max="15351" width="13.85546875" style="163" bestFit="1" customWidth="1"/>
    <col min="15352" max="15352" width="9.28515625" style="163" bestFit="1" customWidth="1"/>
    <col min="15353" max="15353" width="13.42578125" style="163" bestFit="1" customWidth="1"/>
    <col min="15354" max="15593" width="11.42578125" style="163"/>
    <col min="15594" max="15594" width="11.42578125" style="163" customWidth="1"/>
    <col min="15595" max="15595" width="43.140625" style="163" bestFit="1" customWidth="1"/>
    <col min="15596" max="15596" width="33.140625" style="163" bestFit="1" customWidth="1"/>
    <col min="15597" max="15597" width="18.28515625" style="163" bestFit="1" customWidth="1"/>
    <col min="15598" max="15598" width="13.42578125" style="163" bestFit="1" customWidth="1"/>
    <col min="15599" max="15599" width="11.42578125" style="163" customWidth="1"/>
    <col min="15600" max="15600" width="15.85546875" style="163" bestFit="1" customWidth="1"/>
    <col min="15601" max="15601" width="14.85546875" style="163" bestFit="1" customWidth="1"/>
    <col min="15602" max="15602" width="13.85546875" style="163" bestFit="1" customWidth="1"/>
    <col min="15603" max="15603" width="11.42578125" style="163"/>
    <col min="15604" max="15604" width="43.140625" style="163" bestFit="1" customWidth="1"/>
    <col min="15605" max="15605" width="26.7109375" style="163" bestFit="1" customWidth="1"/>
    <col min="15606" max="15606" width="18.28515625" style="163" bestFit="1" customWidth="1"/>
    <col min="15607" max="15607" width="13.85546875" style="163" bestFit="1" customWidth="1"/>
    <col min="15608" max="15608" width="9.28515625" style="163" bestFit="1" customWidth="1"/>
    <col min="15609" max="15609" width="13.42578125" style="163" bestFit="1" customWidth="1"/>
    <col min="15610" max="15849" width="11.42578125" style="163"/>
    <col min="15850" max="15850" width="11.42578125" style="163" customWidth="1"/>
    <col min="15851" max="15851" width="43.140625" style="163" bestFit="1" customWidth="1"/>
    <col min="15852" max="15852" width="33.140625" style="163" bestFit="1" customWidth="1"/>
    <col min="15853" max="15853" width="18.28515625" style="163" bestFit="1" customWidth="1"/>
    <col min="15854" max="15854" width="13.42578125" style="163" bestFit="1" customWidth="1"/>
    <col min="15855" max="15855" width="11.42578125" style="163" customWidth="1"/>
    <col min="15856" max="15856" width="15.85546875" style="163" bestFit="1" customWidth="1"/>
    <col min="15857" max="15857" width="14.85546875" style="163" bestFit="1" customWidth="1"/>
    <col min="15858" max="15858" width="13.85546875" style="163" bestFit="1" customWidth="1"/>
    <col min="15859" max="15859" width="11.42578125" style="163"/>
    <col min="15860" max="15860" width="43.140625" style="163" bestFit="1" customWidth="1"/>
    <col min="15861" max="15861" width="26.7109375" style="163" bestFit="1" customWidth="1"/>
    <col min="15862" max="15862" width="18.28515625" style="163" bestFit="1" customWidth="1"/>
    <col min="15863" max="15863" width="13.85546875" style="163" bestFit="1" customWidth="1"/>
    <col min="15864" max="15864" width="9.28515625" style="163" bestFit="1" customWidth="1"/>
    <col min="15865" max="15865" width="13.42578125" style="163" bestFit="1" customWidth="1"/>
    <col min="15866" max="16105" width="11.42578125" style="163"/>
    <col min="16106" max="16106" width="11.42578125" style="163" customWidth="1"/>
    <col min="16107" max="16107" width="43.140625" style="163" bestFit="1" customWidth="1"/>
    <col min="16108" max="16108" width="33.140625" style="163" bestFit="1" customWidth="1"/>
    <col min="16109" max="16109" width="18.28515625" style="163" bestFit="1" customWidth="1"/>
    <col min="16110" max="16110" width="13.42578125" style="163" bestFit="1" customWidth="1"/>
    <col min="16111" max="16111" width="11.42578125" style="163" customWidth="1"/>
    <col min="16112" max="16112" width="15.85546875" style="163" bestFit="1" customWidth="1"/>
    <col min="16113" max="16113" width="14.85546875" style="163" bestFit="1" customWidth="1"/>
    <col min="16114" max="16114" width="13.85546875" style="163" bestFit="1" customWidth="1"/>
    <col min="16115" max="16115" width="11.42578125" style="163"/>
    <col min="16116" max="16116" width="43.140625" style="163" bestFit="1" customWidth="1"/>
    <col min="16117" max="16117" width="26.7109375" style="163" bestFit="1" customWidth="1"/>
    <col min="16118" max="16118" width="18.28515625" style="163" bestFit="1" customWidth="1"/>
    <col min="16119" max="16119" width="13.85546875" style="163" bestFit="1" customWidth="1"/>
    <col min="16120" max="16120" width="9.28515625" style="163" bestFit="1" customWidth="1"/>
    <col min="16121" max="16121" width="13.42578125" style="163" bestFit="1" customWidth="1"/>
    <col min="16122" max="16384" width="11.42578125" style="163"/>
  </cols>
  <sheetData>
    <row r="3" spans="2:7" x14ac:dyDescent="0.25">
      <c r="B3" s="728" t="s">
        <v>1124</v>
      </c>
      <c r="C3" s="728"/>
      <c r="D3" s="728"/>
      <c r="E3" s="728"/>
      <c r="F3" s="728"/>
      <c r="G3" s="728"/>
    </row>
    <row r="5" spans="2:7" ht="15" customHeight="1" thickBot="1" x14ac:dyDescent="0.25">
      <c r="B5" s="207"/>
      <c r="C5" s="291" t="s">
        <v>1462</v>
      </c>
      <c r="D5" s="291" t="s">
        <v>1463</v>
      </c>
      <c r="E5" s="291" t="s">
        <v>1464</v>
      </c>
      <c r="F5" s="291" t="s">
        <v>1465</v>
      </c>
      <c r="G5" s="291" t="s">
        <v>1466</v>
      </c>
    </row>
    <row r="6" spans="2:7" ht="15" customHeight="1" thickTop="1" x14ac:dyDescent="0.2">
      <c r="B6" s="207"/>
      <c r="C6" s="207"/>
    </row>
    <row r="7" spans="2:7" ht="15" customHeight="1" x14ac:dyDescent="0.2">
      <c r="B7" s="329" t="s">
        <v>1300</v>
      </c>
      <c r="C7" s="207"/>
    </row>
    <row r="8" spans="2:7" ht="15" customHeight="1" x14ac:dyDescent="0.25">
      <c r="B8" s="330" t="s">
        <v>1453</v>
      </c>
      <c r="C8" s="53">
        <f>+'Calculos oferta -demanda 2'!P192</f>
        <v>2715435369.6096067</v>
      </c>
      <c r="D8" s="53">
        <f>+'Calculos oferta -demanda 2'!H70</f>
        <v>2907998218.2337193</v>
      </c>
      <c r="E8" s="53">
        <f>+'Calculos oferta -demanda 2'!I70</f>
        <v>3092055765.2903166</v>
      </c>
      <c r="F8" s="53">
        <f>+'Calculos oferta -demanda 2'!J70</f>
        <v>3246930867.1467767</v>
      </c>
      <c r="G8" s="53">
        <f>+'Calculos oferta -demanda 2'!K70</f>
        <v>3461578717.4236364</v>
      </c>
    </row>
    <row r="9" spans="2:7" ht="15" customHeight="1" x14ac:dyDescent="0.25">
      <c r="B9" s="330" t="s">
        <v>1420</v>
      </c>
      <c r="C9" s="53">
        <f>+'Servicios complementarios'!E55</f>
        <v>378873318.14786232</v>
      </c>
      <c r="D9" s="53">
        <f>+'Servicios complementarios'!F55</f>
        <v>402191569.04858601</v>
      </c>
      <c r="E9" s="53">
        <f>+'Servicios complementarios'!G55</f>
        <v>426944972.0147211</v>
      </c>
      <c r="F9" s="53">
        <f>+'Servicios complementarios'!H55</f>
        <v>453221855.34583056</v>
      </c>
      <c r="G9" s="53">
        <f>+'Servicios complementarios'!I55</f>
        <v>481115983.62150168</v>
      </c>
    </row>
    <row r="10" spans="2:7" ht="15" customHeight="1" x14ac:dyDescent="0.25">
      <c r="B10" s="330" t="s">
        <v>1206</v>
      </c>
      <c r="C10" s="53">
        <f>+'Servicios complementarios'!E71</f>
        <v>76675896.228391096</v>
      </c>
      <c r="D10" s="53">
        <f>+'Servicios complementarios'!F71</f>
        <v>82113303.85878098</v>
      </c>
      <c r="E10" s="53">
        <f>+'Servicios complementarios'!G71</f>
        <v>87310546.826192439</v>
      </c>
      <c r="F10" s="53">
        <f>+'Servicios complementarios'!H71</f>
        <v>91683763.501209378</v>
      </c>
      <c r="G10" s="53">
        <f>+'Servicios complementarios'!I71</f>
        <v>97744786.524505198</v>
      </c>
    </row>
    <row r="11" spans="2:7" ht="15" customHeight="1" x14ac:dyDescent="0.25">
      <c r="B11" s="330"/>
      <c r="D11" s="53"/>
      <c r="E11" s="53"/>
      <c r="F11" s="53"/>
      <c r="G11" s="53"/>
    </row>
    <row r="12" spans="2:7" ht="12.75" customHeight="1" x14ac:dyDescent="0.25">
      <c r="B12" s="164" t="s">
        <v>1253</v>
      </c>
      <c r="C12" s="331">
        <f>+SUM(C8:C10)</f>
        <v>3170984583.9858603</v>
      </c>
      <c r="D12" s="331">
        <f>+SUM(D8:D10)</f>
        <v>3392303091.1410861</v>
      </c>
      <c r="E12" s="331">
        <f>+SUM(E8:E10)</f>
        <v>3606311284.1312299</v>
      </c>
      <c r="F12" s="331">
        <f>+SUM(F8:F10)</f>
        <v>3791836485.9938164</v>
      </c>
      <c r="G12" s="331">
        <f>+SUM(G8:G10)</f>
        <v>4040439487.5696435</v>
      </c>
    </row>
    <row r="13" spans="2:7" ht="12.75" customHeight="1" x14ac:dyDescent="0.25">
      <c r="B13" s="330" t="s">
        <v>1456</v>
      </c>
      <c r="C13" s="53">
        <f>+'Servicios complementarios'!E56+'Servicios complementarios'!E72</f>
        <v>189887275.37334052</v>
      </c>
      <c r="D13" s="53">
        <f>+'Servicios complementarios'!F56+'Servicios complementarios'!F72</f>
        <v>198516402.9516421</v>
      </c>
      <c r="E13" s="53">
        <f>+'Servicios complementarios'!G56+'Servicios complementarios'!G72</f>
        <v>207255954.72521564</v>
      </c>
      <c r="F13" s="53">
        <f>+'Servicios complementarios'!H72+'Servicios complementarios'!H56</f>
        <v>215822989.63389674</v>
      </c>
      <c r="G13" s="53">
        <f>+'Servicios complementarios'!I56+'Servicios complementarios'!I72</f>
        <v>225482764.35299304</v>
      </c>
    </row>
    <row r="14" spans="2:7" ht="12.75" customHeight="1" x14ac:dyDescent="0.25">
      <c r="B14" s="164"/>
      <c r="D14" s="53"/>
      <c r="E14" s="53"/>
      <c r="F14" s="53"/>
      <c r="G14" s="53"/>
    </row>
    <row r="15" spans="2:7" ht="15.75" thickBot="1" x14ac:dyDescent="0.25">
      <c r="B15" s="170" t="s">
        <v>1254</v>
      </c>
      <c r="C15" s="171">
        <f>+C12-C13</f>
        <v>2981097308.6125197</v>
      </c>
      <c r="D15" s="171">
        <f>+D12-D13</f>
        <v>3193786688.1894441</v>
      </c>
      <c r="E15" s="171">
        <f>+E12-E13</f>
        <v>3399055329.4060144</v>
      </c>
      <c r="F15" s="171">
        <f>+F12-F13</f>
        <v>3576013496.3599195</v>
      </c>
      <c r="G15" s="171">
        <f>+G12-G13</f>
        <v>3814956723.2166505</v>
      </c>
    </row>
    <row r="16" spans="2:7" ht="15.75" thickTop="1" x14ac:dyDescent="0.25">
      <c r="D16" s="53"/>
      <c r="E16" s="53"/>
      <c r="F16" s="53"/>
      <c r="G16" s="53"/>
    </row>
    <row r="17" spans="2:11" s="208" customFormat="1" x14ac:dyDescent="0.25">
      <c r="B17" s="334" t="s">
        <v>1252</v>
      </c>
      <c r="C17" s="335">
        <f>+'Costo nómina'!I29+'gastos de mantenimiento'!F39+'gastos de mantenimiento'!H53+'gastos de mantenimiento'!H62</f>
        <v>1290771615.3578956</v>
      </c>
      <c r="D17" s="335">
        <f>+(C17*'Calculos oferta -demanda 2'!C76)+'Estados de resultados'!C17</f>
        <v>1341111708.3568535</v>
      </c>
      <c r="E17" s="335">
        <f>+(D17*'Calculos oferta -demanda 2'!$C$76)+'Estados de resultados'!D17</f>
        <v>1393415064.9827707</v>
      </c>
      <c r="F17" s="335">
        <f>+(E17*'Calculos oferta -demanda 2'!C76)+'Estados de resultados'!E17</f>
        <v>1447758252.5170987</v>
      </c>
      <c r="G17" s="335">
        <f>+(F17*'Calculos oferta -demanda 2'!C76)+'Estados de resultados'!F17</f>
        <v>1504220824.3652656</v>
      </c>
    </row>
    <row r="18" spans="2:11" s="208" customFormat="1" x14ac:dyDescent="0.25">
      <c r="B18" s="334" t="s">
        <v>1274</v>
      </c>
      <c r="C18" s="335">
        <v>40000000</v>
      </c>
      <c r="D18" s="335">
        <v>20000000</v>
      </c>
      <c r="E18" s="335">
        <v>20000000</v>
      </c>
      <c r="F18" s="335"/>
      <c r="G18" s="335"/>
      <c r="K18" s="350"/>
    </row>
    <row r="19" spans="2:11" s="208" customFormat="1" x14ac:dyDescent="0.25">
      <c r="B19" s="334"/>
      <c r="C19" s="335"/>
      <c r="D19" s="335"/>
      <c r="E19" s="335"/>
      <c r="F19" s="335"/>
      <c r="G19" s="335"/>
    </row>
    <row r="20" spans="2:11" s="208" customFormat="1" ht="15.75" thickBot="1" x14ac:dyDescent="0.25">
      <c r="B20" s="170" t="s">
        <v>1733</v>
      </c>
      <c r="C20" s="171">
        <f>+C15-C17-C18</f>
        <v>1650325693.2546241</v>
      </c>
      <c r="D20" s="171">
        <f t="shared" ref="D20:G20" si="0">+D15-D17-D18</f>
        <v>1832674979.8325906</v>
      </c>
      <c r="E20" s="171">
        <f t="shared" si="0"/>
        <v>1985640264.4232438</v>
      </c>
      <c r="F20" s="171">
        <f t="shared" si="0"/>
        <v>2128255243.8428209</v>
      </c>
      <c r="G20" s="171">
        <f t="shared" si="0"/>
        <v>2310735898.8513851</v>
      </c>
    </row>
    <row r="21" spans="2:11" s="208" customFormat="1" ht="13.5" thickTop="1" x14ac:dyDescent="0.2"/>
    <row r="22" spans="2:11" x14ac:dyDescent="0.25">
      <c r="B22" s="334" t="s">
        <v>1275</v>
      </c>
      <c r="C22" s="335">
        <f>+'Balance '!D111</f>
        <v>127369602.41999999</v>
      </c>
      <c r="D22" s="335">
        <f>+'Balance '!D112</f>
        <v>127369602.41999999</v>
      </c>
      <c r="E22" s="335">
        <f>+'Balance '!D113</f>
        <v>127369602.41999999</v>
      </c>
      <c r="F22" s="335">
        <f>+'Balance '!D114</f>
        <v>127369602.41999999</v>
      </c>
      <c r="G22" s="335">
        <f>+'Balance '!D115</f>
        <v>127369602.41999999</v>
      </c>
    </row>
    <row r="23" spans="2:11" x14ac:dyDescent="0.25">
      <c r="B23" s="174" t="s">
        <v>1457</v>
      </c>
      <c r="C23" s="53">
        <f>+'Servicios complementarios'!E18</f>
        <v>68407682.443364039</v>
      </c>
      <c r="D23" s="53">
        <f>+'Servicios complementarios'!F18</f>
        <v>72617922.189328015</v>
      </c>
      <c r="E23" s="53">
        <f>+'Servicios complementarios'!G18</f>
        <v>77087286.613769069</v>
      </c>
      <c r="F23" s="53">
        <f>+'Servicios complementarios'!H18</f>
        <v>81831723.88188608</v>
      </c>
      <c r="G23" s="53">
        <f>+'Servicios complementarios'!I18</f>
        <v>86868163.709437802</v>
      </c>
    </row>
    <row r="24" spans="2:11" x14ac:dyDescent="0.25">
      <c r="B24" s="165"/>
      <c r="D24" s="53"/>
      <c r="E24" s="53"/>
      <c r="F24" s="53"/>
      <c r="G24" s="53"/>
    </row>
    <row r="25" spans="2:11" ht="15.75" thickBot="1" x14ac:dyDescent="0.25">
      <c r="B25" s="170" t="s">
        <v>1636</v>
      </c>
      <c r="C25" s="171">
        <f>+C20-C22+C23</f>
        <v>1591363773.2779882</v>
      </c>
      <c r="D25" s="171">
        <f>+D20-D22+D23</f>
        <v>1777923299.6019185</v>
      </c>
      <c r="E25" s="171">
        <f>+E20-E22+E23</f>
        <v>1935357948.6170127</v>
      </c>
      <c r="F25" s="171">
        <f>+F20-F22+F23</f>
        <v>2082717365.3047068</v>
      </c>
      <c r="G25" s="171">
        <f>+G20-G22+G23</f>
        <v>2270234460.1408229</v>
      </c>
    </row>
    <row r="26" spans="2:11" ht="15.75" thickTop="1" x14ac:dyDescent="0.25">
      <c r="B26" s="167"/>
      <c r="D26" s="53"/>
      <c r="E26" s="53"/>
      <c r="F26" s="53"/>
      <c r="G26" s="53"/>
    </row>
    <row r="27" spans="2:11" x14ac:dyDescent="0.25">
      <c r="B27" s="166" t="s">
        <v>1120</v>
      </c>
      <c r="D27" s="53"/>
      <c r="E27" s="53"/>
      <c r="F27" s="53"/>
      <c r="G27" s="53"/>
    </row>
    <row r="28" spans="2:11" s="208" customFormat="1" x14ac:dyDescent="0.25">
      <c r="B28" s="336" t="s">
        <v>1243</v>
      </c>
      <c r="C28" s="335">
        <f>+SUM('Prestamo Créditos'!F3:F14)</f>
        <v>315951767.95971179</v>
      </c>
      <c r="D28" s="335">
        <f>+SUM('Prestamo Créditos'!F15:F26)</f>
        <v>208028102.86946452</v>
      </c>
      <c r="E28" s="335">
        <f>+SUM('Prestamo Créditos'!F27:F38)</f>
        <v>78992607.756836057</v>
      </c>
      <c r="F28" s="335">
        <v>0</v>
      </c>
      <c r="G28" s="335">
        <f>+SUM('Prestamo Créditos'!O15:O26)</f>
        <v>0</v>
      </c>
    </row>
    <row r="29" spans="2:11" s="208" customFormat="1" x14ac:dyDescent="0.25">
      <c r="B29" s="336" t="s">
        <v>1121</v>
      </c>
      <c r="C29" s="335">
        <f>+C12*0.004</f>
        <v>12683938.335943442</v>
      </c>
      <c r="D29" s="335">
        <f>+D12*0.004</f>
        <v>13569212.364564344</v>
      </c>
      <c r="E29" s="335">
        <f>+E12*0.004</f>
        <v>14425245.136524919</v>
      </c>
      <c r="F29" s="335">
        <f>+F12*0.004</f>
        <v>15167345.943975266</v>
      </c>
      <c r="G29" s="335">
        <f>+G12*0.004</f>
        <v>16161757.950278575</v>
      </c>
    </row>
    <row r="30" spans="2:11" s="208" customFormat="1" x14ac:dyDescent="0.25">
      <c r="B30" s="336" t="s">
        <v>1122</v>
      </c>
      <c r="C30" s="335">
        <f>+C12*0.3%</f>
        <v>9512953.7519575804</v>
      </c>
      <c r="D30" s="335">
        <f>+D12*0.3%</f>
        <v>10176909.273423258</v>
      </c>
      <c r="E30" s="335">
        <f>+E12*0.3%</f>
        <v>10818933.85239369</v>
      </c>
      <c r="F30" s="335">
        <f>+F12*0.3%</f>
        <v>11375509.457981449</v>
      </c>
      <c r="G30" s="335">
        <f>+G12*0.3%</f>
        <v>12121318.462708931</v>
      </c>
    </row>
    <row r="31" spans="2:11" s="208" customFormat="1" x14ac:dyDescent="0.25">
      <c r="B31" s="336"/>
      <c r="C31" s="335"/>
      <c r="D31" s="335"/>
      <c r="E31" s="335"/>
      <c r="F31" s="335"/>
      <c r="G31" s="335"/>
    </row>
    <row r="32" spans="2:11" ht="15.75" thickBot="1" x14ac:dyDescent="0.25">
      <c r="B32" s="170" t="s">
        <v>1123</v>
      </c>
      <c r="C32" s="171">
        <f>+C25-C28-C29-C30</f>
        <v>1253215113.2303753</v>
      </c>
      <c r="D32" s="171">
        <f>+D25-D28-D29-D30</f>
        <v>1546149075.0944662</v>
      </c>
      <c r="E32" s="171">
        <f>+E25-E28-E29-E30</f>
        <v>1831121161.871258</v>
      </c>
      <c r="F32" s="171">
        <f>+F25-F28-F29-F30</f>
        <v>2056174509.9027503</v>
      </c>
      <c r="G32" s="171">
        <f>+G25-G28-G29-G30</f>
        <v>2241951383.7278352</v>
      </c>
    </row>
    <row r="33" spans="2:8" ht="15.75" thickTop="1" x14ac:dyDescent="0.2">
      <c r="B33" s="167"/>
      <c r="C33" s="172"/>
      <c r="D33" s="172"/>
      <c r="E33" s="172"/>
      <c r="F33" s="172"/>
      <c r="G33" s="172"/>
    </row>
    <row r="34" spans="2:8" x14ac:dyDescent="0.25">
      <c r="B34" s="174" t="s">
        <v>1468</v>
      </c>
      <c r="C34" s="53">
        <f>+C32*9%</f>
        <v>112789360.19073378</v>
      </c>
      <c r="D34" s="53">
        <f>+D32*9%</f>
        <v>139153416.75850195</v>
      </c>
      <c r="E34" s="53">
        <f>+E32*9%</f>
        <v>164800904.56841323</v>
      </c>
      <c r="F34" s="53">
        <f>+F32*9%</f>
        <v>185055705.89124751</v>
      </c>
      <c r="G34" s="53">
        <f>+G32*9%</f>
        <v>201775624.53550515</v>
      </c>
    </row>
    <row r="35" spans="2:8" x14ac:dyDescent="0.25">
      <c r="B35" s="165"/>
      <c r="D35" s="53"/>
      <c r="E35" s="53"/>
      <c r="F35" s="53"/>
      <c r="G35" s="53"/>
    </row>
    <row r="36" spans="2:8" ht="15.75" thickBot="1" x14ac:dyDescent="0.25">
      <c r="B36" s="170" t="s">
        <v>1255</v>
      </c>
      <c r="C36" s="171">
        <f>+C32-C34</f>
        <v>1140425753.0396416</v>
      </c>
      <c r="D36" s="171">
        <f>+D32-D34</f>
        <v>1406995658.3359642</v>
      </c>
      <c r="E36" s="171">
        <f>+E32-E34</f>
        <v>1666320257.3028448</v>
      </c>
      <c r="F36" s="171">
        <f>+F32-F34</f>
        <v>1871118804.0115027</v>
      </c>
      <c r="G36" s="171">
        <f>+G32-G34</f>
        <v>2040175759.1923301</v>
      </c>
      <c r="H36" s="243"/>
    </row>
    <row r="37" spans="2:8" ht="15.75" thickTop="1" x14ac:dyDescent="0.25"/>
    <row r="39" spans="2:8" x14ac:dyDescent="0.25">
      <c r="B39" s="168"/>
      <c r="C39" s="173"/>
    </row>
    <row r="40" spans="2:8" x14ac:dyDescent="0.25">
      <c r="B40" s="168"/>
      <c r="C40" s="173"/>
    </row>
    <row r="41" spans="2:8" ht="12.75" x14ac:dyDescent="0.2">
      <c r="B41" s="169"/>
      <c r="C41" s="292"/>
    </row>
    <row r="42" spans="2:8" ht="12.75" x14ac:dyDescent="0.2">
      <c r="B42" s="169"/>
      <c r="C42" s="292"/>
    </row>
  </sheetData>
  <mergeCells count="1">
    <mergeCell ref="B3:G3"/>
  </mergeCells>
  <pageMargins left="0.7" right="0.7" top="0.75" bottom="0.75" header="0.3" footer="0.3"/>
  <pageSetup paperSize="9" scale="70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CDC14"/>
  </sheetPr>
  <dimension ref="B2:O109"/>
  <sheetViews>
    <sheetView topLeftCell="A55" workbookViewId="0">
      <selection activeCell="P63" sqref="P63"/>
    </sheetView>
  </sheetViews>
  <sheetFormatPr baseColWidth="10" defaultRowHeight="15" x14ac:dyDescent="0.25"/>
  <cols>
    <col min="2" max="2" width="52.42578125" bestFit="1" customWidth="1"/>
    <col min="3" max="3" width="18.28515625" bestFit="1" customWidth="1"/>
    <col min="4" max="4" width="17.5703125" bestFit="1" customWidth="1"/>
    <col min="5" max="7" width="15.85546875" bestFit="1" customWidth="1"/>
    <col min="8" max="8" width="14.85546875" bestFit="1" customWidth="1"/>
    <col min="12" max="12" width="15.5703125" style="424" bestFit="1" customWidth="1"/>
  </cols>
  <sheetData>
    <row r="2" spans="2:15" x14ac:dyDescent="0.25">
      <c r="B2" s="721" t="s">
        <v>1545</v>
      </c>
      <c r="C2" s="721"/>
      <c r="D2" s="721"/>
      <c r="E2" s="721"/>
      <c r="F2" s="721"/>
      <c r="G2" s="721"/>
      <c r="H2" s="721"/>
      <c r="I2" s="721"/>
      <c r="J2" s="649"/>
      <c r="K2" s="649"/>
      <c r="L2" s="649"/>
      <c r="M2" s="649"/>
      <c r="N2" s="649"/>
      <c r="O2" s="649"/>
    </row>
    <row r="4" spans="2:15" ht="15.75" thickBot="1" x14ac:dyDescent="0.3">
      <c r="B4" s="774" t="s">
        <v>1735</v>
      </c>
      <c r="C4" s="774"/>
      <c r="D4" s="774"/>
      <c r="E4" s="774"/>
      <c r="F4" s="774"/>
      <c r="G4" s="774"/>
      <c r="H4" s="774"/>
      <c r="I4" s="774"/>
    </row>
    <row r="5" spans="2:15" ht="15.75" thickTop="1" x14ac:dyDescent="0.25"/>
    <row r="6" spans="2:15" x14ac:dyDescent="0.25">
      <c r="B6" t="s">
        <v>1761</v>
      </c>
    </row>
    <row r="7" spans="2:15" x14ac:dyDescent="0.25">
      <c r="B7" t="s">
        <v>1762</v>
      </c>
    </row>
    <row r="8" spans="2:15" x14ac:dyDescent="0.25">
      <c r="B8" t="s">
        <v>1763</v>
      </c>
    </row>
    <row r="11" spans="2:15" x14ac:dyDescent="0.25">
      <c r="B11" s="3" t="s">
        <v>1765</v>
      </c>
      <c r="C11" s="699">
        <f>+G43</f>
        <v>0.10042549713538762</v>
      </c>
    </row>
    <row r="12" spans="2:15" x14ac:dyDescent="0.25">
      <c r="B12" s="3" t="s">
        <v>1518</v>
      </c>
      <c r="C12" s="35">
        <f>+'Balance '!D68</f>
        <v>4606636707</v>
      </c>
    </row>
    <row r="13" spans="2:15" x14ac:dyDescent="0.25">
      <c r="B13" s="3" t="s">
        <v>1519</v>
      </c>
      <c r="C13" s="250">
        <v>0.09</v>
      </c>
    </row>
    <row r="14" spans="2:15" x14ac:dyDescent="0.25">
      <c r="C14" s="250"/>
    </row>
    <row r="15" spans="2:15" ht="15.75" customHeight="1" thickBot="1" x14ac:dyDescent="0.3">
      <c r="B15" s="774" t="s">
        <v>1810</v>
      </c>
      <c r="C15" s="774"/>
      <c r="D15" s="774"/>
      <c r="E15" s="774"/>
      <c r="F15" s="774"/>
      <c r="G15" s="774"/>
      <c r="H15" s="774"/>
      <c r="L15"/>
    </row>
    <row r="16" spans="2:15" ht="15.75" thickTop="1" x14ac:dyDescent="0.25">
      <c r="C16" s="773" t="s">
        <v>1541</v>
      </c>
      <c r="D16" s="773"/>
      <c r="E16" s="773"/>
      <c r="F16" s="773"/>
      <c r="G16" s="773"/>
      <c r="H16" s="773"/>
      <c r="L16"/>
    </row>
    <row r="17" spans="2:12" x14ac:dyDescent="0.25">
      <c r="C17" s="639">
        <v>2021</v>
      </c>
      <c r="D17" s="639">
        <v>2022</v>
      </c>
      <c r="E17" s="639">
        <v>2023</v>
      </c>
      <c r="F17" s="639">
        <v>2024</v>
      </c>
      <c r="G17" s="639">
        <v>2025</v>
      </c>
      <c r="H17" s="639">
        <v>2026</v>
      </c>
      <c r="L17"/>
    </row>
    <row r="18" spans="2:12" x14ac:dyDescent="0.25">
      <c r="B18" s="1"/>
      <c r="C18" s="639">
        <v>0</v>
      </c>
      <c r="D18" s="639">
        <v>1</v>
      </c>
      <c r="E18" s="639">
        <v>2</v>
      </c>
      <c r="F18" s="639">
        <v>3</v>
      </c>
      <c r="G18" s="639">
        <v>4</v>
      </c>
      <c r="H18" s="639">
        <v>5</v>
      </c>
      <c r="L18"/>
    </row>
    <row r="19" spans="2:12" x14ac:dyDescent="0.25">
      <c r="B19" s="1" t="s">
        <v>1520</v>
      </c>
      <c r="C19" s="428"/>
      <c r="D19" s="428">
        <f>+'Estados de resultados'!C12</f>
        <v>3170984583.9858603</v>
      </c>
      <c r="E19" s="428">
        <f>+'Estados de resultados'!D12</f>
        <v>3392303091.1410861</v>
      </c>
      <c r="F19" s="428">
        <f>+'Estados de resultados'!E12</f>
        <v>3606311284.1312299</v>
      </c>
      <c r="G19" s="428">
        <f>+'Estados de resultados'!F12</f>
        <v>3791836485.9938164</v>
      </c>
      <c r="H19" s="428">
        <f>+'Estados de resultados'!G12</f>
        <v>4040439487.5696435</v>
      </c>
      <c r="L19"/>
    </row>
    <row r="20" spans="2:12" x14ac:dyDescent="0.25">
      <c r="B20" s="1" t="s">
        <v>1722</v>
      </c>
      <c r="C20" s="428"/>
      <c r="D20" s="428">
        <f>+'Estados de resultados'!C13</f>
        <v>189887275.37334052</v>
      </c>
      <c r="E20" s="428">
        <f>+'Estados de resultados'!D13</f>
        <v>198516402.9516421</v>
      </c>
      <c r="F20" s="428">
        <f>+'Estados de resultados'!E13</f>
        <v>207255954.72521564</v>
      </c>
      <c r="G20" s="428">
        <f>+'Estados de resultados'!F13</f>
        <v>215822989.63389674</v>
      </c>
      <c r="H20" s="428">
        <f>+'Estados de resultados'!G13</f>
        <v>225482764.35299304</v>
      </c>
      <c r="L20"/>
    </row>
    <row r="21" spans="2:12" x14ac:dyDescent="0.25">
      <c r="B21" s="1" t="s">
        <v>1521</v>
      </c>
      <c r="C21" s="428"/>
      <c r="D21" s="429">
        <f>D19-D20</f>
        <v>2981097308.6125197</v>
      </c>
      <c r="E21" s="429">
        <f t="shared" ref="E21:H21" si="0">E19-E20</f>
        <v>3193786688.1894441</v>
      </c>
      <c r="F21" s="429">
        <f t="shared" si="0"/>
        <v>3399055329.4060144</v>
      </c>
      <c r="G21" s="429">
        <f t="shared" si="0"/>
        <v>3576013496.3599195</v>
      </c>
      <c r="H21" s="429">
        <f t="shared" si="0"/>
        <v>3814956723.2166505</v>
      </c>
      <c r="L21"/>
    </row>
    <row r="22" spans="2:12" x14ac:dyDescent="0.25">
      <c r="B22" s="1" t="s">
        <v>1522</v>
      </c>
      <c r="C22" s="428"/>
      <c r="D22" s="428">
        <f>+'Estados de resultados'!C17+'Estados de resultados'!C18</f>
        <v>1330771615.3578956</v>
      </c>
      <c r="E22" s="428">
        <f>+'Estados de resultados'!D17+'Estados de resultados'!D18</f>
        <v>1361111708.3568535</v>
      </c>
      <c r="F22" s="428">
        <f>+'Estados de resultados'!E17+'Estados de resultados'!E18</f>
        <v>1413415064.9827707</v>
      </c>
      <c r="G22" s="428">
        <f>+'Estados de resultados'!F17+'Estados de resultados'!F18</f>
        <v>1447758252.5170987</v>
      </c>
      <c r="H22" s="428">
        <f>+'Estados de resultados'!G17+'Estados de resultados'!G18</f>
        <v>1504220824.3652656</v>
      </c>
      <c r="L22"/>
    </row>
    <row r="23" spans="2:12" x14ac:dyDescent="0.25">
      <c r="B23" s="4" t="s">
        <v>1734</v>
      </c>
      <c r="C23" s="428"/>
      <c r="D23" s="429">
        <f>D21-D22</f>
        <v>1650325693.2546241</v>
      </c>
      <c r="E23" s="429">
        <f t="shared" ref="E23:H23" si="1">E21-E22</f>
        <v>1832674979.8325906</v>
      </c>
      <c r="F23" s="429">
        <f t="shared" si="1"/>
        <v>1985640264.4232438</v>
      </c>
      <c r="G23" s="429">
        <f t="shared" si="1"/>
        <v>2128255243.8428209</v>
      </c>
      <c r="H23" s="429">
        <f t="shared" si="1"/>
        <v>2310735898.8513851</v>
      </c>
      <c r="L23"/>
    </row>
    <row r="24" spans="2:12" x14ac:dyDescent="0.25">
      <c r="B24" s="1" t="s">
        <v>1523</v>
      </c>
      <c r="C24" s="428"/>
      <c r="D24" s="428"/>
      <c r="E24" s="428"/>
      <c r="F24" s="428"/>
      <c r="G24" s="428"/>
      <c r="H24" s="428"/>
      <c r="L24"/>
    </row>
    <row r="25" spans="2:12" x14ac:dyDescent="0.25">
      <c r="B25" s="1" t="s">
        <v>1524</v>
      </c>
      <c r="C25" s="428"/>
      <c r="D25" s="428">
        <f>+'Estados de resultados'!C22</f>
        <v>127369602.41999999</v>
      </c>
      <c r="E25" s="428">
        <f>+'Estados de resultados'!D22</f>
        <v>127369602.41999999</v>
      </c>
      <c r="F25" s="428">
        <f>+'Estados de resultados'!E22</f>
        <v>127369602.41999999</v>
      </c>
      <c r="G25" s="428">
        <f>+'Estados de resultados'!F22</f>
        <v>127369602.41999999</v>
      </c>
      <c r="H25" s="428">
        <f>+'Estados de resultados'!G22</f>
        <v>127369602.41999999</v>
      </c>
      <c r="L25"/>
    </row>
    <row r="26" spans="2:12" x14ac:dyDescent="0.25">
      <c r="B26" s="1" t="s">
        <v>1539</v>
      </c>
      <c r="C26" s="428"/>
      <c r="D26" s="428">
        <f>+'Estados de resultados'!C23</f>
        <v>68407682.443364039</v>
      </c>
      <c r="E26" s="428">
        <f>+'Estados de resultados'!D23</f>
        <v>72617922.189328015</v>
      </c>
      <c r="F26" s="428">
        <f>+'Estados de resultados'!E23</f>
        <v>77087286.613769069</v>
      </c>
      <c r="G26" s="428">
        <f>+'Estados de resultados'!F23</f>
        <v>81831723.88188608</v>
      </c>
      <c r="H26" s="428">
        <f>+'Estados de resultados'!G23</f>
        <v>86868163.709437802</v>
      </c>
      <c r="L26"/>
    </row>
    <row r="27" spans="2:12" x14ac:dyDescent="0.25">
      <c r="B27" s="4" t="s">
        <v>1723</v>
      </c>
      <c r="C27" s="429"/>
      <c r="D27" s="429">
        <f>D23-D24-D25+D26</f>
        <v>1591363773.2779882</v>
      </c>
      <c r="E27" s="429">
        <f>E23-E24-E25+E26</f>
        <v>1777923299.6019185</v>
      </c>
      <c r="F27" s="429">
        <f>F23-F24-F25+F26</f>
        <v>1935357948.6170127</v>
      </c>
      <c r="G27" s="429">
        <f>G23-G24-G25+G26</f>
        <v>2082717365.3047068</v>
      </c>
      <c r="H27" s="429">
        <f>H23-H24-H25+H26</f>
        <v>2270234460.1408229</v>
      </c>
      <c r="L27"/>
    </row>
    <row r="28" spans="2:12" x14ac:dyDescent="0.25">
      <c r="B28" s="1" t="s">
        <v>1526</v>
      </c>
      <c r="C28" s="428"/>
      <c r="D28" s="428">
        <f>D27*$C$13</f>
        <v>143222739.59501892</v>
      </c>
      <c r="E28" s="428">
        <f t="shared" ref="E28:H28" si="2">E27*$C$13</f>
        <v>160013096.96417266</v>
      </c>
      <c r="F28" s="428">
        <f t="shared" si="2"/>
        <v>174182215.37553114</v>
      </c>
      <c r="G28" s="428">
        <f t="shared" si="2"/>
        <v>187444562.87742361</v>
      </c>
      <c r="H28" s="428">
        <f t="shared" si="2"/>
        <v>204321101.41267404</v>
      </c>
      <c r="L28"/>
    </row>
    <row r="29" spans="2:12" x14ac:dyDescent="0.25">
      <c r="B29" s="32" t="s">
        <v>1747</v>
      </c>
      <c r="C29" s="630"/>
      <c r="D29" s="630">
        <f>D27-D28</f>
        <v>1448141033.6829693</v>
      </c>
      <c r="E29" s="630">
        <f t="shared" ref="E29:H29" si="3">E27-E28</f>
        <v>1617910202.6377459</v>
      </c>
      <c r="F29" s="630">
        <f t="shared" si="3"/>
        <v>1761175733.2414815</v>
      </c>
      <c r="G29" s="630">
        <f t="shared" si="3"/>
        <v>1895272802.4272833</v>
      </c>
      <c r="H29" s="630">
        <f t="shared" si="3"/>
        <v>2065913358.7281489</v>
      </c>
      <c r="L29"/>
    </row>
    <row r="30" spans="2:12" x14ac:dyDescent="0.25">
      <c r="B30" s="5" t="s">
        <v>1527</v>
      </c>
      <c r="C30" s="428"/>
      <c r="D30" s="428">
        <f>D25</f>
        <v>127369602.41999999</v>
      </c>
      <c r="E30" s="428">
        <f>E25</f>
        <v>127369602.41999999</v>
      </c>
      <c r="F30" s="428">
        <f>F25</f>
        <v>127369602.41999999</v>
      </c>
      <c r="G30" s="428">
        <f>G25</f>
        <v>127369602.41999999</v>
      </c>
      <c r="H30" s="428">
        <f>H25</f>
        <v>127369602.41999999</v>
      </c>
      <c r="L30"/>
    </row>
    <row r="31" spans="2:12" x14ac:dyDescent="0.25">
      <c r="B31" s="1" t="s">
        <v>1725</v>
      </c>
      <c r="C31" s="428">
        <f>+'flujo de caja del inversionista'!C34</f>
        <v>-4556636707</v>
      </c>
      <c r="D31" s="428"/>
      <c r="E31" s="428"/>
      <c r="F31" s="428"/>
      <c r="G31" s="428"/>
      <c r="H31" s="428"/>
      <c r="L31"/>
    </row>
    <row r="32" spans="2:12" x14ac:dyDescent="0.25">
      <c r="B32" s="5" t="s">
        <v>1748</v>
      </c>
      <c r="C32" s="428"/>
      <c r="D32" s="1"/>
      <c r="E32" s="428"/>
      <c r="F32" s="428"/>
      <c r="G32" s="428"/>
      <c r="H32" s="428"/>
      <c r="L32"/>
    </row>
    <row r="33" spans="2:12" x14ac:dyDescent="0.25">
      <c r="B33" s="5" t="s">
        <v>1529</v>
      </c>
      <c r="C33" s="428"/>
      <c r="D33" s="428"/>
      <c r="E33" s="428"/>
      <c r="F33" s="428"/>
      <c r="G33" s="428"/>
      <c r="H33" s="428"/>
      <c r="L33"/>
    </row>
    <row r="34" spans="2:12" x14ac:dyDescent="0.25">
      <c r="B34" s="631" t="s">
        <v>1834</v>
      </c>
      <c r="C34" s="430">
        <f>SUM(C29:C32)</f>
        <v>-4556636707</v>
      </c>
      <c r="D34" s="430">
        <f>+D29+D30</f>
        <v>1575510636.1029694</v>
      </c>
      <c r="E34" s="430">
        <f t="shared" ref="E34:H34" si="4">+E29+E30</f>
        <v>1745279805.0577459</v>
      </c>
      <c r="F34" s="430">
        <f t="shared" si="4"/>
        <v>1888545335.6614816</v>
      </c>
      <c r="G34" s="430">
        <f t="shared" si="4"/>
        <v>2022642404.8472834</v>
      </c>
      <c r="H34" s="430">
        <f t="shared" si="4"/>
        <v>2193282961.148149</v>
      </c>
      <c r="L34"/>
    </row>
    <row r="35" spans="2:12" x14ac:dyDescent="0.25">
      <c r="B35" s="11"/>
      <c r="C35" s="206"/>
      <c r="D35" s="418"/>
      <c r="E35" s="418"/>
      <c r="F35" s="418"/>
      <c r="G35" s="418"/>
      <c r="H35" s="418"/>
      <c r="L35"/>
    </row>
    <row r="36" spans="2:12" x14ac:dyDescent="0.25">
      <c r="B36" s="417" t="s">
        <v>1721</v>
      </c>
      <c r="C36" s="29">
        <f>+NPV(C11,D34:H34)</f>
        <v>7028821938.8210621</v>
      </c>
      <c r="D36" s="419"/>
      <c r="E36" s="418"/>
      <c r="F36" s="418"/>
      <c r="G36" s="418"/>
      <c r="H36" s="418"/>
      <c r="I36" s="653"/>
      <c r="L36"/>
    </row>
    <row r="37" spans="2:12" ht="15.75" thickBot="1" x14ac:dyDescent="0.3">
      <c r="B37" s="5" t="s">
        <v>1726</v>
      </c>
      <c r="C37" s="29">
        <f>-C34</f>
        <v>4556636707</v>
      </c>
      <c r="D37" s="418"/>
      <c r="E37" s="418"/>
      <c r="F37" s="418"/>
      <c r="G37" s="418"/>
      <c r="H37" s="418"/>
      <c r="L37"/>
    </row>
    <row r="38" spans="2:12" x14ac:dyDescent="0.25">
      <c r="B38" s="20" t="s">
        <v>1758</v>
      </c>
      <c r="C38" s="655">
        <f>+NPV(C11,D34:H34)+C34</f>
        <v>2472185231.8210621</v>
      </c>
      <c r="D38" s="418"/>
      <c r="E38" s="412"/>
      <c r="F38" s="259"/>
      <c r="G38" s="259"/>
      <c r="H38" s="261"/>
      <c r="L38"/>
    </row>
    <row r="39" spans="2:12" x14ac:dyDescent="0.25">
      <c r="B39" s="20" t="s">
        <v>1749</v>
      </c>
      <c r="C39" s="633">
        <f>+IRR(C34:H34)</f>
        <v>0.28333846741314272</v>
      </c>
      <c r="D39" s="418"/>
      <c r="E39" s="769" t="s">
        <v>1325</v>
      </c>
      <c r="F39" s="770"/>
      <c r="G39" s="770"/>
      <c r="H39" s="771"/>
      <c r="L39"/>
    </row>
    <row r="40" spans="2:12" x14ac:dyDescent="0.25">
      <c r="B40" s="11"/>
      <c r="C40" s="418"/>
      <c r="D40" s="418"/>
      <c r="E40" s="280"/>
      <c r="F40" s="263"/>
      <c r="G40" s="263"/>
      <c r="H40" s="262"/>
      <c r="L40"/>
    </row>
    <row r="41" spans="2:12" x14ac:dyDescent="0.25">
      <c r="B41" s="11"/>
      <c r="C41" s="418"/>
      <c r="D41" s="418"/>
      <c r="E41" s="369"/>
      <c r="F41" s="362" t="s">
        <v>1298</v>
      </c>
      <c r="G41" s="362" t="s">
        <v>1304</v>
      </c>
      <c r="H41" s="265"/>
      <c r="L41"/>
    </row>
    <row r="42" spans="2:12" x14ac:dyDescent="0.25">
      <c r="D42" s="419"/>
      <c r="E42" s="369"/>
      <c r="F42" s="264"/>
      <c r="G42" s="263"/>
      <c r="H42" s="265"/>
      <c r="I42" s="419"/>
      <c r="L42"/>
    </row>
    <row r="43" spans="2:12" x14ac:dyDescent="0.25">
      <c r="E43" s="369"/>
      <c r="F43" s="376">
        <f>+C48</f>
        <v>0.28333846741314272</v>
      </c>
      <c r="G43" s="376">
        <f>+'Cálculo WACC'!C44</f>
        <v>0.10042549713538762</v>
      </c>
      <c r="H43" s="265"/>
      <c r="L43"/>
    </row>
    <row r="44" spans="2:12" ht="15.75" thickBot="1" x14ac:dyDescent="0.3">
      <c r="E44" s="413"/>
      <c r="F44" s="414"/>
      <c r="G44" s="641"/>
      <c r="H44" s="416"/>
      <c r="L44"/>
    </row>
    <row r="45" spans="2:12" x14ac:dyDescent="0.25">
      <c r="L45"/>
    </row>
    <row r="46" spans="2:12" x14ac:dyDescent="0.25">
      <c r="L46"/>
    </row>
    <row r="47" spans="2:12" x14ac:dyDescent="0.25">
      <c r="B47" s="190" t="s">
        <v>1530</v>
      </c>
      <c r="C47" s="417"/>
      <c r="L47"/>
    </row>
    <row r="48" spans="2:12" x14ac:dyDescent="0.25">
      <c r="B48" s="190" t="s">
        <v>1298</v>
      </c>
      <c r="C48" s="654">
        <f>IRR(C34:H34)</f>
        <v>0.28333846741314272</v>
      </c>
      <c r="L48"/>
    </row>
    <row r="49" spans="2:12" x14ac:dyDescent="0.25">
      <c r="B49" s="190" t="s">
        <v>1729</v>
      </c>
      <c r="C49" s="420">
        <f>NPV(C11,D34:H34)</f>
        <v>7028821938.8210621</v>
      </c>
      <c r="L49"/>
    </row>
    <row r="50" spans="2:12" x14ac:dyDescent="0.25">
      <c r="B50" s="190" t="s">
        <v>1531</v>
      </c>
      <c r="C50" s="420">
        <f>-C34</f>
        <v>4556636707</v>
      </c>
      <c r="L50"/>
    </row>
    <row r="51" spans="2:12" x14ac:dyDescent="0.25">
      <c r="B51" s="190" t="s">
        <v>1730</v>
      </c>
      <c r="C51" s="634">
        <f>C49-C50</f>
        <v>2472185231.8210621</v>
      </c>
      <c r="L51"/>
    </row>
    <row r="52" spans="2:12" x14ac:dyDescent="0.25">
      <c r="B52" s="190" t="s">
        <v>1532</v>
      </c>
      <c r="C52" s="421">
        <f>C49/C50</f>
        <v>1.5425460467417207</v>
      </c>
      <c r="L52"/>
    </row>
    <row r="53" spans="2:12" x14ac:dyDescent="0.25">
      <c r="B53" s="190" t="s">
        <v>1533</v>
      </c>
      <c r="C53" s="640">
        <f>MIRR(C34:H34,,C11)</f>
        <v>0.20007467768589415</v>
      </c>
      <c r="L53"/>
    </row>
    <row r="54" spans="2:12" x14ac:dyDescent="0.25">
      <c r="B54" s="11"/>
      <c r="C54" s="423"/>
      <c r="L54"/>
    </row>
    <row r="55" spans="2:12" x14ac:dyDescent="0.25">
      <c r="B55" s="11"/>
      <c r="C55" s="423"/>
      <c r="L55"/>
    </row>
    <row r="56" spans="2:12" x14ac:dyDescent="0.25">
      <c r="B56" s="11"/>
      <c r="C56" s="423"/>
      <c r="L56"/>
    </row>
    <row r="57" spans="2:12" x14ac:dyDescent="0.25">
      <c r="B57" s="11"/>
      <c r="C57" s="423"/>
      <c r="L57"/>
    </row>
    <row r="58" spans="2:12" x14ac:dyDescent="0.25">
      <c r="B58" s="11"/>
      <c r="C58" s="423"/>
      <c r="L58"/>
    </row>
    <row r="61" spans="2:12" ht="15.75" customHeight="1" thickBot="1" x14ac:dyDescent="0.3">
      <c r="B61" s="774" t="s">
        <v>1754</v>
      </c>
      <c r="C61" s="774"/>
      <c r="D61" s="774"/>
      <c r="E61" s="774"/>
      <c r="F61" s="774"/>
      <c r="G61" s="774"/>
      <c r="H61" s="774"/>
    </row>
    <row r="62" spans="2:12" ht="15.75" thickTop="1" x14ac:dyDescent="0.25">
      <c r="C62" s="773" t="s">
        <v>1541</v>
      </c>
      <c r="D62" s="773"/>
      <c r="E62" s="773"/>
      <c r="F62" s="773"/>
      <c r="G62" s="773"/>
      <c r="H62" s="773"/>
      <c r="L62"/>
    </row>
    <row r="63" spans="2:12" x14ac:dyDescent="0.25">
      <c r="C63" s="639">
        <v>2021</v>
      </c>
      <c r="D63" s="639">
        <v>2022</v>
      </c>
      <c r="E63" s="639">
        <v>2023</v>
      </c>
      <c r="F63" s="639">
        <v>2024</v>
      </c>
      <c r="G63" s="639">
        <v>2025</v>
      </c>
      <c r="H63" s="639">
        <v>2026</v>
      </c>
      <c r="L63"/>
    </row>
    <row r="64" spans="2:12" x14ac:dyDescent="0.25">
      <c r="B64" s="1"/>
      <c r="C64" s="639">
        <v>0</v>
      </c>
      <c r="D64" s="639">
        <v>1</v>
      </c>
      <c r="E64" s="639">
        <v>2</v>
      </c>
      <c r="F64" s="639">
        <v>3</v>
      </c>
      <c r="G64" s="639">
        <v>4</v>
      </c>
      <c r="H64" s="639">
        <v>5</v>
      </c>
      <c r="L64"/>
    </row>
    <row r="65" spans="2:12" x14ac:dyDescent="0.25">
      <c r="B65" s="1" t="s">
        <v>1746</v>
      </c>
      <c r="C65" s="428"/>
      <c r="D65" s="428">
        <f>+-'flujo de caja del inversionista'!D29</f>
        <v>-338148660.04761285</v>
      </c>
      <c r="E65" s="428">
        <f>+-'flujo de caja del inversionista'!E29</f>
        <v>-231774224.50745213</v>
      </c>
      <c r="F65" s="428">
        <f>+-'flujo de caja del inversionista'!F29</f>
        <v>-104236786.74575466</v>
      </c>
      <c r="G65" s="428">
        <f>+-'flujo de caja del inversionista'!G29</f>
        <v>-26542855.401956715</v>
      </c>
      <c r="H65" s="428">
        <f>+-'flujo de caja del inversionista'!H29</f>
        <v>-28283076.412987508</v>
      </c>
      <c r="L65"/>
    </row>
    <row r="66" spans="2:12" x14ac:dyDescent="0.25">
      <c r="B66" s="4" t="s">
        <v>1723</v>
      </c>
      <c r="C66" s="429"/>
      <c r="D66" s="429">
        <f>+D65</f>
        <v>-338148660.04761285</v>
      </c>
      <c r="E66" s="429">
        <f t="shared" ref="E66:H66" si="5">+E65</f>
        <v>-231774224.50745213</v>
      </c>
      <c r="F66" s="429">
        <f t="shared" si="5"/>
        <v>-104236786.74575466</v>
      </c>
      <c r="G66" s="429">
        <f t="shared" si="5"/>
        <v>-26542855.401956715</v>
      </c>
      <c r="H66" s="429">
        <f t="shared" si="5"/>
        <v>-28283076.412987508</v>
      </c>
      <c r="L66"/>
    </row>
    <row r="67" spans="2:12" x14ac:dyDescent="0.25">
      <c r="B67" s="1" t="s">
        <v>1750</v>
      </c>
      <c r="C67" s="428"/>
      <c r="D67" s="428">
        <f>+-D66*$C$13</f>
        <v>30433379.404285155</v>
      </c>
      <c r="E67" s="428">
        <f t="shared" ref="E67:H67" si="6">+-E66*$C$13</f>
        <v>20859680.205670692</v>
      </c>
      <c r="F67" s="428">
        <f t="shared" si="6"/>
        <v>9381310.8071179185</v>
      </c>
      <c r="G67" s="428">
        <f t="shared" si="6"/>
        <v>2388856.9861761043</v>
      </c>
      <c r="H67" s="428">
        <f t="shared" si="6"/>
        <v>2545476.8771688757</v>
      </c>
      <c r="L67"/>
    </row>
    <row r="68" spans="2:12" x14ac:dyDescent="0.25">
      <c r="B68" s="32" t="s">
        <v>1751</v>
      </c>
      <c r="C68" s="630"/>
      <c r="D68" s="630">
        <f>+D66+D67</f>
        <v>-307715280.64332771</v>
      </c>
      <c r="E68" s="630">
        <f t="shared" ref="E68:H68" si="7">+E66+E67</f>
        <v>-210914544.30178145</v>
      </c>
      <c r="F68" s="630">
        <f t="shared" si="7"/>
        <v>-94855475.938636735</v>
      </c>
      <c r="G68" s="630">
        <f t="shared" si="7"/>
        <v>-24153998.415780611</v>
      </c>
      <c r="H68" s="630">
        <f t="shared" si="7"/>
        <v>-25737599.535818633</v>
      </c>
      <c r="L68"/>
    </row>
    <row r="69" spans="2:12" x14ac:dyDescent="0.25">
      <c r="B69" s="5" t="s">
        <v>1752</v>
      </c>
      <c r="C69" s="428"/>
      <c r="D69" s="428">
        <f>+-'flujo de caja del inversionista'!D37</f>
        <v>-551705724.90229237</v>
      </c>
      <c r="E69" s="428">
        <f>+-'flujo de caja del inversionista'!E37</f>
        <v>-659629389.99253964</v>
      </c>
      <c r="F69" s="428">
        <f>+-'flujo de caja del inversionista'!F37</f>
        <v>-788664885.1051681</v>
      </c>
      <c r="G69" s="428">
        <f>+-'flujo de caja del inversionista'!G37</f>
        <v>0</v>
      </c>
      <c r="H69" s="428">
        <f>+-'flujo de caja del inversionista'!H37</f>
        <v>0</v>
      </c>
      <c r="L69"/>
    </row>
    <row r="70" spans="2:12" x14ac:dyDescent="0.25">
      <c r="B70" s="5" t="s">
        <v>1764</v>
      </c>
      <c r="C70" s="428">
        <f>+'Balance '!D74</f>
        <v>2000000000</v>
      </c>
      <c r="E70" s="428"/>
      <c r="F70" s="428"/>
      <c r="G70" s="428">
        <f>+-'flujo de caja del inversionista'!G37</f>
        <v>0</v>
      </c>
      <c r="H70" s="428">
        <f>+-'flujo de caja del inversionista'!H37</f>
        <v>0</v>
      </c>
      <c r="L70"/>
    </row>
    <row r="71" spans="2:12" x14ac:dyDescent="0.25">
      <c r="B71" s="631" t="s">
        <v>1753</v>
      </c>
      <c r="C71" s="430">
        <f>SUM(C68:C70)</f>
        <v>2000000000</v>
      </c>
      <c r="D71" s="430">
        <f>+D69+D68</f>
        <v>-859421005.54562008</v>
      </c>
      <c r="E71" s="430">
        <f t="shared" ref="E71:G71" si="8">+E69+E68</f>
        <v>-870543934.29432106</v>
      </c>
      <c r="F71" s="430">
        <f t="shared" si="8"/>
        <v>-883520361.04380488</v>
      </c>
      <c r="G71" s="430">
        <f t="shared" si="8"/>
        <v>-24153998.415780611</v>
      </c>
      <c r="H71" s="430">
        <f>+H69+H68</f>
        <v>-25737599.535818633</v>
      </c>
      <c r="L71"/>
    </row>
    <row r="72" spans="2:12" x14ac:dyDescent="0.25">
      <c r="B72" s="652">
        <f>+'Cálculo WACC'!C42</f>
        <v>0.18</v>
      </c>
      <c r="C72" s="650"/>
      <c r="D72" s="418"/>
      <c r="E72" s="418"/>
      <c r="F72" s="418"/>
      <c r="G72" s="418"/>
      <c r="H72" s="418"/>
      <c r="L72"/>
    </row>
    <row r="73" spans="2:12" x14ac:dyDescent="0.25">
      <c r="B73" s="20" t="s">
        <v>1759</v>
      </c>
      <c r="C73" s="655">
        <f>+NPV(B72,D71:H71)+C71</f>
        <v>85019740.904769897</v>
      </c>
      <c r="D73" s="418"/>
      <c r="E73" s="418"/>
      <c r="F73" s="418"/>
      <c r="G73" s="418"/>
      <c r="H73" s="418"/>
      <c r="L73"/>
    </row>
    <row r="74" spans="2:12" x14ac:dyDescent="0.25">
      <c r="C74" s="206"/>
      <c r="D74" s="418"/>
      <c r="E74" s="418"/>
      <c r="F74" s="418"/>
      <c r="G74" s="418"/>
      <c r="H74" s="418"/>
      <c r="L74"/>
    </row>
    <row r="75" spans="2:12" x14ac:dyDescent="0.25">
      <c r="B75" s="11"/>
      <c r="C75" s="206"/>
      <c r="D75" s="418"/>
      <c r="E75" s="418"/>
      <c r="F75" s="418"/>
      <c r="G75" s="418"/>
      <c r="H75" s="418"/>
      <c r="L75"/>
    </row>
    <row r="77" spans="2:12" ht="15.75" thickBot="1" x14ac:dyDescent="0.3">
      <c r="B77" s="774" t="s">
        <v>1755</v>
      </c>
      <c r="C77" s="774"/>
      <c r="D77" s="774"/>
      <c r="E77" s="774"/>
      <c r="F77" s="774"/>
      <c r="G77" s="774"/>
      <c r="H77" s="774"/>
    </row>
    <row r="78" spans="2:12" ht="15.75" thickTop="1" x14ac:dyDescent="0.25">
      <c r="C78" s="639">
        <v>2021</v>
      </c>
      <c r="D78" s="639">
        <v>2022</v>
      </c>
      <c r="E78" s="639">
        <v>2023</v>
      </c>
      <c r="F78" s="639">
        <v>2024</v>
      </c>
      <c r="G78" s="639">
        <v>2025</v>
      </c>
      <c r="H78" s="639">
        <v>2026</v>
      </c>
    </row>
    <row r="79" spans="2:12" x14ac:dyDescent="0.25">
      <c r="C79" s="639">
        <v>0</v>
      </c>
      <c r="D79" s="639">
        <v>1</v>
      </c>
      <c r="E79" s="639">
        <v>2</v>
      </c>
      <c r="F79" s="639">
        <v>3</v>
      </c>
      <c r="G79" s="639">
        <v>4</v>
      </c>
      <c r="H79" s="639">
        <v>5</v>
      </c>
    </row>
    <row r="80" spans="2:12" x14ac:dyDescent="0.25">
      <c r="B80" s="317" t="s">
        <v>1745</v>
      </c>
      <c r="C80" s="651">
        <f t="shared" ref="C80:H80" si="9">+C34</f>
        <v>-4556636707</v>
      </c>
      <c r="D80" s="651">
        <f t="shared" si="9"/>
        <v>1575510636.1029694</v>
      </c>
      <c r="E80" s="651">
        <f t="shared" si="9"/>
        <v>1745279805.0577459</v>
      </c>
      <c r="F80" s="651">
        <f t="shared" si="9"/>
        <v>1888545335.6614816</v>
      </c>
      <c r="G80" s="651">
        <f t="shared" si="9"/>
        <v>2022642404.8472834</v>
      </c>
      <c r="H80" s="651">
        <f t="shared" si="9"/>
        <v>2193282961.148149</v>
      </c>
    </row>
    <row r="81" spans="2:8" x14ac:dyDescent="0.25">
      <c r="B81" s="317" t="s">
        <v>1753</v>
      </c>
      <c r="C81" s="651">
        <f>+C70</f>
        <v>2000000000</v>
      </c>
      <c r="D81" s="651">
        <f>+D71</f>
        <v>-859421005.54562008</v>
      </c>
      <c r="E81" s="651">
        <f t="shared" ref="E81:H81" si="10">+E71</f>
        <v>-870543934.29432106</v>
      </c>
      <c r="F81" s="651">
        <f t="shared" si="10"/>
        <v>-883520361.04380488</v>
      </c>
      <c r="G81" s="651">
        <f>+G71</f>
        <v>-24153998.415780611</v>
      </c>
      <c r="H81" s="651">
        <f t="shared" si="10"/>
        <v>-25737599.535818633</v>
      </c>
    </row>
    <row r="82" spans="2:8" x14ac:dyDescent="0.25">
      <c r="B82" s="631" t="s">
        <v>1756</v>
      </c>
      <c r="C82" s="651">
        <f>+C80+C81</f>
        <v>-2556636707</v>
      </c>
      <c r="D82" s="651">
        <f t="shared" ref="D82:H82" si="11">+D80+D81</f>
        <v>716089630.55734932</v>
      </c>
      <c r="E82" s="651">
        <f t="shared" si="11"/>
        <v>874735870.76342487</v>
      </c>
      <c r="F82" s="651">
        <f t="shared" si="11"/>
        <v>1005024974.6176767</v>
      </c>
      <c r="G82" s="651">
        <f t="shared" si="11"/>
        <v>1998488406.4315028</v>
      </c>
      <c r="H82" s="651">
        <f t="shared" si="11"/>
        <v>2167545361.6123304</v>
      </c>
    </row>
    <row r="84" spans="2:8" x14ac:dyDescent="0.25">
      <c r="B84" s="4" t="s">
        <v>1760</v>
      </c>
      <c r="C84" s="38">
        <f>+C38+C73</f>
        <v>2557204972.725832</v>
      </c>
    </row>
    <row r="85" spans="2:8" ht="15.75" thickBot="1" x14ac:dyDescent="0.3">
      <c r="B85" s="20" t="s">
        <v>1757</v>
      </c>
      <c r="C85" s="633">
        <f>+IRR(C82:H82)</f>
        <v>0.34071951811127055</v>
      </c>
    </row>
    <row r="86" spans="2:8" x14ac:dyDescent="0.25">
      <c r="E86" s="412"/>
      <c r="F86" s="259"/>
      <c r="G86" s="259"/>
      <c r="H86" s="261"/>
    </row>
    <row r="87" spans="2:8" x14ac:dyDescent="0.25">
      <c r="E87" s="769" t="s">
        <v>1325</v>
      </c>
      <c r="F87" s="770"/>
      <c r="G87" s="770"/>
      <c r="H87" s="771"/>
    </row>
    <row r="88" spans="2:8" x14ac:dyDescent="0.25">
      <c r="E88" s="280"/>
      <c r="F88" s="263"/>
      <c r="G88" s="263"/>
      <c r="H88" s="262"/>
    </row>
    <row r="89" spans="2:8" x14ac:dyDescent="0.25">
      <c r="E89" s="369"/>
      <c r="F89" s="362" t="s">
        <v>1298</v>
      </c>
      <c r="G89" s="362" t="s">
        <v>1304</v>
      </c>
      <c r="H89" s="265"/>
    </row>
    <row r="90" spans="2:8" x14ac:dyDescent="0.25">
      <c r="E90" s="369"/>
      <c r="F90" s="264"/>
      <c r="G90" s="263"/>
      <c r="H90" s="265"/>
    </row>
    <row r="91" spans="2:8" x14ac:dyDescent="0.25">
      <c r="E91" s="369"/>
      <c r="F91" s="376">
        <f>+C85</f>
        <v>0.34071951811127055</v>
      </c>
      <c r="G91" s="376">
        <f>+'Cálculo WACC'!C44</f>
        <v>0.10042549713538762</v>
      </c>
      <c r="H91" s="265"/>
    </row>
    <row r="92" spans="2:8" ht="15.75" thickBot="1" x14ac:dyDescent="0.3">
      <c r="E92" s="413"/>
      <c r="F92" s="414"/>
      <c r="G92" s="641"/>
      <c r="H92" s="416"/>
    </row>
    <row r="96" spans="2:8" x14ac:dyDescent="0.25">
      <c r="C96" s="638">
        <v>2021</v>
      </c>
      <c r="D96" s="638">
        <v>2022</v>
      </c>
      <c r="E96" s="638">
        <v>2023</v>
      </c>
      <c r="F96" s="638">
        <v>2024</v>
      </c>
      <c r="G96" s="638">
        <v>2025</v>
      </c>
      <c r="H96" s="638">
        <v>2026</v>
      </c>
    </row>
    <row r="97" spans="2:8" x14ac:dyDescent="0.25">
      <c r="B97" s="1"/>
      <c r="C97" s="639">
        <v>0</v>
      </c>
      <c r="D97" s="639">
        <v>1</v>
      </c>
      <c r="E97" s="639">
        <v>2</v>
      </c>
      <c r="F97" s="639">
        <v>3</v>
      </c>
      <c r="G97" s="639">
        <v>4</v>
      </c>
      <c r="H97" s="639">
        <v>5</v>
      </c>
    </row>
    <row r="98" spans="2:8" x14ac:dyDescent="0.25">
      <c r="B98" s="317" t="s">
        <v>1766</v>
      </c>
      <c r="C98" s="651">
        <f t="shared" ref="C98:H98" si="12">+C34</f>
        <v>-4556636707</v>
      </c>
      <c r="D98" s="651">
        <f t="shared" si="12"/>
        <v>1575510636.1029694</v>
      </c>
      <c r="E98" s="651">
        <f t="shared" si="12"/>
        <v>1745279805.0577459</v>
      </c>
      <c r="F98" s="651">
        <f t="shared" si="12"/>
        <v>1888545335.6614816</v>
      </c>
      <c r="G98" s="651">
        <f t="shared" si="12"/>
        <v>2022642404.8472834</v>
      </c>
      <c r="H98" s="651">
        <f t="shared" si="12"/>
        <v>2193282961.148149</v>
      </c>
    </row>
    <row r="99" spans="2:8" x14ac:dyDescent="0.25">
      <c r="B99" s="4" t="s">
        <v>1767</v>
      </c>
      <c r="C99" s="77">
        <f>+C73</f>
        <v>85019740.904769897</v>
      </c>
      <c r="D99" s="1"/>
      <c r="E99" s="1"/>
      <c r="F99" s="1"/>
      <c r="G99" s="1"/>
      <c r="H99" s="1"/>
    </row>
    <row r="100" spans="2:8" x14ac:dyDescent="0.25">
      <c r="B100" s="4" t="s">
        <v>1766</v>
      </c>
      <c r="C100" s="77">
        <f>+C98+C99</f>
        <v>-4471616966.0952301</v>
      </c>
      <c r="D100" s="77">
        <f t="shared" ref="D100:H100" si="13">+D98+D99</f>
        <v>1575510636.1029694</v>
      </c>
      <c r="E100" s="77">
        <f t="shared" si="13"/>
        <v>1745279805.0577459</v>
      </c>
      <c r="F100" s="77">
        <f t="shared" si="13"/>
        <v>1888545335.6614816</v>
      </c>
      <c r="G100" s="77">
        <f t="shared" si="13"/>
        <v>2022642404.8472834</v>
      </c>
      <c r="H100" s="77">
        <f t="shared" si="13"/>
        <v>2193282961.148149</v>
      </c>
    </row>
    <row r="101" spans="2:8" x14ac:dyDescent="0.25">
      <c r="B101" s="20" t="s">
        <v>1768</v>
      </c>
      <c r="C101" s="656">
        <f>+IRR(C100:H100)</f>
        <v>0.29245075003760479</v>
      </c>
    </row>
    <row r="103" spans="2:8" x14ac:dyDescent="0.25">
      <c r="B103" s="772" t="s">
        <v>1769</v>
      </c>
      <c r="C103" s="772"/>
      <c r="D103" s="772"/>
      <c r="E103" s="772"/>
      <c r="F103" s="772"/>
      <c r="G103" s="772"/>
      <c r="H103" s="772"/>
    </row>
    <row r="104" spans="2:8" x14ac:dyDescent="0.25">
      <c r="B104" s="772"/>
      <c r="C104" s="772"/>
      <c r="D104" s="772"/>
      <c r="E104" s="772"/>
      <c r="F104" s="772"/>
      <c r="G104" s="772"/>
      <c r="H104" s="772"/>
    </row>
    <row r="105" spans="2:8" x14ac:dyDescent="0.25">
      <c r="B105" s="772"/>
      <c r="C105" s="772"/>
      <c r="D105" s="772"/>
      <c r="E105" s="772"/>
      <c r="F105" s="772"/>
      <c r="G105" s="772"/>
      <c r="H105" s="772"/>
    </row>
    <row r="106" spans="2:8" x14ac:dyDescent="0.25">
      <c r="B106" s="772"/>
      <c r="C106" s="772"/>
      <c r="D106" s="772"/>
      <c r="E106" s="772"/>
      <c r="F106" s="772"/>
      <c r="G106" s="772"/>
      <c r="H106" s="772"/>
    </row>
    <row r="107" spans="2:8" x14ac:dyDescent="0.25">
      <c r="B107" s="772"/>
      <c r="C107" s="772"/>
      <c r="D107" s="772"/>
      <c r="E107" s="772"/>
      <c r="F107" s="772"/>
      <c r="G107" s="772"/>
      <c r="H107" s="772"/>
    </row>
    <row r="108" spans="2:8" x14ac:dyDescent="0.25">
      <c r="B108" s="772"/>
      <c r="C108" s="772"/>
      <c r="D108" s="772"/>
      <c r="E108" s="772"/>
      <c r="F108" s="772"/>
      <c r="G108" s="772"/>
      <c r="H108" s="772"/>
    </row>
    <row r="109" spans="2:8" x14ac:dyDescent="0.25">
      <c r="B109" s="772"/>
      <c r="C109" s="772"/>
      <c r="D109" s="772"/>
      <c r="E109" s="772"/>
      <c r="F109" s="772"/>
      <c r="G109" s="772"/>
      <c r="H109" s="772"/>
    </row>
  </sheetData>
  <mergeCells count="10">
    <mergeCell ref="B103:H109"/>
    <mergeCell ref="C62:H62"/>
    <mergeCell ref="B61:H61"/>
    <mergeCell ref="B77:H77"/>
    <mergeCell ref="B2:I2"/>
    <mergeCell ref="B4:I4"/>
    <mergeCell ref="C16:H16"/>
    <mergeCell ref="E39:H39"/>
    <mergeCell ref="E87:H87"/>
    <mergeCell ref="B15:H15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CDC14"/>
  </sheetPr>
  <dimension ref="A2:O79"/>
  <sheetViews>
    <sheetView topLeftCell="A55" workbookViewId="0">
      <selection activeCell="I66" sqref="I66"/>
    </sheetView>
  </sheetViews>
  <sheetFormatPr baseColWidth="10" defaultRowHeight="15" x14ac:dyDescent="0.25"/>
  <cols>
    <col min="2" max="2" width="52.42578125" bestFit="1" customWidth="1"/>
    <col min="3" max="3" width="18.28515625" bestFit="1" customWidth="1"/>
    <col min="4" max="4" width="37.42578125" customWidth="1"/>
    <col min="5" max="7" width="15.85546875" bestFit="1" customWidth="1"/>
    <col min="8" max="8" width="14.85546875" bestFit="1" customWidth="1"/>
    <col min="12" max="12" width="15.5703125" style="424" bestFit="1" customWidth="1"/>
  </cols>
  <sheetData>
    <row r="2" spans="1:15" x14ac:dyDescent="0.25">
      <c r="B2" s="721" t="s">
        <v>1545</v>
      </c>
      <c r="C2" s="721"/>
      <c r="D2" s="721"/>
      <c r="E2" s="721"/>
      <c r="F2" s="721"/>
      <c r="G2" s="721"/>
      <c r="H2" s="721"/>
      <c r="I2" s="721"/>
      <c r="J2" s="649"/>
      <c r="K2" s="649"/>
      <c r="L2" s="649"/>
      <c r="M2" s="649"/>
      <c r="N2" s="649"/>
      <c r="O2" s="649"/>
    </row>
    <row r="4" spans="1:15" ht="15.75" thickBot="1" x14ac:dyDescent="0.3">
      <c r="B4" s="774" t="s">
        <v>1735</v>
      </c>
      <c r="C4" s="774"/>
      <c r="D4" s="774"/>
      <c r="E4" s="774"/>
      <c r="F4" s="774"/>
      <c r="G4" s="774"/>
      <c r="H4" s="774"/>
      <c r="I4" s="774"/>
    </row>
    <row r="5" spans="1:15" ht="15.75" thickTop="1" x14ac:dyDescent="0.25"/>
    <row r="6" spans="1:15" x14ac:dyDescent="0.25">
      <c r="A6" s="607" t="s">
        <v>1741</v>
      </c>
      <c r="B6" t="s">
        <v>1736</v>
      </c>
    </row>
    <row r="7" spans="1:15" x14ac:dyDescent="0.25">
      <c r="A7" s="607" t="s">
        <v>1741</v>
      </c>
      <c r="B7" t="s">
        <v>1738</v>
      </c>
    </row>
    <row r="8" spans="1:15" x14ac:dyDescent="0.25">
      <c r="A8" s="607" t="s">
        <v>1741</v>
      </c>
      <c r="B8" t="s">
        <v>1737</v>
      </c>
    </row>
    <row r="9" spans="1:15" x14ac:dyDescent="0.25">
      <c r="A9" s="607" t="s">
        <v>1741</v>
      </c>
      <c r="B9" t="s">
        <v>1744</v>
      </c>
    </row>
    <row r="10" spans="1:15" x14ac:dyDescent="0.25">
      <c r="A10" s="607" t="s">
        <v>1741</v>
      </c>
      <c r="B10" t="s">
        <v>1739</v>
      </c>
    </row>
    <row r="11" spans="1:15" x14ac:dyDescent="0.25">
      <c r="B11" t="s">
        <v>1740</v>
      </c>
    </row>
    <row r="13" spans="1:15" x14ac:dyDescent="0.25">
      <c r="B13" s="3" t="s">
        <v>1543</v>
      </c>
      <c r="C13" s="705">
        <v>0.1</v>
      </c>
      <c r="D13" s="586"/>
      <c r="E13" s="586"/>
      <c r="F13" s="586"/>
      <c r="G13" s="586"/>
      <c r="H13" s="586"/>
      <c r="I13" s="586"/>
      <c r="J13" s="586"/>
      <c r="K13" s="586"/>
    </row>
    <row r="14" spans="1:15" x14ac:dyDescent="0.25">
      <c r="B14" s="3" t="s">
        <v>1518</v>
      </c>
      <c r="C14" s="706">
        <f>+'Balance '!D68</f>
        <v>4606636707</v>
      </c>
      <c r="D14" s="119"/>
      <c r="E14" s="700"/>
      <c r="F14" s="119"/>
      <c r="G14" s="119"/>
      <c r="H14" s="119"/>
      <c r="I14" s="119"/>
      <c r="J14" s="119"/>
      <c r="K14" s="119"/>
    </row>
    <row r="15" spans="1:15" x14ac:dyDescent="0.25">
      <c r="B15" s="3" t="s">
        <v>1519</v>
      </c>
      <c r="C15" s="250">
        <v>0.09</v>
      </c>
    </row>
    <row r="16" spans="1:15" x14ac:dyDescent="0.25">
      <c r="B16" s="3"/>
      <c r="C16" s="250"/>
    </row>
    <row r="17" spans="2:11" x14ac:dyDescent="0.25">
      <c r="B17" s="3"/>
      <c r="C17" s="250"/>
    </row>
    <row r="18" spans="2:11" ht="15.75" thickBot="1" x14ac:dyDescent="0.3">
      <c r="B18" s="774" t="s">
        <v>1809</v>
      </c>
      <c r="C18" s="774"/>
      <c r="D18" s="774"/>
      <c r="E18" s="774"/>
      <c r="F18" s="774"/>
      <c r="G18" s="774"/>
      <c r="H18" s="774"/>
      <c r="I18" s="700"/>
      <c r="J18" s="700"/>
      <c r="K18" s="700"/>
    </row>
    <row r="19" spans="2:11" ht="15.75" thickTop="1" x14ac:dyDescent="0.25">
      <c r="C19" s="773" t="s">
        <v>1541</v>
      </c>
      <c r="D19" s="773"/>
      <c r="E19" s="773"/>
      <c r="F19" s="773"/>
      <c r="G19" s="773"/>
      <c r="H19" s="773"/>
    </row>
    <row r="20" spans="2:11" x14ac:dyDescent="0.25">
      <c r="C20" s="338">
        <v>2021</v>
      </c>
      <c r="D20" s="338">
        <v>2022</v>
      </c>
      <c r="E20" s="338">
        <v>2023</v>
      </c>
      <c r="F20" s="338">
        <v>2024</v>
      </c>
      <c r="G20" s="338">
        <v>2025</v>
      </c>
      <c r="H20" s="338">
        <v>2026</v>
      </c>
    </row>
    <row r="21" spans="2:11" x14ac:dyDescent="0.25">
      <c r="B21" s="1"/>
      <c r="C21" s="338">
        <v>0</v>
      </c>
      <c r="D21" s="338">
        <v>1</v>
      </c>
      <c r="E21" s="338">
        <v>2</v>
      </c>
      <c r="F21" s="338">
        <v>3</v>
      </c>
      <c r="G21" s="338">
        <v>4</v>
      </c>
      <c r="H21" s="338">
        <v>5</v>
      </c>
    </row>
    <row r="22" spans="2:11" x14ac:dyDescent="0.25">
      <c r="B22" s="1" t="s">
        <v>1520</v>
      </c>
      <c r="C22" s="428"/>
      <c r="D22" s="428">
        <f>+'Estados de resultados'!C12</f>
        <v>3170984583.9858603</v>
      </c>
      <c r="E22" s="428">
        <f>+'Estados de resultados'!D12</f>
        <v>3392303091.1410861</v>
      </c>
      <c r="F22" s="428">
        <f>+'Estados de resultados'!E12</f>
        <v>3606311284.1312299</v>
      </c>
      <c r="G22" s="428">
        <f>+'Estados de resultados'!F12</f>
        <v>3791836485.9938164</v>
      </c>
      <c r="H22" s="428">
        <f>+'Estados de resultados'!G12</f>
        <v>4040439487.5696435</v>
      </c>
    </row>
    <row r="23" spans="2:11" x14ac:dyDescent="0.25">
      <c r="B23" s="1" t="s">
        <v>1722</v>
      </c>
      <c r="C23" s="428"/>
      <c r="D23" s="428">
        <f>+'Estados de resultados'!C13</f>
        <v>189887275.37334052</v>
      </c>
      <c r="E23" s="428">
        <f>+'Estados de resultados'!D13</f>
        <v>198516402.9516421</v>
      </c>
      <c r="F23" s="428">
        <f>+'Estados de resultados'!E13</f>
        <v>207255954.72521564</v>
      </c>
      <c r="G23" s="428">
        <f>+'Estados de resultados'!F13</f>
        <v>215822989.63389674</v>
      </c>
      <c r="H23" s="428">
        <f>+'Estados de resultados'!G13</f>
        <v>225482764.35299304</v>
      </c>
    </row>
    <row r="24" spans="2:11" x14ac:dyDescent="0.25">
      <c r="B24" s="1" t="s">
        <v>1521</v>
      </c>
      <c r="C24" s="428"/>
      <c r="D24" s="429">
        <f>D22-D23</f>
        <v>2981097308.6125197</v>
      </c>
      <c r="E24" s="429">
        <f t="shared" ref="E24:H24" si="0">E22-E23</f>
        <v>3193786688.1894441</v>
      </c>
      <c r="F24" s="429">
        <f t="shared" si="0"/>
        <v>3399055329.4060144</v>
      </c>
      <c r="G24" s="429">
        <f t="shared" si="0"/>
        <v>3576013496.3599195</v>
      </c>
      <c r="H24" s="429">
        <f t="shared" si="0"/>
        <v>3814956723.2166505</v>
      </c>
    </row>
    <row r="25" spans="2:11" x14ac:dyDescent="0.25">
      <c r="B25" s="1" t="s">
        <v>1522</v>
      </c>
      <c r="C25" s="428"/>
      <c r="D25" s="428">
        <f>+'Estados de resultados'!C17+'Estados de resultados'!C18</f>
        <v>1330771615.3578956</v>
      </c>
      <c r="E25" s="428">
        <f>+'Estados de resultados'!D17+'Estados de resultados'!D18</f>
        <v>1361111708.3568535</v>
      </c>
      <c r="F25" s="428">
        <f>+'Estados de resultados'!E17+'Estados de resultados'!E18</f>
        <v>1413415064.9827707</v>
      </c>
      <c r="G25" s="428">
        <f>+'Estados de resultados'!F17+'Estados de resultados'!F18</f>
        <v>1447758252.5170987</v>
      </c>
      <c r="H25" s="428">
        <f>+'Estados de resultados'!G17+'Estados de resultados'!G18</f>
        <v>1504220824.3652656</v>
      </c>
    </row>
    <row r="26" spans="2:11" x14ac:dyDescent="0.25">
      <c r="B26" s="4" t="s">
        <v>1734</v>
      </c>
      <c r="C26" s="428"/>
      <c r="D26" s="429">
        <f>D24-D25</f>
        <v>1650325693.2546241</v>
      </c>
      <c r="E26" s="429">
        <f t="shared" ref="E26:H26" si="1">E24-E25</f>
        <v>1832674979.8325906</v>
      </c>
      <c r="F26" s="429">
        <f t="shared" si="1"/>
        <v>1985640264.4232438</v>
      </c>
      <c r="G26" s="429">
        <f t="shared" si="1"/>
        <v>2128255243.8428209</v>
      </c>
      <c r="H26" s="429">
        <f t="shared" si="1"/>
        <v>2310735898.8513851</v>
      </c>
    </row>
    <row r="27" spans="2:11" x14ac:dyDescent="0.25">
      <c r="B27" s="1" t="s">
        <v>1523</v>
      </c>
      <c r="C27" s="428">
        <f>+'Balance '!D67</f>
        <v>68560000</v>
      </c>
      <c r="D27" s="428"/>
      <c r="E27" s="428"/>
      <c r="F27" s="428"/>
      <c r="G27" s="428"/>
      <c r="H27" s="428"/>
    </row>
    <row r="28" spans="2:11" x14ac:dyDescent="0.25">
      <c r="B28" s="1" t="s">
        <v>1524</v>
      </c>
      <c r="C28" s="428"/>
      <c r="D28" s="428">
        <f>+'Estados de resultados'!C22</f>
        <v>127369602.41999999</v>
      </c>
      <c r="E28" s="428">
        <f>+'Estados de resultados'!D22</f>
        <v>127369602.41999999</v>
      </c>
      <c r="F28" s="428">
        <f>+'Estados de resultados'!E22</f>
        <v>127369602.41999999</v>
      </c>
      <c r="G28" s="428">
        <f>+'Estados de resultados'!F22</f>
        <v>127369602.41999999</v>
      </c>
      <c r="H28" s="428">
        <f>+'Estados de resultados'!G22</f>
        <v>127369602.41999999</v>
      </c>
    </row>
    <row r="29" spans="2:11" x14ac:dyDescent="0.25">
      <c r="B29" s="701" t="s">
        <v>1525</v>
      </c>
      <c r="C29" s="702"/>
      <c r="D29" s="702">
        <f>+'Estados de resultados'!C28+'Estados de resultados'!C29+'Estados de resultados'!C30</f>
        <v>338148660.04761285</v>
      </c>
      <c r="E29" s="702">
        <f>+'Estados de resultados'!D28+'Estados de resultados'!D29+'Estados de resultados'!D30</f>
        <v>231774224.50745213</v>
      </c>
      <c r="F29" s="702">
        <f>+'Estados de resultados'!E28+'Estados de resultados'!E29+'Estados de resultados'!E30</f>
        <v>104236786.74575466</v>
      </c>
      <c r="G29" s="702">
        <f>+'Estados de resultados'!F28+'Estados de resultados'!F29+'Estados de resultados'!F30</f>
        <v>26542855.401956715</v>
      </c>
      <c r="H29" s="702">
        <f>+'Estados de resultados'!G28+'Estados de resultados'!G29+'Estados de resultados'!G30</f>
        <v>28283076.412987508</v>
      </c>
    </row>
    <row r="30" spans="2:11" x14ac:dyDescent="0.25">
      <c r="B30" s="5" t="s">
        <v>1539</v>
      </c>
      <c r="C30" s="703"/>
      <c r="D30" s="703">
        <f>+'Estados de resultados'!C23</f>
        <v>68407682.443364039</v>
      </c>
      <c r="E30" s="703">
        <f>+'Estados de resultados'!D23</f>
        <v>72617922.189328015</v>
      </c>
      <c r="F30" s="703">
        <f>+'Estados de resultados'!E23</f>
        <v>77087286.613769069</v>
      </c>
      <c r="G30" s="703">
        <f>+'Estados de resultados'!F23</f>
        <v>81831723.88188608</v>
      </c>
      <c r="H30" s="703">
        <f>+'Estados de resultados'!G23</f>
        <v>86868163.709437802</v>
      </c>
    </row>
    <row r="31" spans="2:11" x14ac:dyDescent="0.25">
      <c r="B31" s="5" t="s">
        <v>1725</v>
      </c>
      <c r="C31" s="703">
        <f>-'Balance '!D131-'Balance '!D136</f>
        <v>-4488076707</v>
      </c>
      <c r="D31" s="703"/>
      <c r="E31" s="703"/>
      <c r="F31" s="703"/>
      <c r="G31" s="703"/>
      <c r="H31" s="703"/>
    </row>
    <row r="32" spans="2:11" x14ac:dyDescent="0.25">
      <c r="B32" s="190" t="s">
        <v>1723</v>
      </c>
      <c r="C32" s="704">
        <f>C26-C27-C28-C29+C30</f>
        <v>-68560000</v>
      </c>
      <c r="D32" s="704">
        <f t="shared" ref="D32:H32" si="2">D26-D27-D28-D29+D30</f>
        <v>1253215113.2303753</v>
      </c>
      <c r="E32" s="704">
        <f t="shared" si="2"/>
        <v>1546149075.0944664</v>
      </c>
      <c r="F32" s="704">
        <f t="shared" si="2"/>
        <v>1831121161.871258</v>
      </c>
      <c r="G32" s="704">
        <f t="shared" si="2"/>
        <v>2056174509.90275</v>
      </c>
      <c r="H32" s="704">
        <f t="shared" si="2"/>
        <v>2241951383.7278352</v>
      </c>
    </row>
    <row r="33" spans="2:10" x14ac:dyDescent="0.25">
      <c r="B33" s="5" t="s">
        <v>1526</v>
      </c>
      <c r="C33" s="703">
        <v>0</v>
      </c>
      <c r="D33" s="703">
        <f>D32*$C$15</f>
        <v>112789360.19073378</v>
      </c>
      <c r="E33" s="703">
        <f t="shared" ref="E33:H33" si="3">E32*$C$15</f>
        <v>139153416.75850198</v>
      </c>
      <c r="F33" s="703">
        <f t="shared" si="3"/>
        <v>164800904.56841323</v>
      </c>
      <c r="G33" s="703">
        <f t="shared" si="3"/>
        <v>185055705.89124748</v>
      </c>
      <c r="H33" s="703">
        <f t="shared" si="3"/>
        <v>201775624.53550515</v>
      </c>
    </row>
    <row r="34" spans="2:10" x14ac:dyDescent="0.25">
      <c r="B34" s="190" t="s">
        <v>1731</v>
      </c>
      <c r="C34" s="704">
        <f>C31+C32-C33</f>
        <v>-4556636707</v>
      </c>
      <c r="D34" s="704">
        <f t="shared" ref="D34:H34" si="4">D32-D33</f>
        <v>1140425753.0396416</v>
      </c>
      <c r="E34" s="704">
        <f t="shared" si="4"/>
        <v>1406995658.3359644</v>
      </c>
      <c r="F34" s="704">
        <f t="shared" si="4"/>
        <v>1666320257.3028448</v>
      </c>
      <c r="G34" s="704">
        <f t="shared" si="4"/>
        <v>1871118804.0115025</v>
      </c>
      <c r="H34" s="704">
        <f t="shared" si="4"/>
        <v>2040175759.1923301</v>
      </c>
      <c r="I34" s="119"/>
      <c r="J34" s="119"/>
    </row>
    <row r="35" spans="2:10" x14ac:dyDescent="0.25">
      <c r="B35" s="701" t="s">
        <v>1527</v>
      </c>
      <c r="C35" s="702"/>
      <c r="D35" s="702">
        <f>D28</f>
        <v>127369602.41999999</v>
      </c>
      <c r="E35" s="702">
        <f t="shared" ref="E35:H35" si="5">E28</f>
        <v>127369602.41999999</v>
      </c>
      <c r="F35" s="702">
        <f t="shared" si="5"/>
        <v>127369602.41999999</v>
      </c>
      <c r="G35" s="702">
        <f t="shared" si="5"/>
        <v>127369602.41999999</v>
      </c>
      <c r="H35" s="702">
        <f t="shared" si="5"/>
        <v>127369602.41999999</v>
      </c>
    </row>
    <row r="36" spans="2:10" x14ac:dyDescent="0.25">
      <c r="B36" s="5" t="s">
        <v>1528</v>
      </c>
      <c r="C36" s="703"/>
      <c r="D36" s="119"/>
      <c r="E36" s="703"/>
      <c r="F36" s="703"/>
      <c r="G36" s="703"/>
      <c r="H36" s="703"/>
    </row>
    <row r="37" spans="2:10" x14ac:dyDescent="0.25">
      <c r="B37" s="701" t="s">
        <v>1724</v>
      </c>
      <c r="C37" s="702"/>
      <c r="D37" s="702">
        <f>+'Balance '!E147</f>
        <v>551705724.90229237</v>
      </c>
      <c r="E37" s="702">
        <f>+'Balance '!F147</f>
        <v>659629389.99253964</v>
      </c>
      <c r="F37" s="702">
        <f>+'Balance '!G147</f>
        <v>788664885.1051681</v>
      </c>
      <c r="G37" s="703"/>
      <c r="H37" s="703"/>
    </row>
    <row r="38" spans="2:10" x14ac:dyDescent="0.25">
      <c r="B38" s="5" t="s">
        <v>1529</v>
      </c>
      <c r="C38" s="703"/>
      <c r="D38" s="703"/>
      <c r="E38" s="703"/>
      <c r="F38" s="703"/>
      <c r="G38" s="703"/>
      <c r="H38" s="703"/>
    </row>
    <row r="39" spans="2:10" x14ac:dyDescent="0.25">
      <c r="B39" s="631" t="s">
        <v>1833</v>
      </c>
      <c r="C39" s="430">
        <f>SUM(C34:C37)</f>
        <v>-4556636707</v>
      </c>
      <c r="D39" s="430">
        <f>+D34+D35-D37</f>
        <v>716089630.55734932</v>
      </c>
      <c r="E39" s="430">
        <f>+E34+E35-E37</f>
        <v>874735870.76342487</v>
      </c>
      <c r="F39" s="430">
        <f>+F34+F35-F37</f>
        <v>1005024974.6176767</v>
      </c>
      <c r="G39" s="430">
        <f>+G34+G35-G37</f>
        <v>1998488406.4315026</v>
      </c>
      <c r="H39" s="430">
        <f>+H34+H35-H37</f>
        <v>2167545361.61233</v>
      </c>
    </row>
    <row r="40" spans="2:10" x14ac:dyDescent="0.25">
      <c r="B40" s="11"/>
      <c r="C40" s="418"/>
      <c r="D40" s="418"/>
      <c r="E40" s="418"/>
      <c r="F40" s="418"/>
      <c r="G40" s="418"/>
      <c r="H40" s="418"/>
    </row>
    <row r="41" spans="2:10" x14ac:dyDescent="0.25">
      <c r="C41" s="604" t="s">
        <v>1542</v>
      </c>
      <c r="D41" s="311">
        <f>IRR(B39:D39)</f>
        <v>-0.84284688979982159</v>
      </c>
      <c r="E41" s="311">
        <f>IRR(C39:E39)</f>
        <v>-0.47628986182197142</v>
      </c>
      <c r="F41" s="311">
        <f>IRR(C39:F39)</f>
        <v>-0.22628704984065706</v>
      </c>
      <c r="G41" s="311">
        <f>IRR(C39:G39)</f>
        <v>2.8151967469383088E-3</v>
      </c>
      <c r="H41" s="311">
        <f>IRR(C39:H39)</f>
        <v>0.1196672981712672</v>
      </c>
    </row>
    <row r="42" spans="2:10" x14ac:dyDescent="0.25">
      <c r="B42" s="11"/>
      <c r="C42" s="418"/>
      <c r="D42" s="418"/>
      <c r="E42" s="418"/>
      <c r="F42" s="418"/>
      <c r="G42" s="418"/>
      <c r="H42" s="418"/>
    </row>
    <row r="43" spans="2:10" hidden="1" x14ac:dyDescent="0.25">
      <c r="B43" s="775" t="s">
        <v>1732</v>
      </c>
      <c r="C43" s="775"/>
      <c r="D43" s="418"/>
      <c r="E43" s="418"/>
      <c r="F43" s="418"/>
      <c r="G43" s="418"/>
      <c r="H43" s="418"/>
    </row>
    <row r="44" spans="2:10" hidden="1" x14ac:dyDescent="0.25">
      <c r="B44" s="11"/>
      <c r="C44" s="29"/>
      <c r="D44" s="418"/>
      <c r="E44" s="418"/>
      <c r="F44" s="418"/>
      <c r="G44" s="418"/>
      <c r="H44" s="418"/>
    </row>
    <row r="45" spans="2:10" hidden="1" x14ac:dyDescent="0.25">
      <c r="B45" s="417" t="s">
        <v>1721</v>
      </c>
      <c r="C45" s="650">
        <f>+NPV(C13,D34:H34)</f>
        <v>5996276037.5358915</v>
      </c>
      <c r="D45" s="418"/>
      <c r="E45" s="418"/>
      <c r="F45" s="418"/>
      <c r="G45" s="418"/>
      <c r="H45" s="418"/>
    </row>
    <row r="46" spans="2:10" hidden="1" x14ac:dyDescent="0.25">
      <c r="B46" s="5" t="s">
        <v>1726</v>
      </c>
      <c r="C46" s="29">
        <f>-C39</f>
        <v>4556636707</v>
      </c>
      <c r="D46" s="418"/>
      <c r="E46" s="418"/>
      <c r="F46" s="418"/>
      <c r="G46" s="418"/>
      <c r="H46" s="418"/>
    </row>
    <row r="47" spans="2:10" hidden="1" x14ac:dyDescent="0.25">
      <c r="B47" s="5" t="s">
        <v>1319</v>
      </c>
      <c r="C47" s="29">
        <f>+NPV(C13,D34:H34)-C46</f>
        <v>1439639330.5358915</v>
      </c>
      <c r="D47" s="418"/>
      <c r="E47" s="418"/>
      <c r="F47" s="418"/>
      <c r="G47" s="418"/>
      <c r="H47" s="418"/>
    </row>
    <row r="48" spans="2:10" hidden="1" x14ac:dyDescent="0.25">
      <c r="B48" s="20" t="s">
        <v>1298</v>
      </c>
      <c r="C48" s="632">
        <f>+IRR(C34:H34)</f>
        <v>0.2051462883684696</v>
      </c>
      <c r="D48" s="418"/>
      <c r="E48" s="418"/>
      <c r="F48" s="418"/>
      <c r="G48" s="418"/>
      <c r="H48" s="418"/>
    </row>
    <row r="49" spans="2:9" x14ac:dyDescent="0.25">
      <c r="B49" s="11"/>
      <c r="C49" s="418"/>
      <c r="D49" s="418"/>
      <c r="E49" s="418"/>
      <c r="F49" s="418"/>
      <c r="G49" s="418"/>
      <c r="H49" s="418"/>
    </row>
    <row r="50" spans="2:9" x14ac:dyDescent="0.25">
      <c r="B50" s="775" t="s">
        <v>1833</v>
      </c>
      <c r="C50" s="775"/>
      <c r="D50" s="418"/>
      <c r="E50" s="418"/>
      <c r="F50" s="418"/>
      <c r="G50" s="418"/>
      <c r="H50" s="418"/>
    </row>
    <row r="51" spans="2:9" ht="15.75" thickBot="1" x14ac:dyDescent="0.3">
      <c r="B51" s="11"/>
      <c r="C51" s="206"/>
      <c r="D51" s="418"/>
      <c r="G51" s="424"/>
    </row>
    <row r="52" spans="2:9" x14ac:dyDescent="0.25">
      <c r="B52" s="417" t="s">
        <v>1721</v>
      </c>
      <c r="C52" s="29">
        <f>+NPV(C13,D39:H39)</f>
        <v>4839872524.8893223</v>
      </c>
      <c r="D52" s="418"/>
      <c r="E52" s="412"/>
      <c r="F52" s="259"/>
      <c r="G52" s="259"/>
      <c r="H52" s="261"/>
    </row>
    <row r="53" spans="2:9" x14ac:dyDescent="0.25">
      <c r="B53" s="5" t="s">
        <v>1726</v>
      </c>
      <c r="C53" s="29">
        <f>+C46</f>
        <v>4556636707</v>
      </c>
      <c r="D53" s="418"/>
      <c r="E53" s="769" t="s">
        <v>1325</v>
      </c>
      <c r="F53" s="770"/>
      <c r="G53" s="770"/>
      <c r="H53" s="771"/>
    </row>
    <row r="54" spans="2:9" x14ac:dyDescent="0.25">
      <c r="B54" s="20" t="s">
        <v>1319</v>
      </c>
      <c r="C54" s="655">
        <f>+NPV(C13,D39:H39)-C46</f>
        <v>283235817.88932228</v>
      </c>
      <c r="D54" s="418"/>
      <c r="E54" s="280"/>
      <c r="F54" s="263"/>
      <c r="G54" s="263"/>
      <c r="H54" s="262"/>
    </row>
    <row r="55" spans="2:9" x14ac:dyDescent="0.25">
      <c r="B55" s="20" t="s">
        <v>1298</v>
      </c>
      <c r="C55" s="633">
        <f>+IRR(C39:H39)</f>
        <v>0.1196672981712672</v>
      </c>
      <c r="D55" s="418"/>
      <c r="E55" s="369"/>
      <c r="F55" s="362" t="s">
        <v>1298</v>
      </c>
      <c r="G55" s="362" t="s">
        <v>1304</v>
      </c>
      <c r="H55" s="265"/>
    </row>
    <row r="56" spans="2:9" x14ac:dyDescent="0.25">
      <c r="B56" s="11"/>
      <c r="C56" s="418"/>
      <c r="D56" s="418"/>
      <c r="E56" s="369"/>
      <c r="F56" s="264"/>
      <c r="G56" s="263"/>
      <c r="H56" s="265"/>
    </row>
    <row r="57" spans="2:9" x14ac:dyDescent="0.25">
      <c r="B57" s="11"/>
      <c r="C57" s="418"/>
      <c r="D57" s="418"/>
      <c r="E57" s="369"/>
      <c r="F57" s="376">
        <f>+C63</f>
        <v>0.1196672981712672</v>
      </c>
      <c r="G57" s="376">
        <f>+'Cálculo WACC'!C44</f>
        <v>0.10042549713538762</v>
      </c>
      <c r="H57" s="265"/>
    </row>
    <row r="58" spans="2:9" x14ac:dyDescent="0.25">
      <c r="B58" s="11"/>
      <c r="C58" s="418"/>
      <c r="D58" s="418"/>
      <c r="E58" s="369"/>
      <c r="F58" s="376"/>
      <c r="G58" s="376"/>
      <c r="H58" s="265"/>
    </row>
    <row r="59" spans="2:9" ht="15.75" thickBot="1" x14ac:dyDescent="0.3">
      <c r="D59" s="419"/>
      <c r="E59" s="413"/>
      <c r="F59" s="414"/>
      <c r="G59" s="641"/>
      <c r="H59" s="416"/>
      <c r="I59" s="419"/>
    </row>
    <row r="62" spans="2:9" x14ac:dyDescent="0.25">
      <c r="B62" s="190" t="s">
        <v>1530</v>
      </c>
      <c r="C62" s="417"/>
    </row>
    <row r="63" spans="2:9" x14ac:dyDescent="0.25">
      <c r="B63" s="190" t="s">
        <v>1298</v>
      </c>
      <c r="C63" s="654">
        <f>IRR(C39:H39)</f>
        <v>0.1196672981712672</v>
      </c>
    </row>
    <row r="64" spans="2:9" x14ac:dyDescent="0.25">
      <c r="B64" s="190" t="s">
        <v>1729</v>
      </c>
      <c r="C64" s="420">
        <f>NPV(C13,D39:H39)</f>
        <v>4839872524.8893223</v>
      </c>
    </row>
    <row r="65" spans="2:8" x14ac:dyDescent="0.25">
      <c r="B65" s="190" t="s">
        <v>1531</v>
      </c>
      <c r="C65" s="420">
        <f>-C39</f>
        <v>4556636707</v>
      </c>
    </row>
    <row r="66" spans="2:8" x14ac:dyDescent="0.25">
      <c r="B66" s="190" t="s">
        <v>1730</v>
      </c>
      <c r="C66" s="634">
        <f>C64-C65</f>
        <v>283235817.88932228</v>
      </c>
    </row>
    <row r="67" spans="2:8" x14ac:dyDescent="0.25">
      <c r="B67" s="190" t="s">
        <v>1532</v>
      </c>
      <c r="C67" s="421">
        <f>C64/C65</f>
        <v>1.0621589641882596</v>
      </c>
    </row>
    <row r="68" spans="2:8" x14ac:dyDescent="0.25">
      <c r="B68" s="190" t="s">
        <v>1533</v>
      </c>
      <c r="C68" s="640">
        <f>MIRR(C39:H39,,C13)</f>
        <v>0.11334711711557488</v>
      </c>
    </row>
    <row r="70" spans="2:8" x14ac:dyDescent="0.25">
      <c r="B70" s="422"/>
      <c r="C70" s="423"/>
    </row>
    <row r="71" spans="2:8" x14ac:dyDescent="0.25">
      <c r="B71" s="422"/>
      <c r="C71" s="773" t="s">
        <v>1541</v>
      </c>
      <c r="D71" s="773"/>
      <c r="E71" s="773"/>
      <c r="F71" s="773"/>
      <c r="G71" s="773"/>
      <c r="H71" s="773"/>
    </row>
    <row r="72" spans="2:8" x14ac:dyDescent="0.25">
      <c r="B72" s="422"/>
      <c r="C72" s="338">
        <v>2021</v>
      </c>
      <c r="D72" s="338">
        <v>2022</v>
      </c>
      <c r="E72" s="338">
        <v>2023</v>
      </c>
      <c r="F72" s="338">
        <v>2024</v>
      </c>
      <c r="G72" s="338">
        <v>2025</v>
      </c>
      <c r="H72" s="338">
        <v>2026</v>
      </c>
    </row>
    <row r="73" spans="2:8" x14ac:dyDescent="0.25">
      <c r="B73" s="190" t="s">
        <v>1534</v>
      </c>
      <c r="C73" s="425">
        <v>0</v>
      </c>
      <c r="D73" s="5">
        <v>1</v>
      </c>
      <c r="E73" s="5">
        <v>2</v>
      </c>
      <c r="F73" s="5">
        <v>3</v>
      </c>
      <c r="G73" s="5">
        <v>4</v>
      </c>
      <c r="H73" s="5">
        <v>5</v>
      </c>
    </row>
    <row r="74" spans="2:8" x14ac:dyDescent="0.25">
      <c r="B74" s="190" t="s">
        <v>1535</v>
      </c>
      <c r="C74" s="426">
        <f t="shared" ref="C74:H74" si="6">PV($C$13,C73,,-C39)</f>
        <v>-4556636707</v>
      </c>
      <c r="D74" s="426">
        <f t="shared" si="6"/>
        <v>650990573.23395383</v>
      </c>
      <c r="E74" s="426">
        <f t="shared" si="6"/>
        <v>722922207.24249983</v>
      </c>
      <c r="F74" s="426">
        <f t="shared" si="6"/>
        <v>755090138.70599282</v>
      </c>
      <c r="G74" s="426">
        <f t="shared" si="6"/>
        <v>1364994471.983814</v>
      </c>
      <c r="H74" s="426">
        <f t="shared" si="6"/>
        <v>1345875133.7230623</v>
      </c>
    </row>
    <row r="75" spans="2:8" x14ac:dyDescent="0.25">
      <c r="B75" s="190" t="s">
        <v>1536</v>
      </c>
      <c r="C75" s="426">
        <f>C74</f>
        <v>-4556636707</v>
      </c>
      <c r="D75" s="427">
        <f>C75+D74</f>
        <v>-3905646133.766046</v>
      </c>
      <c r="E75" s="427">
        <f t="shared" ref="E75:H75" si="7">D75+E74</f>
        <v>-3182723926.5235462</v>
      </c>
      <c r="F75" s="427">
        <f t="shared" si="7"/>
        <v>-2427633787.8175535</v>
      </c>
      <c r="G75" s="427">
        <f t="shared" si="7"/>
        <v>-1062639315.8337395</v>
      </c>
      <c r="H75" s="635">
        <f t="shared" si="7"/>
        <v>283235817.88932276</v>
      </c>
    </row>
    <row r="76" spans="2:8" x14ac:dyDescent="0.25">
      <c r="B76" s="636" t="s">
        <v>1544</v>
      </c>
      <c r="C76" s="431">
        <f>+C64/C65</f>
        <v>1.0621589641882596</v>
      </c>
    </row>
    <row r="77" spans="2:8" x14ac:dyDescent="0.25">
      <c r="B77" s="20" t="s">
        <v>1537</v>
      </c>
      <c r="C77" s="637">
        <f>+G73-G75/H74</f>
        <v>4.7895526778135693</v>
      </c>
      <c r="D77" s="20" t="s">
        <v>1541</v>
      </c>
    </row>
    <row r="79" spans="2:8" x14ac:dyDescent="0.25">
      <c r="C79" s="181" t="s">
        <v>1635</v>
      </c>
    </row>
  </sheetData>
  <mergeCells count="8">
    <mergeCell ref="B2:I2"/>
    <mergeCell ref="B4:I4"/>
    <mergeCell ref="C19:H19"/>
    <mergeCell ref="C71:H71"/>
    <mergeCell ref="E53:H53"/>
    <mergeCell ref="B43:C43"/>
    <mergeCell ref="B50:C50"/>
    <mergeCell ref="B18:H18"/>
  </mergeCells>
  <hyperlinks>
    <hyperlink ref="C79" r:id="rId1"/>
  </hyperlinks>
  <pageMargins left="0.7" right="0.7" top="0.75" bottom="0.75" header="0.3" footer="0.3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CDC14"/>
  </sheetPr>
  <dimension ref="A2:M202"/>
  <sheetViews>
    <sheetView workbookViewId="0">
      <selection activeCell="I25" sqref="I25"/>
    </sheetView>
  </sheetViews>
  <sheetFormatPr baseColWidth="10" defaultRowHeight="15" x14ac:dyDescent="0.25"/>
  <cols>
    <col min="1" max="1" width="53" bestFit="1" customWidth="1"/>
    <col min="2" max="2" width="23.5703125" bestFit="1" customWidth="1"/>
    <col min="3" max="3" width="18.28515625" bestFit="1" customWidth="1"/>
    <col min="4" max="4" width="26.7109375" customWidth="1"/>
    <col min="5" max="6" width="18.28515625" bestFit="1" customWidth="1"/>
    <col min="7" max="7" width="19.7109375" bestFit="1" customWidth="1"/>
    <col min="8" max="8" width="18.28515625" style="119" bestFit="1" customWidth="1"/>
    <col min="9" max="9" width="15.5703125" style="119" bestFit="1" customWidth="1"/>
  </cols>
  <sheetData>
    <row r="2" spans="1:13" x14ac:dyDescent="0.25">
      <c r="A2" s="778" t="s">
        <v>1637</v>
      </c>
      <c r="B2" s="778"/>
      <c r="C2" s="778"/>
      <c r="D2" s="778"/>
      <c r="E2" s="778"/>
      <c r="F2" s="778"/>
      <c r="G2" s="778"/>
      <c r="H2" s="562"/>
      <c r="I2" s="562"/>
    </row>
    <row r="3" spans="1:13" x14ac:dyDescent="0.25">
      <c r="A3" s="778" t="s">
        <v>1545</v>
      </c>
      <c r="B3" s="778"/>
      <c r="C3" s="778"/>
      <c r="D3" s="778"/>
      <c r="E3" s="778"/>
      <c r="F3" s="778"/>
      <c r="G3" s="778"/>
      <c r="H3" s="562"/>
      <c r="I3" s="562"/>
    </row>
    <row r="4" spans="1:13" x14ac:dyDescent="0.25">
      <c r="A4" s="778" t="s">
        <v>1638</v>
      </c>
      <c r="B4" s="778"/>
      <c r="C4" s="778"/>
      <c r="D4" s="778"/>
      <c r="E4" s="778"/>
      <c r="F4" s="778"/>
      <c r="G4" s="778"/>
      <c r="H4" s="562"/>
      <c r="I4" s="562"/>
    </row>
    <row r="5" spans="1:13" x14ac:dyDescent="0.25">
      <c r="A5" s="563" t="s">
        <v>1596</v>
      </c>
      <c r="B5" s="564"/>
      <c r="C5" s="564">
        <v>2022</v>
      </c>
      <c r="D5" s="564">
        <f>1+C5</f>
        <v>2023</v>
      </c>
      <c r="E5" s="564">
        <f t="shared" ref="E5:G5" si="0">1+D5</f>
        <v>2024</v>
      </c>
      <c r="F5" s="564">
        <f t="shared" si="0"/>
        <v>2025</v>
      </c>
      <c r="G5" s="564">
        <f t="shared" si="0"/>
        <v>2026</v>
      </c>
      <c r="H5" s="564"/>
      <c r="I5" s="564"/>
    </row>
    <row r="6" spans="1:13" x14ac:dyDescent="0.25">
      <c r="A6" t="s">
        <v>1639</v>
      </c>
      <c r="C6" s="565">
        <f>+'Estados de resultados'!C12</f>
        <v>3170984583.9858603</v>
      </c>
      <c r="D6" s="565">
        <f>+'Estados de resultados'!D12</f>
        <v>3392303091.1410861</v>
      </c>
      <c r="E6" s="565">
        <f>+'Estados de resultados'!E12</f>
        <v>3606311284.1312299</v>
      </c>
      <c r="F6" s="565">
        <f>+'Estados de resultados'!F12</f>
        <v>3791836485.9938164</v>
      </c>
      <c r="G6" s="565">
        <f>+'Estados de resultados'!G12</f>
        <v>4040439487.5696435</v>
      </c>
      <c r="H6" s="565"/>
      <c r="I6" s="565"/>
      <c r="J6" s="298"/>
      <c r="K6" s="298"/>
      <c r="L6" s="298"/>
      <c r="M6" s="298"/>
    </row>
    <row r="7" spans="1:13" x14ac:dyDescent="0.25">
      <c r="A7" t="s">
        <v>1640</v>
      </c>
      <c r="C7" s="565">
        <f>+'Estados de resultados'!C13</f>
        <v>189887275.37334052</v>
      </c>
      <c r="D7" s="565">
        <f>+'Estados de resultados'!D13</f>
        <v>198516402.9516421</v>
      </c>
      <c r="E7" s="565">
        <f>+'Estados de resultados'!E13</f>
        <v>207255954.72521564</v>
      </c>
      <c r="F7" s="565">
        <f>+'Estados de resultados'!F13</f>
        <v>215822989.63389674</v>
      </c>
      <c r="G7" s="565">
        <f>+'Estados de resultados'!G13</f>
        <v>225482764.35299304</v>
      </c>
      <c r="H7" s="565"/>
      <c r="I7" s="565"/>
    </row>
    <row r="8" spans="1:13" x14ac:dyDescent="0.25">
      <c r="A8" s="3" t="s">
        <v>1641</v>
      </c>
      <c r="B8" s="3"/>
      <c r="C8" s="566">
        <f>+C6-C7</f>
        <v>2981097308.6125197</v>
      </c>
      <c r="D8" s="566">
        <f t="shared" ref="D8:G8" si="1">+D6-D7</f>
        <v>3193786688.1894441</v>
      </c>
      <c r="E8" s="566">
        <f t="shared" si="1"/>
        <v>3399055329.4060144</v>
      </c>
      <c r="F8" s="566">
        <f t="shared" si="1"/>
        <v>3576013496.3599195</v>
      </c>
      <c r="G8" s="566">
        <f t="shared" si="1"/>
        <v>3814956723.2166505</v>
      </c>
      <c r="H8" s="566"/>
      <c r="I8" s="566"/>
    </row>
    <row r="9" spans="1:13" x14ac:dyDescent="0.25">
      <c r="A9" t="s">
        <v>1642</v>
      </c>
      <c r="C9" s="565">
        <f>+'Estados de resultados'!C17+'Estados de resultados'!C18</f>
        <v>1330771615.3578956</v>
      </c>
      <c r="D9" s="565">
        <f>+'Estados de resultados'!D17+'Estados de resultados'!D18</f>
        <v>1361111708.3568535</v>
      </c>
      <c r="E9" s="565">
        <f>+'Estados de resultados'!E17+'Estados de resultados'!E18</f>
        <v>1413415064.9827707</v>
      </c>
      <c r="F9" s="565">
        <f>+'Estados de resultados'!F17+'Estados de resultados'!F18</f>
        <v>1447758252.5170987</v>
      </c>
      <c r="G9" s="565">
        <f>+'Estados de resultados'!G17+'Estados de resultados'!G18</f>
        <v>1504220824.3652656</v>
      </c>
      <c r="H9" s="565"/>
      <c r="I9" s="565"/>
    </row>
    <row r="10" spans="1:13" x14ac:dyDescent="0.25">
      <c r="A10" t="s">
        <v>1643</v>
      </c>
      <c r="C10" s="565">
        <v>0</v>
      </c>
      <c r="D10" s="565">
        <v>0</v>
      </c>
      <c r="E10" s="565">
        <v>0</v>
      </c>
      <c r="F10" s="565">
        <v>0</v>
      </c>
      <c r="G10" s="565">
        <v>0</v>
      </c>
      <c r="H10" s="565"/>
      <c r="I10" s="565"/>
    </row>
    <row r="11" spans="1:13" x14ac:dyDescent="0.25">
      <c r="A11" t="s">
        <v>1644</v>
      </c>
      <c r="C11" s="565">
        <f>+'Estados de resultados'!C22</f>
        <v>127369602.41999999</v>
      </c>
      <c r="D11" s="565">
        <f>+'Estados de resultados'!D22</f>
        <v>127369602.41999999</v>
      </c>
      <c r="E11" s="565">
        <f>+'Estados de resultados'!E22</f>
        <v>127369602.41999999</v>
      </c>
      <c r="F11" s="565">
        <f>+'Estados de resultados'!F22</f>
        <v>127369602.41999999</v>
      </c>
      <c r="G11" s="565">
        <f>+'Estados de resultados'!G22</f>
        <v>127369602.41999999</v>
      </c>
      <c r="H11" s="565"/>
      <c r="I11" s="565"/>
      <c r="J11" s="567">
        <f>+E11-D11</f>
        <v>0</v>
      </c>
    </row>
    <row r="12" spans="1:13" x14ac:dyDescent="0.25">
      <c r="A12" t="s">
        <v>1645</v>
      </c>
      <c r="C12" s="565">
        <v>0</v>
      </c>
      <c r="D12" s="565">
        <v>0</v>
      </c>
      <c r="E12" s="565">
        <v>0</v>
      </c>
      <c r="F12" s="565">
        <v>0</v>
      </c>
      <c r="G12" s="565">
        <v>0</v>
      </c>
      <c r="H12" s="565"/>
      <c r="I12" s="565"/>
    </row>
    <row r="13" spans="1:13" x14ac:dyDescent="0.25">
      <c r="A13" t="s">
        <v>1646</v>
      </c>
      <c r="C13" s="565">
        <f>+'Estados de resultados'!C23</f>
        <v>68407682.443364039</v>
      </c>
      <c r="D13" s="565">
        <f>+'Estados de resultados'!D23</f>
        <v>72617922.189328015</v>
      </c>
      <c r="E13" s="565">
        <f>+'Estados de resultados'!E23</f>
        <v>77087286.613769069</v>
      </c>
      <c r="F13" s="565">
        <f>+'Estados de resultados'!F23</f>
        <v>81831723.88188608</v>
      </c>
      <c r="G13" s="565">
        <f>+'Estados de resultados'!G23</f>
        <v>86868163.709437802</v>
      </c>
      <c r="H13" s="565"/>
      <c r="I13" s="565"/>
    </row>
    <row r="14" spans="1:13" x14ac:dyDescent="0.25">
      <c r="A14" s="3" t="s">
        <v>1636</v>
      </c>
      <c r="B14" s="3"/>
      <c r="C14" s="566">
        <f>+C8-SUM(C9:C12)+C13</f>
        <v>1591363773.2779882</v>
      </c>
      <c r="D14" s="566">
        <f>+D8-SUM(D9:D12)+D13</f>
        <v>1777923299.6019185</v>
      </c>
      <c r="E14" s="566">
        <f t="shared" ref="E14:G14" si="2">+E8-SUM(E9:E12)+E13</f>
        <v>1935357948.6170127</v>
      </c>
      <c r="F14" s="566">
        <f t="shared" si="2"/>
        <v>2082717365.3047068</v>
      </c>
      <c r="G14" s="566">
        <f t="shared" si="2"/>
        <v>2270234460.1408229</v>
      </c>
      <c r="H14" s="566"/>
      <c r="I14" s="566"/>
    </row>
    <row r="15" spans="1:13" x14ac:dyDescent="0.25">
      <c r="A15" t="s">
        <v>1647</v>
      </c>
      <c r="C15" s="565">
        <v>0</v>
      </c>
      <c r="D15" s="565">
        <v>0</v>
      </c>
      <c r="E15" s="565">
        <v>0</v>
      </c>
      <c r="F15" s="565">
        <v>0</v>
      </c>
      <c r="G15" s="565">
        <v>0</v>
      </c>
      <c r="H15" s="565"/>
      <c r="I15" s="565"/>
    </row>
    <row r="16" spans="1:13" x14ac:dyDescent="0.25">
      <c r="A16" t="s">
        <v>1120</v>
      </c>
      <c r="C16" s="565">
        <f>+'Estados de resultados'!C28+'Estados de resultados'!C29+'Estados de resultados'!C30</f>
        <v>338148660.04761285</v>
      </c>
      <c r="D16" s="565">
        <f>+'Estados de resultados'!D28+'Estados de resultados'!D29+'Estados de resultados'!D30</f>
        <v>231774224.50745213</v>
      </c>
      <c r="E16" s="565">
        <f>+'Estados de resultados'!E28+'Estados de resultados'!E29+'Estados de resultados'!E30</f>
        <v>104236786.74575466</v>
      </c>
      <c r="F16" s="565">
        <f>+'Estados de resultados'!F28+'Estados de resultados'!F29+'Estados de resultados'!F30</f>
        <v>26542855.401956715</v>
      </c>
      <c r="G16" s="565">
        <f>+'Estados de resultados'!G28+'Estados de resultados'!G29+'Estados de resultados'!G30</f>
        <v>28283076.412987508</v>
      </c>
      <c r="H16" s="565"/>
      <c r="I16" s="565"/>
    </row>
    <row r="17" spans="1:9" x14ac:dyDescent="0.25">
      <c r="A17" s="3" t="s">
        <v>1648</v>
      </c>
      <c r="B17" s="3"/>
      <c r="C17" s="566">
        <f>+C14+C15-C16</f>
        <v>1253215113.2303753</v>
      </c>
      <c r="D17" s="566">
        <f t="shared" ref="D17:G17" si="3">+D14+D15-D16</f>
        <v>1546149075.0944662</v>
      </c>
      <c r="E17" s="566">
        <f t="shared" si="3"/>
        <v>1831121161.871258</v>
      </c>
      <c r="F17" s="566">
        <f t="shared" si="3"/>
        <v>2056174509.90275</v>
      </c>
      <c r="G17" s="566">
        <f t="shared" si="3"/>
        <v>2241951383.7278352</v>
      </c>
      <c r="H17" s="566"/>
      <c r="I17" s="566"/>
    </row>
    <row r="18" spans="1:9" x14ac:dyDescent="0.25">
      <c r="A18" t="s">
        <v>1495</v>
      </c>
      <c r="C18" s="565">
        <f>+'Estados de resultados'!C34</f>
        <v>112789360.19073378</v>
      </c>
      <c r="D18" s="565">
        <f>+'Estados de resultados'!D34</f>
        <v>139153416.75850195</v>
      </c>
      <c r="E18" s="565">
        <f>+'Estados de resultados'!E34</f>
        <v>164800904.56841323</v>
      </c>
      <c r="F18" s="565">
        <f>+'Estados de resultados'!F34</f>
        <v>185055705.89124751</v>
      </c>
      <c r="G18" s="565">
        <f>+'Estados de resultados'!G34</f>
        <v>201775624.53550515</v>
      </c>
      <c r="H18" s="565"/>
      <c r="I18" s="565"/>
    </row>
    <row r="19" spans="1:9" x14ac:dyDescent="0.25">
      <c r="A19" s="3" t="s">
        <v>1649</v>
      </c>
      <c r="B19" s="3"/>
      <c r="C19" s="566">
        <f>+C17-C18</f>
        <v>1140425753.0396416</v>
      </c>
      <c r="D19" s="566">
        <f t="shared" ref="D19:G19" si="4">+D17-D18</f>
        <v>1406995658.3359642</v>
      </c>
      <c r="E19" s="566">
        <f t="shared" si="4"/>
        <v>1666320257.3028448</v>
      </c>
      <c r="F19" s="566">
        <f t="shared" si="4"/>
        <v>1871118804.0115025</v>
      </c>
      <c r="G19" s="566">
        <f t="shared" si="4"/>
        <v>2040175759.1923301</v>
      </c>
      <c r="H19" s="566"/>
      <c r="I19" s="566"/>
    </row>
    <row r="21" spans="1:9" x14ac:dyDescent="0.25">
      <c r="A21" s="568" t="s">
        <v>1650</v>
      </c>
      <c r="B21" s="568"/>
      <c r="C21" s="569"/>
      <c r="D21" s="569"/>
      <c r="E21" s="569"/>
      <c r="F21" s="569"/>
      <c r="G21" s="569"/>
      <c r="H21" s="569"/>
      <c r="I21" s="569"/>
    </row>
    <row r="22" spans="1:9" x14ac:dyDescent="0.25">
      <c r="A22" s="570" t="s">
        <v>1651</v>
      </c>
      <c r="B22" s="571"/>
      <c r="C22" s="572">
        <v>0.09</v>
      </c>
      <c r="D22" s="572">
        <v>0.09</v>
      </c>
      <c r="E22" s="572">
        <v>0.09</v>
      </c>
      <c r="F22" s="572">
        <v>0.09</v>
      </c>
      <c r="G22" s="572">
        <v>0.09</v>
      </c>
      <c r="H22" s="572"/>
      <c r="I22" s="572"/>
    </row>
    <row r="23" spans="1:9" x14ac:dyDescent="0.25">
      <c r="C23" s="573"/>
      <c r="D23" s="573"/>
      <c r="E23" s="573"/>
      <c r="F23" s="573"/>
      <c r="G23" s="573"/>
      <c r="H23" s="565"/>
      <c r="I23" s="565"/>
    </row>
    <row r="24" spans="1:9" x14ac:dyDescent="0.25">
      <c r="C24" s="573"/>
      <c r="D24" s="573"/>
      <c r="E24" s="573"/>
      <c r="F24" s="573"/>
      <c r="G24" s="573"/>
      <c r="H24" s="565"/>
      <c r="I24" s="565"/>
    </row>
    <row r="25" spans="1:9" x14ac:dyDescent="0.25">
      <c r="A25" s="778" t="s">
        <v>1652</v>
      </c>
      <c r="B25" s="778"/>
      <c r="C25" s="778"/>
      <c r="D25" s="778"/>
      <c r="E25" s="778"/>
      <c r="F25" s="778"/>
      <c r="G25" s="778"/>
      <c r="H25" s="562"/>
      <c r="I25" s="562"/>
    </row>
    <row r="26" spans="1:9" x14ac:dyDescent="0.25">
      <c r="A26" s="778" t="s">
        <v>1545</v>
      </c>
      <c r="B26" s="778"/>
      <c r="C26" s="778"/>
      <c r="D26" s="778"/>
      <c r="E26" s="778"/>
      <c r="F26" s="778"/>
      <c r="G26" s="778"/>
      <c r="H26" s="562"/>
      <c r="I26" s="562"/>
    </row>
    <row r="27" spans="1:9" x14ac:dyDescent="0.25">
      <c r="A27" s="778" t="s">
        <v>1638</v>
      </c>
      <c r="B27" s="778"/>
      <c r="C27" s="778"/>
      <c r="D27" s="778"/>
      <c r="E27" s="778"/>
      <c r="F27" s="778"/>
      <c r="G27" s="778"/>
      <c r="H27" s="562"/>
      <c r="I27" s="562"/>
    </row>
    <row r="28" spans="1:9" x14ac:dyDescent="0.25">
      <c r="A28" s="563" t="s">
        <v>1653</v>
      </c>
      <c r="B28" s="564">
        <v>2021</v>
      </c>
      <c r="C28" s="564">
        <v>2022</v>
      </c>
      <c r="D28" s="564">
        <f>1+C28</f>
        <v>2023</v>
      </c>
      <c r="E28" s="564">
        <f t="shared" ref="E28:G28" si="5">1+D28</f>
        <v>2024</v>
      </c>
      <c r="F28" s="564">
        <f t="shared" si="5"/>
        <v>2025</v>
      </c>
      <c r="G28" s="564">
        <f t="shared" si="5"/>
        <v>2026</v>
      </c>
      <c r="H28" s="564"/>
      <c r="I28" s="564"/>
    </row>
    <row r="29" spans="1:9" x14ac:dyDescent="0.25">
      <c r="A29" s="3" t="s">
        <v>1654</v>
      </c>
      <c r="B29" s="3"/>
      <c r="C29" s="119"/>
      <c r="D29" s="119"/>
      <c r="E29" s="119"/>
      <c r="F29" s="119"/>
      <c r="G29" s="119"/>
    </row>
    <row r="30" spans="1:9" x14ac:dyDescent="0.25">
      <c r="A30" t="s">
        <v>1655</v>
      </c>
      <c r="B30" s="603">
        <f>+'Balance '!D54</f>
        <v>50000000</v>
      </c>
      <c r="C30" s="565">
        <f>+'Balance '!E54</f>
        <v>766089630.55734932</v>
      </c>
      <c r="D30" s="565">
        <f>+'Balance '!F54</f>
        <v>1640825501.3207743</v>
      </c>
      <c r="E30" s="565">
        <f>+'Balance '!G54</f>
        <v>2645850475.9384508</v>
      </c>
      <c r="F30" s="565">
        <f>+'Balance '!H54</f>
        <v>4644338882.3699541</v>
      </c>
      <c r="G30" s="565">
        <f>+'Balance '!I54</f>
        <v>6811884243.9822836</v>
      </c>
      <c r="H30" s="565"/>
      <c r="I30" s="565"/>
    </row>
    <row r="31" spans="1:9" x14ac:dyDescent="0.25">
      <c r="A31" t="s">
        <v>1656</v>
      </c>
      <c r="C31" s="565"/>
      <c r="D31" s="565"/>
      <c r="E31" s="565"/>
      <c r="F31" s="565"/>
      <c r="G31" s="565"/>
      <c r="H31" s="565"/>
      <c r="I31" s="565"/>
    </row>
    <row r="32" spans="1:9" x14ac:dyDescent="0.25">
      <c r="A32" t="s">
        <v>1657</v>
      </c>
      <c r="C32" s="565">
        <v>0</v>
      </c>
      <c r="D32" s="565">
        <v>0</v>
      </c>
      <c r="E32" s="565">
        <v>0</v>
      </c>
      <c r="F32" s="565">
        <v>0</v>
      </c>
      <c r="G32" s="565">
        <v>0</v>
      </c>
      <c r="H32" s="565"/>
      <c r="I32" s="565"/>
    </row>
    <row r="33" spans="1:9" x14ac:dyDescent="0.25">
      <c r="A33" t="s">
        <v>1538</v>
      </c>
      <c r="C33" s="565">
        <v>0</v>
      </c>
      <c r="D33" s="565">
        <v>0</v>
      </c>
      <c r="E33" s="565">
        <v>0</v>
      </c>
      <c r="F33" s="565">
        <v>0</v>
      </c>
      <c r="G33" s="565">
        <v>0</v>
      </c>
      <c r="H33" s="565"/>
      <c r="I33" s="565"/>
    </row>
    <row r="34" spans="1:9" x14ac:dyDescent="0.25">
      <c r="A34" t="s">
        <v>1658</v>
      </c>
      <c r="C34" s="565">
        <v>0</v>
      </c>
      <c r="D34" s="565">
        <v>0</v>
      </c>
      <c r="E34" s="565">
        <v>0</v>
      </c>
      <c r="F34" s="565">
        <v>0</v>
      </c>
      <c r="G34" s="565">
        <v>0</v>
      </c>
      <c r="H34" s="565"/>
      <c r="I34" s="565"/>
    </row>
    <row r="35" spans="1:9" x14ac:dyDescent="0.25">
      <c r="A35" s="3" t="s">
        <v>1659</v>
      </c>
      <c r="B35" s="566">
        <f>SUM(B30:B34)</f>
        <v>50000000</v>
      </c>
      <c r="C35" s="566">
        <f>SUM(C30:C34)</f>
        <v>766089630.55734932</v>
      </c>
      <c r="D35" s="566">
        <f t="shared" ref="D35:G35" si="6">SUM(D30:D34)</f>
        <v>1640825501.3207743</v>
      </c>
      <c r="E35" s="566">
        <f t="shared" si="6"/>
        <v>2645850475.9384508</v>
      </c>
      <c r="F35" s="566">
        <f t="shared" si="6"/>
        <v>4644338882.3699541</v>
      </c>
      <c r="G35" s="566">
        <f t="shared" si="6"/>
        <v>6811884243.9822836</v>
      </c>
      <c r="H35" s="566"/>
      <c r="I35" s="566"/>
    </row>
    <row r="36" spans="1:9" x14ac:dyDescent="0.25">
      <c r="C36" s="565"/>
      <c r="D36" s="565"/>
      <c r="E36" s="565"/>
      <c r="F36" s="565"/>
      <c r="G36" s="565"/>
      <c r="H36" s="565"/>
      <c r="I36" s="565"/>
    </row>
    <row r="37" spans="1:9" x14ac:dyDescent="0.25">
      <c r="A37" s="3" t="s">
        <v>1660</v>
      </c>
      <c r="B37" s="3"/>
      <c r="C37" s="565"/>
      <c r="D37" s="565"/>
      <c r="E37" s="565"/>
      <c r="F37" s="565"/>
      <c r="G37" s="565"/>
      <c r="H37" s="565"/>
      <c r="I37" s="565"/>
    </row>
    <row r="38" spans="1:9" x14ac:dyDescent="0.25">
      <c r="A38" t="s">
        <v>1661</v>
      </c>
      <c r="B38" s="565">
        <f>+'Balance '!D60+'Balance '!D61+'Balance '!D62</f>
        <v>4488076707</v>
      </c>
      <c r="C38" s="565">
        <f>+'Balance '!E60+'Balance '!E61+'Balance '!E62</f>
        <v>4488076707</v>
      </c>
      <c r="D38" s="565">
        <f>+'Balance '!F60+'Balance '!F61+'Balance '!F62</f>
        <v>4488076707</v>
      </c>
      <c r="E38" s="565">
        <f>+'Balance '!G60+'Balance '!G61+'Balance '!G62</f>
        <v>4488076707</v>
      </c>
      <c r="F38" s="565">
        <f>+'Balance '!H60+'Balance '!H61+'Balance '!H62</f>
        <v>4488076707</v>
      </c>
      <c r="G38" s="565">
        <f>+'Balance '!I60+'Balance '!I61+'Balance '!I62</f>
        <v>4488076707</v>
      </c>
      <c r="H38" s="565"/>
      <c r="I38" s="565"/>
    </row>
    <row r="39" spans="1:9" x14ac:dyDescent="0.25">
      <c r="A39" t="s">
        <v>1662</v>
      </c>
      <c r="B39" s="565">
        <f>+'Balance '!D63</f>
        <v>0</v>
      </c>
      <c r="C39" s="565">
        <f>+'Balance '!E63</f>
        <v>-127369602.41999999</v>
      </c>
      <c r="D39" s="565">
        <f>+'Balance '!F63</f>
        <v>-254739204.83999997</v>
      </c>
      <c r="E39" s="565">
        <f>+'Balance '!G63</f>
        <v>-382108807.25999999</v>
      </c>
      <c r="F39" s="565">
        <f>+'Balance '!H63</f>
        <v>-509478409.67999995</v>
      </c>
      <c r="G39" s="565">
        <f>+'Balance '!I63</f>
        <v>-636848012.0999999</v>
      </c>
      <c r="H39" s="565"/>
      <c r="I39" s="565"/>
    </row>
    <row r="40" spans="1:9" x14ac:dyDescent="0.25">
      <c r="A40" t="s">
        <v>1475</v>
      </c>
      <c r="B40" s="565"/>
      <c r="C40" s="565">
        <f>+'Balance '!E64</f>
        <v>295391935.157924</v>
      </c>
      <c r="D40" s="565">
        <f>+'Balance '!F64</f>
        <v>462455558.03951001</v>
      </c>
      <c r="E40" s="565">
        <f>+'Balance '!G64</f>
        <v>654735071.28814006</v>
      </c>
      <c r="F40" s="565">
        <f>+'Balance '!H64</f>
        <v>862101752.8549</v>
      </c>
      <c r="G40" s="565">
        <f>+'Balance '!I64</f>
        <v>1082839247.8497701</v>
      </c>
      <c r="H40" s="565"/>
      <c r="I40" s="565"/>
    </row>
    <row r="41" spans="1:9" x14ac:dyDescent="0.25">
      <c r="A41" s="3" t="s">
        <v>1663</v>
      </c>
      <c r="B41" s="566">
        <f t="shared" ref="B41:G41" si="7">+B38+B39+B40</f>
        <v>4488076707</v>
      </c>
      <c r="C41" s="566">
        <f t="shared" si="7"/>
        <v>4656099039.7379236</v>
      </c>
      <c r="D41" s="566">
        <f t="shared" si="7"/>
        <v>4695793060.1995096</v>
      </c>
      <c r="E41" s="566">
        <f t="shared" si="7"/>
        <v>4760702971.0281401</v>
      </c>
      <c r="F41" s="566">
        <f t="shared" si="7"/>
        <v>4840700050.1749001</v>
      </c>
      <c r="G41" s="566">
        <f t="shared" si="7"/>
        <v>4934067942.7497702</v>
      </c>
      <c r="H41" s="566"/>
      <c r="I41" s="566"/>
    </row>
    <row r="42" spans="1:9" x14ac:dyDescent="0.25">
      <c r="C42" s="565"/>
      <c r="D42" s="565"/>
      <c r="E42" s="565"/>
      <c r="F42" s="565"/>
      <c r="G42" s="565"/>
      <c r="H42" s="565"/>
      <c r="I42" s="565"/>
    </row>
    <row r="43" spans="1:9" x14ac:dyDescent="0.25">
      <c r="A43" s="3" t="s">
        <v>1664</v>
      </c>
      <c r="B43" s="3"/>
      <c r="C43" s="565"/>
      <c r="D43" s="565"/>
      <c r="E43" s="565"/>
      <c r="F43" s="565"/>
      <c r="G43" s="565"/>
      <c r="H43" s="565"/>
      <c r="I43" s="565"/>
    </row>
    <row r="44" spans="1:9" x14ac:dyDescent="0.25">
      <c r="A44" t="s">
        <v>1583</v>
      </c>
      <c r="C44" s="565">
        <v>0</v>
      </c>
      <c r="D44" s="565">
        <v>0</v>
      </c>
      <c r="E44" s="565">
        <v>0</v>
      </c>
      <c r="F44" s="565">
        <v>0</v>
      </c>
      <c r="G44" s="565">
        <v>0</v>
      </c>
      <c r="H44" s="565"/>
      <c r="I44" s="565"/>
    </row>
    <row r="45" spans="1:9" s="119" customFormat="1" x14ac:dyDescent="0.25">
      <c r="A45" s="99" t="s">
        <v>1476</v>
      </c>
      <c r="B45" s="605">
        <f>+'Balance '!D67</f>
        <v>68560000</v>
      </c>
      <c r="H45" s="565"/>
      <c r="I45" s="565"/>
    </row>
    <row r="46" spans="1:9" x14ac:dyDescent="0.25">
      <c r="A46" s="3" t="s">
        <v>1665</v>
      </c>
      <c r="B46" s="606">
        <f>+SUM(B44:B45)</f>
        <v>68560000</v>
      </c>
      <c r="C46" s="566">
        <f>SUM(C44:C45)</f>
        <v>0</v>
      </c>
      <c r="D46" s="566">
        <f>SUM(D44:D45)</f>
        <v>0</v>
      </c>
      <c r="E46" s="566">
        <f>SUM(E44:E45)</f>
        <v>0</v>
      </c>
      <c r="F46" s="566">
        <f>SUM(F44:F45)</f>
        <v>0</v>
      </c>
      <c r="G46" s="566">
        <f>SUM(G44:G45)</f>
        <v>0</v>
      </c>
      <c r="H46" s="566"/>
      <c r="I46" s="566"/>
    </row>
    <row r="47" spans="1:9" x14ac:dyDescent="0.25">
      <c r="B47" s="607"/>
      <c r="C47" s="565"/>
      <c r="D47" s="565"/>
      <c r="E47" s="565"/>
      <c r="F47" s="565"/>
      <c r="G47" s="565"/>
      <c r="H47" s="565"/>
      <c r="I47" s="565"/>
    </row>
    <row r="48" spans="1:9" x14ac:dyDescent="0.25">
      <c r="A48" s="3" t="s">
        <v>1568</v>
      </c>
      <c r="B48" s="606">
        <f t="shared" ref="B48:G48" si="8">+B35+B41+B46</f>
        <v>4606636707</v>
      </c>
      <c r="C48" s="566">
        <f t="shared" si="8"/>
        <v>5422188670.2952728</v>
      </c>
      <c r="D48" s="566">
        <f t="shared" si="8"/>
        <v>6336618561.5202837</v>
      </c>
      <c r="E48" s="566">
        <f t="shared" si="8"/>
        <v>7406553446.9665909</v>
      </c>
      <c r="F48" s="566">
        <f t="shared" si="8"/>
        <v>9485038932.5448532</v>
      </c>
      <c r="G48" s="566">
        <f t="shared" si="8"/>
        <v>11745952186.732054</v>
      </c>
      <c r="H48" s="566"/>
      <c r="I48" s="566"/>
    </row>
    <row r="49" spans="1:9" x14ac:dyDescent="0.25">
      <c r="B49" s="607"/>
      <c r="C49" s="565"/>
      <c r="D49" s="565"/>
      <c r="E49" s="565"/>
      <c r="F49" s="565"/>
      <c r="G49" s="565"/>
      <c r="H49" s="565"/>
      <c r="I49" s="565"/>
    </row>
    <row r="50" spans="1:9" x14ac:dyDescent="0.25">
      <c r="A50" s="296" t="s">
        <v>1666</v>
      </c>
      <c r="B50" s="296"/>
      <c r="C50" s="565"/>
      <c r="D50" s="565"/>
      <c r="E50" s="565"/>
      <c r="F50" s="565"/>
      <c r="G50" s="565"/>
      <c r="H50" s="565"/>
      <c r="I50" s="565"/>
    </row>
    <row r="51" spans="1:9" x14ac:dyDescent="0.25">
      <c r="A51" s="574" t="s">
        <v>1667</v>
      </c>
      <c r="B51" s="574"/>
      <c r="C51" s="565">
        <v>0</v>
      </c>
      <c r="D51" s="565">
        <v>0</v>
      </c>
      <c r="E51" s="565">
        <v>0</v>
      </c>
      <c r="F51" s="565">
        <v>0</v>
      </c>
      <c r="G51" s="565">
        <v>0</v>
      </c>
      <c r="H51" s="565"/>
      <c r="I51" s="565"/>
    </row>
    <row r="52" spans="1:9" x14ac:dyDescent="0.25">
      <c r="A52" t="s">
        <v>1572</v>
      </c>
      <c r="C52" s="565">
        <v>0</v>
      </c>
      <c r="D52" s="565">
        <v>0</v>
      </c>
      <c r="E52" s="565">
        <v>0</v>
      </c>
      <c r="F52" s="565">
        <v>0</v>
      </c>
      <c r="G52" s="565">
        <v>0</v>
      </c>
      <c r="H52" s="565"/>
      <c r="I52" s="565"/>
    </row>
    <row r="53" spans="1:9" x14ac:dyDescent="0.25">
      <c r="A53" t="s">
        <v>1668</v>
      </c>
      <c r="C53" s="565">
        <v>0</v>
      </c>
      <c r="D53" s="565">
        <v>0</v>
      </c>
      <c r="E53" s="565">
        <v>0</v>
      </c>
      <c r="F53" s="565">
        <v>0</v>
      </c>
      <c r="G53" s="565">
        <v>0</v>
      </c>
      <c r="H53" s="565"/>
      <c r="I53" s="565"/>
    </row>
    <row r="54" spans="1:9" x14ac:dyDescent="0.25">
      <c r="A54" t="s">
        <v>1669</v>
      </c>
      <c r="B54" s="565">
        <f>+'Balance '!D70</f>
        <v>0</v>
      </c>
      <c r="C54" s="565">
        <f>+'Balance '!E70</f>
        <v>112789360.19073378</v>
      </c>
      <c r="D54" s="565">
        <f>+'Balance '!F70</f>
        <v>139153416.75850195</v>
      </c>
      <c r="E54" s="565">
        <f>+'Balance '!G70</f>
        <v>164800904.56841323</v>
      </c>
      <c r="F54" s="565">
        <f>+'Balance '!H70</f>
        <v>185055705.89124751</v>
      </c>
      <c r="G54" s="565">
        <f>+'Balance '!I70</f>
        <v>201775624.53550515</v>
      </c>
      <c r="H54" s="565"/>
      <c r="I54" s="565"/>
    </row>
    <row r="55" spans="1:9" x14ac:dyDescent="0.25">
      <c r="A55" s="3" t="s">
        <v>1670</v>
      </c>
      <c r="B55" s="575">
        <f>SUM(B51:B54)</f>
        <v>0</v>
      </c>
      <c r="C55" s="575">
        <f>SUM(C51:C54)</f>
        <v>112789360.19073378</v>
      </c>
      <c r="D55" s="575">
        <f t="shared" ref="D55:G55" si="9">SUM(D51:D54)</f>
        <v>139153416.75850195</v>
      </c>
      <c r="E55" s="575">
        <f t="shared" si="9"/>
        <v>164800904.56841323</v>
      </c>
      <c r="F55" s="575">
        <f t="shared" si="9"/>
        <v>185055705.89124751</v>
      </c>
      <c r="G55" s="575">
        <f t="shared" si="9"/>
        <v>201775624.53550515</v>
      </c>
      <c r="H55" s="575"/>
      <c r="I55" s="575"/>
    </row>
    <row r="56" spans="1:9" x14ac:dyDescent="0.25">
      <c r="C56" s="119"/>
      <c r="D56" s="119"/>
      <c r="E56" s="119"/>
      <c r="F56" s="119"/>
      <c r="G56" s="119"/>
    </row>
    <row r="57" spans="1:9" x14ac:dyDescent="0.25">
      <c r="A57" s="3" t="s">
        <v>1671</v>
      </c>
      <c r="B57" s="3"/>
      <c r="C57" s="119"/>
      <c r="D57" s="119"/>
      <c r="E57" s="119"/>
      <c r="F57" s="119"/>
      <c r="G57" s="119"/>
    </row>
    <row r="58" spans="1:9" x14ac:dyDescent="0.25">
      <c r="A58" t="s">
        <v>1672</v>
      </c>
      <c r="B58" s="603">
        <f>+'Balance '!D74</f>
        <v>2000000000</v>
      </c>
      <c r="C58" s="565">
        <f>+'Balance '!E74</f>
        <v>1448294275.0977077</v>
      </c>
      <c r="D58" s="565">
        <f>+'Balance '!F74</f>
        <v>788664885.10516834</v>
      </c>
      <c r="E58" s="565">
        <v>0</v>
      </c>
      <c r="F58" s="565">
        <v>0</v>
      </c>
      <c r="G58" s="565">
        <v>0</v>
      </c>
      <c r="H58" s="565"/>
      <c r="I58" s="565"/>
    </row>
    <row r="59" spans="1:9" x14ac:dyDescent="0.25">
      <c r="A59" t="s">
        <v>1581</v>
      </c>
      <c r="C59" s="565">
        <v>0</v>
      </c>
      <c r="D59" s="565">
        <v>0</v>
      </c>
      <c r="E59" s="565">
        <v>0</v>
      </c>
      <c r="F59" s="565">
        <v>0</v>
      </c>
      <c r="G59" s="565">
        <v>0</v>
      </c>
      <c r="H59" s="565"/>
      <c r="I59" s="565"/>
    </row>
    <row r="60" spans="1:9" x14ac:dyDescent="0.25">
      <c r="A60" s="3" t="s">
        <v>1673</v>
      </c>
      <c r="B60" s="566">
        <f>SUM(B58:B59)</f>
        <v>2000000000</v>
      </c>
      <c r="C60" s="566">
        <f>SUM(C58:C59)</f>
        <v>1448294275.0977077</v>
      </c>
      <c r="D60" s="566">
        <f t="shared" ref="D60:F60" si="10">SUM(D58:D59)</f>
        <v>788664885.10516834</v>
      </c>
      <c r="E60" s="566">
        <f t="shared" si="10"/>
        <v>0</v>
      </c>
      <c r="F60" s="566">
        <f t="shared" si="10"/>
        <v>0</v>
      </c>
      <c r="G60" s="566">
        <v>0</v>
      </c>
      <c r="H60" s="566"/>
      <c r="I60" s="566"/>
    </row>
    <row r="61" spans="1:9" x14ac:dyDescent="0.25">
      <c r="A61" s="3" t="s">
        <v>874</v>
      </c>
      <c r="B61" s="566">
        <f>+B55+B60</f>
        <v>2000000000</v>
      </c>
      <c r="C61" s="566">
        <f>+C55+C60</f>
        <v>1561083635.2884414</v>
      </c>
      <c r="D61" s="566">
        <f t="shared" ref="D61:G61" si="11">+D55+D60</f>
        <v>927818301.86367035</v>
      </c>
      <c r="E61" s="566">
        <f t="shared" si="11"/>
        <v>164800904.56841323</v>
      </c>
      <c r="F61" s="566">
        <f t="shared" si="11"/>
        <v>185055705.89124751</v>
      </c>
      <c r="G61" s="566">
        <f t="shared" si="11"/>
        <v>201775624.53550515</v>
      </c>
      <c r="H61" s="566"/>
      <c r="I61" s="566"/>
    </row>
    <row r="62" spans="1:9" x14ac:dyDescent="0.25">
      <c r="C62" s="565"/>
      <c r="D62" s="565"/>
      <c r="E62" s="565"/>
      <c r="F62" s="565"/>
      <c r="G62" s="565"/>
      <c r="H62" s="565"/>
      <c r="I62" s="565"/>
    </row>
    <row r="63" spans="1:9" x14ac:dyDescent="0.25">
      <c r="A63" s="296" t="s">
        <v>1674</v>
      </c>
      <c r="B63" s="296"/>
      <c r="C63" s="565"/>
      <c r="D63" s="565"/>
      <c r="E63" s="565"/>
      <c r="F63" s="565"/>
      <c r="G63" s="565"/>
      <c r="H63" s="565"/>
      <c r="I63" s="565"/>
    </row>
    <row r="64" spans="1:9" x14ac:dyDescent="0.25">
      <c r="A64" t="s">
        <v>1675</v>
      </c>
      <c r="B64" s="565">
        <f>+'Balance '!D79</f>
        <v>2606636707</v>
      </c>
      <c r="C64" s="565">
        <f>+'Balance '!E79</f>
        <v>2606636707</v>
      </c>
      <c r="D64" s="565">
        <f>+'Balance '!F79</f>
        <v>2606636707</v>
      </c>
      <c r="E64" s="565">
        <f>+'Balance '!G79</f>
        <v>2606636707</v>
      </c>
      <c r="F64" s="565">
        <f>+'Balance '!H79</f>
        <v>2606636707</v>
      </c>
      <c r="G64" s="565">
        <f>+'Balance '!I79</f>
        <v>2606636707</v>
      </c>
      <c r="H64" s="565"/>
      <c r="I64" s="565"/>
    </row>
    <row r="65" spans="1:9" x14ac:dyDescent="0.25">
      <c r="A65" t="s">
        <v>1589</v>
      </c>
      <c r="B65" s="565">
        <f>+'Balance '!D81</f>
        <v>0</v>
      </c>
      <c r="C65" s="565">
        <f>+'Balance '!E81</f>
        <v>114042575.30396417</v>
      </c>
      <c r="D65" s="565">
        <f>+'Balance '!F81</f>
        <v>254742141.13756061</v>
      </c>
      <c r="E65" s="565">
        <f>+'Balance '!G81</f>
        <v>421374166.86784506</v>
      </c>
      <c r="F65" s="565">
        <f>+'Balance '!H81</f>
        <v>608486047.26899529</v>
      </c>
      <c r="G65" s="565">
        <f>+'Balance '!I81</f>
        <v>812503623.18822837</v>
      </c>
      <c r="H65" s="565"/>
      <c r="I65" s="565"/>
    </row>
    <row r="66" spans="1:9" x14ac:dyDescent="0.25">
      <c r="A66" t="s">
        <v>1649</v>
      </c>
      <c r="B66" s="565">
        <f>+'Balance '!D82</f>
        <v>0</v>
      </c>
      <c r="C66" s="565">
        <f>+'Balance '!E82</f>
        <v>1140425753.0396416</v>
      </c>
      <c r="D66" s="565">
        <f>+'Balance '!F82</f>
        <v>1406995658.3359642</v>
      </c>
      <c r="E66" s="565">
        <f>+'Balance '!G82</f>
        <v>1666320257.3028448</v>
      </c>
      <c r="F66" s="565">
        <f>+'Balance '!H82</f>
        <v>1871118804.0115027</v>
      </c>
      <c r="G66" s="565">
        <f>+'Balance '!I82</f>
        <v>2040175759.1923301</v>
      </c>
      <c r="H66" s="565"/>
      <c r="I66" s="565"/>
    </row>
    <row r="67" spans="1:9" x14ac:dyDescent="0.25">
      <c r="A67" t="s">
        <v>1676</v>
      </c>
      <c r="C67" s="565">
        <v>0</v>
      </c>
      <c r="D67" s="565">
        <f>+'Balance '!F83</f>
        <v>1140425753.0396416</v>
      </c>
      <c r="E67" s="565">
        <f>+'Balance '!G83</f>
        <v>2547421411.3756056</v>
      </c>
      <c r="F67" s="565">
        <f>+'Balance '!H83</f>
        <v>4213741668.6784506</v>
      </c>
      <c r="G67" s="565">
        <f>+'Balance '!I83</f>
        <v>6084860472.6899529</v>
      </c>
      <c r="H67" s="565"/>
      <c r="I67" s="565"/>
    </row>
    <row r="68" spans="1:9" x14ac:dyDescent="0.25">
      <c r="A68" s="3" t="s">
        <v>1677</v>
      </c>
      <c r="B68" s="566">
        <f>SUM(B64:B67)</f>
        <v>2606636707</v>
      </c>
      <c r="C68" s="566">
        <f>SUM(C64:C67)</f>
        <v>3861105035.343606</v>
      </c>
      <c r="D68" s="566">
        <f t="shared" ref="D68:G68" si="12">SUM(D64:D67)</f>
        <v>5408800259.5131664</v>
      </c>
      <c r="E68" s="566">
        <f t="shared" si="12"/>
        <v>7241752542.5462952</v>
      </c>
      <c r="F68" s="566">
        <f t="shared" si="12"/>
        <v>9299983226.95895</v>
      </c>
      <c r="G68" s="566">
        <f t="shared" si="12"/>
        <v>11544176562.070511</v>
      </c>
      <c r="H68" s="566"/>
      <c r="I68" s="566"/>
    </row>
    <row r="69" spans="1:9" x14ac:dyDescent="0.25">
      <c r="A69" s="3" t="s">
        <v>1678</v>
      </c>
      <c r="B69" s="566">
        <f>+B61+B68</f>
        <v>4606636707</v>
      </c>
      <c r="C69" s="566">
        <f>+C61+C68</f>
        <v>5422188670.6320477</v>
      </c>
      <c r="D69" s="566">
        <f t="shared" ref="D69:G69" si="13">+D61+D68</f>
        <v>6336618561.3768368</v>
      </c>
      <c r="E69" s="566">
        <f t="shared" si="13"/>
        <v>7406553447.1147079</v>
      </c>
      <c r="F69" s="566">
        <f t="shared" si="13"/>
        <v>9485038932.8501968</v>
      </c>
      <c r="G69" s="566">
        <f t="shared" si="13"/>
        <v>11745952186.606016</v>
      </c>
      <c r="H69" s="566"/>
      <c r="I69" s="566"/>
    </row>
    <row r="70" spans="1:9" x14ac:dyDescent="0.25">
      <c r="C70" s="565"/>
      <c r="D70" s="565"/>
      <c r="E70" s="565"/>
      <c r="F70" s="565"/>
      <c r="G70" s="565"/>
      <c r="H70" s="565"/>
      <c r="I70" s="565"/>
    </row>
    <row r="71" spans="1:9" x14ac:dyDescent="0.25">
      <c r="A71" s="3" t="s">
        <v>1679</v>
      </c>
      <c r="B71" s="565">
        <f>+B48-B61-B68</f>
        <v>0</v>
      </c>
      <c r="C71" s="565">
        <f>+C48-C61-C68</f>
        <v>-0.33677482604980469</v>
      </c>
      <c r="D71" s="565">
        <f t="shared" ref="D71:G71" si="14">+D48-D61-D68</f>
        <v>0.14344692230224609</v>
      </c>
      <c r="E71" s="565">
        <f t="shared" si="14"/>
        <v>-0.1481170654296875</v>
      </c>
      <c r="F71" s="565">
        <f t="shared" si="14"/>
        <v>-0.3053436279296875</v>
      </c>
      <c r="G71" s="565">
        <f t="shared" si="14"/>
        <v>0.12603759765625</v>
      </c>
      <c r="H71" s="565"/>
      <c r="I71" s="565"/>
    </row>
    <row r="74" spans="1:9" x14ac:dyDescent="0.25">
      <c r="A74" s="776" t="s">
        <v>1680</v>
      </c>
      <c r="B74" s="776"/>
      <c r="C74" s="776"/>
      <c r="D74" s="776"/>
      <c r="E74" s="776"/>
      <c r="F74" s="776"/>
      <c r="G74" s="776"/>
      <c r="H74" s="576"/>
    </row>
    <row r="75" spans="1:9" x14ac:dyDescent="0.25">
      <c r="A75" s="577"/>
      <c r="B75" s="578">
        <v>2021</v>
      </c>
      <c r="C75" s="578">
        <v>2022</v>
      </c>
      <c r="D75" s="578">
        <f>1+C75</f>
        <v>2023</v>
      </c>
      <c r="E75" s="578">
        <f t="shared" ref="E75:G75" si="15">1+D75</f>
        <v>2024</v>
      </c>
      <c r="F75" s="578">
        <f t="shared" si="15"/>
        <v>2025</v>
      </c>
      <c r="G75" s="578">
        <f t="shared" si="15"/>
        <v>2026</v>
      </c>
      <c r="H75" s="579"/>
    </row>
    <row r="76" spans="1:9" x14ac:dyDescent="0.25">
      <c r="A76" s="611" t="s">
        <v>1681</v>
      </c>
      <c r="B76" s="611"/>
      <c r="C76" s="589"/>
      <c r="D76" s="589"/>
      <c r="E76" s="589"/>
      <c r="F76" s="589"/>
      <c r="G76" s="589"/>
      <c r="H76" s="601"/>
    </row>
    <row r="77" spans="1:9" x14ac:dyDescent="0.25">
      <c r="A77" s="612" t="s">
        <v>1682</v>
      </c>
      <c r="B77" s="613">
        <f>+'[1]Balance '!$D$54</f>
        <v>50000000</v>
      </c>
      <c r="C77" s="585">
        <f>+C30</f>
        <v>766089630.55734932</v>
      </c>
      <c r="D77" s="585">
        <f>+D30</f>
        <v>1640825501.3207743</v>
      </c>
      <c r="E77" s="585">
        <f>+E30</f>
        <v>2645850475.9384508</v>
      </c>
      <c r="F77" s="585">
        <f>+F30</f>
        <v>4644338882.3699541</v>
      </c>
      <c r="G77" s="585">
        <f>+G30</f>
        <v>6811884243.9822836</v>
      </c>
      <c r="H77" s="585"/>
    </row>
    <row r="78" spans="1:9" x14ac:dyDescent="0.25">
      <c r="A78" s="612" t="s">
        <v>1657</v>
      </c>
      <c r="B78" s="612"/>
      <c r="C78" s="584">
        <f t="shared" ref="C78:G80" si="16">+C32</f>
        <v>0</v>
      </c>
      <c r="D78" s="584">
        <f t="shared" si="16"/>
        <v>0</v>
      </c>
      <c r="E78" s="584">
        <f t="shared" si="16"/>
        <v>0</v>
      </c>
      <c r="F78" s="584">
        <f t="shared" si="16"/>
        <v>0</v>
      </c>
      <c r="G78" s="584">
        <f t="shared" si="16"/>
        <v>0</v>
      </c>
      <c r="H78" s="585"/>
    </row>
    <row r="79" spans="1:9" x14ac:dyDescent="0.25">
      <c r="A79" s="612" t="s">
        <v>1538</v>
      </c>
      <c r="B79" s="612"/>
      <c r="C79" s="584">
        <f t="shared" si="16"/>
        <v>0</v>
      </c>
      <c r="D79" s="584">
        <f t="shared" si="16"/>
        <v>0</v>
      </c>
      <c r="E79" s="584">
        <f t="shared" si="16"/>
        <v>0</v>
      </c>
      <c r="F79" s="584">
        <f t="shared" si="16"/>
        <v>0</v>
      </c>
      <c r="G79" s="584">
        <f t="shared" si="16"/>
        <v>0</v>
      </c>
      <c r="H79" s="585"/>
    </row>
    <row r="80" spans="1:9" x14ac:dyDescent="0.25">
      <c r="A80" s="612" t="s">
        <v>1683</v>
      </c>
      <c r="B80" s="612"/>
      <c r="C80" s="584">
        <f t="shared" si="16"/>
        <v>0</v>
      </c>
      <c r="D80" s="584">
        <f t="shared" si="16"/>
        <v>0</v>
      </c>
      <c r="E80" s="584">
        <f t="shared" si="16"/>
        <v>0</v>
      </c>
      <c r="F80" s="584">
        <f t="shared" si="16"/>
        <v>0</v>
      </c>
      <c r="G80" s="584">
        <f t="shared" si="16"/>
        <v>0</v>
      </c>
      <c r="H80" s="585"/>
    </row>
    <row r="81" spans="1:8" x14ac:dyDescent="0.25">
      <c r="A81" s="611" t="s">
        <v>1684</v>
      </c>
      <c r="B81" s="584">
        <f>SUM(B77:B80)</f>
        <v>50000000</v>
      </c>
      <c r="C81" s="584">
        <f>SUM(C77:C80)</f>
        <v>766089630.55734932</v>
      </c>
      <c r="D81" s="584">
        <f t="shared" ref="D81:G81" si="17">SUM(D77:D80)</f>
        <v>1640825501.3207743</v>
      </c>
      <c r="E81" s="584">
        <f t="shared" si="17"/>
        <v>2645850475.9384508</v>
      </c>
      <c r="F81" s="584">
        <f>SUM(F77:F80)</f>
        <v>4644338882.3699541</v>
      </c>
      <c r="G81" s="584">
        <f t="shared" si="17"/>
        <v>6811884243.9822836</v>
      </c>
      <c r="H81" s="585"/>
    </row>
    <row r="82" spans="1:8" x14ac:dyDescent="0.25">
      <c r="A82" s="614" t="s">
        <v>1685</v>
      </c>
      <c r="B82" s="614"/>
      <c r="C82" s="589"/>
      <c r="D82" s="589"/>
      <c r="E82" s="589"/>
      <c r="F82" s="589"/>
      <c r="G82" s="589"/>
      <c r="H82" s="601"/>
    </row>
    <row r="83" spans="1:8" x14ac:dyDescent="0.25">
      <c r="A83" s="612" t="s">
        <v>1686</v>
      </c>
      <c r="B83" s="612"/>
      <c r="C83" s="584">
        <f>+C53</f>
        <v>0</v>
      </c>
      <c r="D83" s="584">
        <f>+D53</f>
        <v>0</v>
      </c>
      <c r="E83" s="584">
        <f>+E53</f>
        <v>0</v>
      </c>
      <c r="F83" s="584">
        <f>+F53</f>
        <v>0</v>
      </c>
      <c r="G83" s="584">
        <f>+G53</f>
        <v>0</v>
      </c>
      <c r="H83" s="585"/>
    </row>
    <row r="84" spans="1:8" x14ac:dyDescent="0.25">
      <c r="A84" s="612" t="s">
        <v>1572</v>
      </c>
      <c r="B84" s="612"/>
      <c r="C84" s="584">
        <f>+C52</f>
        <v>0</v>
      </c>
      <c r="D84" s="584">
        <f>+D52</f>
        <v>0</v>
      </c>
      <c r="E84" s="584">
        <f>+E52</f>
        <v>0</v>
      </c>
      <c r="F84" s="584">
        <f>+F52</f>
        <v>0</v>
      </c>
      <c r="G84" s="584">
        <f>+G52</f>
        <v>0</v>
      </c>
      <c r="H84" s="585"/>
    </row>
    <row r="85" spans="1:8" x14ac:dyDescent="0.25">
      <c r="A85" s="612" t="s">
        <v>1495</v>
      </c>
      <c r="B85" s="612"/>
      <c r="C85" s="584">
        <f>+C54</f>
        <v>112789360.19073378</v>
      </c>
      <c r="D85" s="584">
        <f>+D54</f>
        <v>139153416.75850195</v>
      </c>
      <c r="E85" s="584">
        <f>+E54</f>
        <v>164800904.56841323</v>
      </c>
      <c r="F85" s="584">
        <f>+F54</f>
        <v>185055705.89124751</v>
      </c>
      <c r="G85" s="584">
        <f>+G54</f>
        <v>201775624.53550515</v>
      </c>
      <c r="H85" s="585"/>
    </row>
    <row r="86" spans="1:8" x14ac:dyDescent="0.25">
      <c r="A86" s="615" t="s">
        <v>1687</v>
      </c>
      <c r="B86" s="615"/>
      <c r="C86" s="593">
        <f>SUM(C83:C85)</f>
        <v>112789360.19073378</v>
      </c>
      <c r="D86" s="593">
        <f t="shared" ref="D86:G86" si="18">SUM(D83:D85)</f>
        <v>139153416.75850195</v>
      </c>
      <c r="E86" s="593">
        <f t="shared" si="18"/>
        <v>164800904.56841323</v>
      </c>
      <c r="F86" s="593">
        <f t="shared" si="18"/>
        <v>185055705.89124751</v>
      </c>
      <c r="G86" s="593">
        <f t="shared" si="18"/>
        <v>201775624.53550515</v>
      </c>
      <c r="H86" s="594"/>
    </row>
    <row r="87" spans="1:8" x14ac:dyDescent="0.25">
      <c r="A87" s="615" t="s">
        <v>1688</v>
      </c>
      <c r="B87" s="593">
        <f>+B81-B86</f>
        <v>50000000</v>
      </c>
      <c r="C87" s="594">
        <f>+C81-C86</f>
        <v>653300270.36661553</v>
      </c>
      <c r="D87" s="594">
        <f>+D81-D86</f>
        <v>1501672084.5622723</v>
      </c>
      <c r="E87" s="594">
        <f t="shared" ref="E87:G87" si="19">+E81-E86</f>
        <v>2481049571.3700376</v>
      </c>
      <c r="F87" s="594">
        <f>+F81-F86</f>
        <v>4459283176.4787064</v>
      </c>
      <c r="G87" s="594">
        <f t="shared" si="19"/>
        <v>6610108619.4467783</v>
      </c>
      <c r="H87" s="594">
        <f>+G87</f>
        <v>6610108619.4467783</v>
      </c>
    </row>
    <row r="88" spans="1:8" x14ac:dyDescent="0.25">
      <c r="A88" s="589"/>
      <c r="B88" s="589"/>
      <c r="C88" s="585">
        <f>+D87-C87</f>
        <v>848371814.19565678</v>
      </c>
      <c r="D88" s="585">
        <f t="shared" ref="D88:F88" si="20">+E87-D87</f>
        <v>979377486.80776525</v>
      </c>
      <c r="E88" s="585">
        <f t="shared" si="20"/>
        <v>1978233605.1086688</v>
      </c>
      <c r="F88" s="585">
        <f t="shared" si="20"/>
        <v>2150825442.9680719</v>
      </c>
      <c r="G88" s="585">
        <f>+H87-G87</f>
        <v>0</v>
      </c>
      <c r="H88" s="585"/>
    </row>
    <row r="89" spans="1:8" x14ac:dyDescent="0.25">
      <c r="A89" s="614" t="s">
        <v>1689</v>
      </c>
      <c r="B89" s="614"/>
      <c r="C89" s="589"/>
      <c r="D89" s="589"/>
      <c r="E89" s="589"/>
      <c r="F89" s="589"/>
      <c r="G89" s="589"/>
      <c r="H89" s="601"/>
    </row>
    <row r="90" spans="1:8" x14ac:dyDescent="0.25">
      <c r="A90" s="589" t="s">
        <v>1690</v>
      </c>
      <c r="B90" s="584">
        <f t="shared" ref="B90:G90" si="21">+B38</f>
        <v>4488076707</v>
      </c>
      <c r="C90" s="584">
        <f t="shared" si="21"/>
        <v>4488076707</v>
      </c>
      <c r="D90" s="584">
        <f t="shared" si="21"/>
        <v>4488076707</v>
      </c>
      <c r="E90" s="584">
        <f t="shared" si="21"/>
        <v>4488076707</v>
      </c>
      <c r="F90" s="584">
        <f t="shared" si="21"/>
        <v>4488076707</v>
      </c>
      <c r="G90" s="584">
        <f t="shared" si="21"/>
        <v>4488076707</v>
      </c>
      <c r="H90" s="585"/>
    </row>
    <row r="91" spans="1:8" x14ac:dyDescent="0.25">
      <c r="A91" s="589" t="s">
        <v>1476</v>
      </c>
      <c r="B91" s="584">
        <f>+B46</f>
        <v>68560000</v>
      </c>
      <c r="C91" s="585"/>
      <c r="D91" s="585"/>
      <c r="E91" s="585"/>
      <c r="F91" s="585"/>
      <c r="G91" s="585"/>
      <c r="H91" s="585"/>
    </row>
    <row r="92" spans="1:8" x14ac:dyDescent="0.25">
      <c r="A92" s="589"/>
      <c r="B92" s="585">
        <f t="shared" ref="B92:G92" si="22">+B40</f>
        <v>0</v>
      </c>
      <c r="C92" s="585">
        <f t="shared" si="22"/>
        <v>295391935.157924</v>
      </c>
      <c r="D92" s="585">
        <f t="shared" si="22"/>
        <v>462455558.03951001</v>
      </c>
      <c r="E92" s="585">
        <f t="shared" si="22"/>
        <v>654735071.28814006</v>
      </c>
      <c r="F92" s="585">
        <f t="shared" si="22"/>
        <v>862101752.8549</v>
      </c>
      <c r="G92" s="585">
        <f t="shared" si="22"/>
        <v>1082839247.8497701</v>
      </c>
      <c r="H92" s="585"/>
    </row>
    <row r="93" spans="1:8" x14ac:dyDescent="0.25">
      <c r="A93" s="611" t="s">
        <v>1691</v>
      </c>
      <c r="B93" s="593">
        <f>SUM(B90:B91)</f>
        <v>4556636707</v>
      </c>
      <c r="C93" s="593">
        <f>SUM(C90:C92)</f>
        <v>4783468642.1579237</v>
      </c>
      <c r="D93" s="593">
        <f t="shared" ref="D93:G93" si="23">SUM(D90:D92)</f>
        <v>4950532265.0395098</v>
      </c>
      <c r="E93" s="593">
        <f t="shared" si="23"/>
        <v>5142811778.2881403</v>
      </c>
      <c r="F93" s="593">
        <f t="shared" si="23"/>
        <v>5350178459.8549004</v>
      </c>
      <c r="G93" s="593">
        <f t="shared" si="23"/>
        <v>5570915954.8497696</v>
      </c>
      <c r="H93" s="594">
        <f>+G93</f>
        <v>5570915954.8497696</v>
      </c>
    </row>
    <row r="94" spans="1:8" x14ac:dyDescent="0.25">
      <c r="A94" s="589"/>
      <c r="B94" s="589"/>
      <c r="C94" s="589"/>
      <c r="D94" s="584">
        <f>+D93-C93</f>
        <v>167063622.88158607</v>
      </c>
      <c r="E94" s="584">
        <f t="shared" ref="E94:G94" si="24">+E93-D93</f>
        <v>192279513.24863052</v>
      </c>
      <c r="F94" s="584">
        <f t="shared" si="24"/>
        <v>207366681.56676006</v>
      </c>
      <c r="G94" s="584">
        <f t="shared" si="24"/>
        <v>220737494.99486923</v>
      </c>
      <c r="H94" s="585"/>
    </row>
    <row r="95" spans="1:8" x14ac:dyDescent="0.25">
      <c r="A95" s="589" t="s">
        <v>1692</v>
      </c>
      <c r="B95" s="589">
        <v>0</v>
      </c>
      <c r="C95" s="584">
        <f>+-C39</f>
        <v>127369602.41999999</v>
      </c>
      <c r="D95" s="584">
        <f>+-D39</f>
        <v>254739204.83999997</v>
      </c>
      <c r="E95" s="584">
        <f>+-E39</f>
        <v>382108807.25999999</v>
      </c>
      <c r="F95" s="584">
        <f>+-F39</f>
        <v>509478409.67999995</v>
      </c>
      <c r="G95" s="584">
        <f>+-G39</f>
        <v>636848012.0999999</v>
      </c>
      <c r="H95" s="585"/>
    </row>
    <row r="96" spans="1:8" x14ac:dyDescent="0.25">
      <c r="A96" s="589" t="s">
        <v>1693</v>
      </c>
      <c r="B96" s="589">
        <v>0</v>
      </c>
      <c r="C96" s="584">
        <f>+C12</f>
        <v>0</v>
      </c>
      <c r="D96" s="584">
        <f>+C96+D12</f>
        <v>0</v>
      </c>
      <c r="E96" s="584">
        <f>+D96+E12</f>
        <v>0</v>
      </c>
      <c r="F96" s="584">
        <f>+E96+F12</f>
        <v>0</v>
      </c>
      <c r="G96" s="584">
        <f>+F96+G12</f>
        <v>0</v>
      </c>
      <c r="H96" s="585"/>
    </row>
    <row r="97" spans="1:9" x14ac:dyDescent="0.25">
      <c r="A97" s="611" t="s">
        <v>1694</v>
      </c>
      <c r="B97" s="593">
        <f>+B93-B95-B96</f>
        <v>4556636707</v>
      </c>
      <c r="C97" s="593">
        <f>+C93-C95-C96</f>
        <v>4656099039.7379236</v>
      </c>
      <c r="D97" s="593">
        <f t="shared" ref="D97:F97" si="25">+D93-D95-D96</f>
        <v>4695793060.1995096</v>
      </c>
      <c r="E97" s="593">
        <f t="shared" si="25"/>
        <v>4760702971.0281401</v>
      </c>
      <c r="F97" s="593">
        <f t="shared" si="25"/>
        <v>4840700050.1749001</v>
      </c>
      <c r="G97" s="593">
        <f>+G93-G95-G96</f>
        <v>4934067942.7497692</v>
      </c>
      <c r="H97" s="594"/>
    </row>
    <row r="98" spans="1:9" x14ac:dyDescent="0.25">
      <c r="A98" s="589"/>
      <c r="B98" s="589"/>
      <c r="C98" s="589"/>
      <c r="D98" s="589"/>
      <c r="E98" s="589"/>
      <c r="F98" s="589"/>
      <c r="G98" s="589"/>
      <c r="H98" s="601"/>
    </row>
    <row r="99" spans="1:9" x14ac:dyDescent="0.25">
      <c r="A99" s="611" t="s">
        <v>1695</v>
      </c>
      <c r="B99" s="593">
        <f>+B87+B93</f>
        <v>4606636707</v>
      </c>
      <c r="C99" s="593">
        <f>+C87+C93</f>
        <v>5436768912.524539</v>
      </c>
      <c r="D99" s="593">
        <f t="shared" ref="D99:G99" si="26">+D87+D93</f>
        <v>6452204349.6017818</v>
      </c>
      <c r="E99" s="593">
        <f t="shared" si="26"/>
        <v>7623861349.6581783</v>
      </c>
      <c r="F99" s="593">
        <f t="shared" si="26"/>
        <v>9809461636.3336067</v>
      </c>
      <c r="G99" s="593">
        <f t="shared" si="26"/>
        <v>12181024574.296547</v>
      </c>
      <c r="H99" s="594"/>
    </row>
    <row r="100" spans="1:9" x14ac:dyDescent="0.25">
      <c r="A100" s="589"/>
      <c r="B100" s="589"/>
      <c r="C100" s="584">
        <f>+C99-B99</f>
        <v>830132205.52453899</v>
      </c>
      <c r="D100" s="584">
        <f>+D99-C99</f>
        <v>1015435437.0772429</v>
      </c>
      <c r="E100" s="584">
        <f t="shared" ref="E100:G100" si="27">+E99-D99</f>
        <v>1171657000.0563965</v>
      </c>
      <c r="F100" s="584">
        <f t="shared" si="27"/>
        <v>2185600286.6754284</v>
      </c>
      <c r="G100" s="584">
        <f t="shared" si="27"/>
        <v>2371562937.9629402</v>
      </c>
      <c r="H100" s="585"/>
    </row>
    <row r="101" spans="1:9" x14ac:dyDescent="0.25">
      <c r="A101" s="611" t="s">
        <v>1696</v>
      </c>
      <c r="B101" s="593">
        <f>+B87+B97</f>
        <v>4606636707</v>
      </c>
      <c r="C101" s="594">
        <f>+C87+C97</f>
        <v>5309399310.1045389</v>
      </c>
      <c r="D101" s="594">
        <f>+D87+D97</f>
        <v>6197465144.7617817</v>
      </c>
      <c r="E101" s="594">
        <f t="shared" ref="E101:G101" si="28">+E87+E97</f>
        <v>7241752542.3981781</v>
      </c>
      <c r="F101" s="594">
        <f t="shared" si="28"/>
        <v>9299983226.6536064</v>
      </c>
      <c r="G101" s="594">
        <f t="shared" si="28"/>
        <v>11544176562.196548</v>
      </c>
      <c r="H101" s="594"/>
    </row>
    <row r="102" spans="1:9" x14ac:dyDescent="0.25">
      <c r="A102" s="589"/>
      <c r="B102" s="589"/>
      <c r="C102" s="584">
        <f>+C101-B101</f>
        <v>702762603.10453892</v>
      </c>
      <c r="D102" s="584">
        <f>+D101-C101</f>
        <v>888065834.65724277</v>
      </c>
      <c r="E102" s="584">
        <f t="shared" ref="E102:G102" si="29">+E101-D101</f>
        <v>1044287397.6363964</v>
      </c>
      <c r="F102" s="584">
        <f t="shared" si="29"/>
        <v>2058230684.2554283</v>
      </c>
      <c r="G102" s="584">
        <f t="shared" si="29"/>
        <v>2244193335.542942</v>
      </c>
      <c r="H102" s="585"/>
    </row>
    <row r="105" spans="1:9" s="574" customFormat="1" ht="18.75" x14ac:dyDescent="0.3">
      <c r="A105" s="777" t="s">
        <v>1770</v>
      </c>
      <c r="B105" s="777"/>
      <c r="C105" s="777"/>
      <c r="D105" s="777"/>
      <c r="E105" s="777"/>
      <c r="F105" s="777"/>
      <c r="G105" s="777"/>
      <c r="H105" s="587"/>
      <c r="I105" s="587"/>
    </row>
    <row r="106" spans="1:9" s="645" customFormat="1" ht="18.75" x14ac:dyDescent="0.3">
      <c r="A106" s="597"/>
      <c r="B106" s="597"/>
      <c r="C106" s="597"/>
      <c r="D106" s="644"/>
      <c r="E106" s="644"/>
      <c r="F106" s="644"/>
      <c r="G106" s="644"/>
      <c r="H106" s="587"/>
      <c r="I106" s="587"/>
    </row>
    <row r="107" spans="1:9" x14ac:dyDescent="0.25">
      <c r="C107" s="578">
        <v>2022</v>
      </c>
      <c r="D107" s="578">
        <v>2023</v>
      </c>
      <c r="E107" s="578">
        <f>1+D107</f>
        <v>2024</v>
      </c>
      <c r="F107" s="578">
        <f>1+E107</f>
        <v>2025</v>
      </c>
      <c r="G107" s="578">
        <f>1+F107</f>
        <v>2026</v>
      </c>
    </row>
    <row r="108" spans="1:9" x14ac:dyDescent="0.25">
      <c r="C108">
        <v>1</v>
      </c>
      <c r="D108">
        <v>2</v>
      </c>
      <c r="E108">
        <v>3</v>
      </c>
      <c r="F108">
        <v>4</v>
      </c>
      <c r="G108">
        <v>5</v>
      </c>
    </row>
    <row r="110" spans="1:9" x14ac:dyDescent="0.25">
      <c r="A110" s="590" t="s">
        <v>1697</v>
      </c>
      <c r="C110" s="567">
        <f>+C14</f>
        <v>1591363773.2779882</v>
      </c>
      <c r="D110" s="567">
        <f>+D14</f>
        <v>1777923299.6019185</v>
      </c>
      <c r="E110" s="567">
        <f>+E14</f>
        <v>1935357948.6170127</v>
      </c>
      <c r="F110" s="567">
        <f>+F14</f>
        <v>2082717365.3047068</v>
      </c>
      <c r="G110" s="567">
        <f>+G14</f>
        <v>2270234460.1408229</v>
      </c>
    </row>
    <row r="111" spans="1:9" x14ac:dyDescent="0.25">
      <c r="A111" s="590" t="s">
        <v>1706</v>
      </c>
      <c r="C111" s="297">
        <f>+C22</f>
        <v>0.09</v>
      </c>
      <c r="D111" s="297">
        <f>+D22</f>
        <v>0.09</v>
      </c>
      <c r="E111" s="297">
        <f>+E22</f>
        <v>0.09</v>
      </c>
      <c r="F111" s="297">
        <f>+F22</f>
        <v>0.09</v>
      </c>
      <c r="G111" s="297">
        <f>+G22</f>
        <v>0.09</v>
      </c>
    </row>
    <row r="112" spans="1:9" x14ac:dyDescent="0.25">
      <c r="A112" s="590" t="s">
        <v>1698</v>
      </c>
      <c r="B112" s="119"/>
      <c r="C112" s="664">
        <f>+C110*(1-C111)</f>
        <v>1448141033.6829693</v>
      </c>
      <c r="D112" s="664">
        <f t="shared" ref="D112:G112" si="30">+D110*(1-D111)</f>
        <v>1617910202.6377459</v>
      </c>
      <c r="E112" s="664">
        <f t="shared" si="30"/>
        <v>1761175733.2414815</v>
      </c>
      <c r="F112" s="664">
        <f t="shared" si="30"/>
        <v>1895272802.4272833</v>
      </c>
      <c r="G112" s="664">
        <f t="shared" si="30"/>
        <v>2065913358.7281489</v>
      </c>
      <c r="I112" s="181" t="s">
        <v>1707</v>
      </c>
    </row>
    <row r="113" spans="1:9" x14ac:dyDescent="0.25">
      <c r="A113" s="590" t="s">
        <v>1727</v>
      </c>
      <c r="C113" s="567">
        <f>+C101</f>
        <v>5309399310.1045389</v>
      </c>
      <c r="D113" s="567">
        <f t="shared" ref="D113:G113" si="31">+D101</f>
        <v>6197465144.7617817</v>
      </c>
      <c r="E113" s="567">
        <f t="shared" si="31"/>
        <v>7241752542.3981781</v>
      </c>
      <c r="F113" s="567">
        <f t="shared" si="31"/>
        <v>9299983226.6536064</v>
      </c>
      <c r="G113" s="567">
        <f t="shared" si="31"/>
        <v>11544176562.196548</v>
      </c>
      <c r="H113" s="608">
        <f>+G113</f>
        <v>11544176562.196548</v>
      </c>
      <c r="I113" s="119" t="s">
        <v>1708</v>
      </c>
    </row>
    <row r="114" spans="1:9" x14ac:dyDescent="0.25">
      <c r="A114" s="590" t="s">
        <v>1779</v>
      </c>
      <c r="C114" s="567">
        <f>+D113-C113</f>
        <v>888065834.65724277</v>
      </c>
      <c r="D114" s="567">
        <f t="shared" ref="D114:G114" si="32">+E113-D113</f>
        <v>1044287397.6363964</v>
      </c>
      <c r="E114" s="567">
        <f t="shared" si="32"/>
        <v>2058230684.2554283</v>
      </c>
      <c r="F114" s="567">
        <f t="shared" si="32"/>
        <v>2244193335.542942</v>
      </c>
      <c r="G114" s="567">
        <f t="shared" si="32"/>
        <v>0</v>
      </c>
      <c r="I114" s="119" t="s">
        <v>1709</v>
      </c>
    </row>
    <row r="115" spans="1:9" x14ac:dyDescent="0.25">
      <c r="A115" s="590" t="s">
        <v>1710</v>
      </c>
      <c r="C115" s="567">
        <f>+D38-C38</f>
        <v>0</v>
      </c>
      <c r="D115" s="567">
        <f>+E38-D38</f>
        <v>0</v>
      </c>
      <c r="E115" s="567">
        <f>+F38-E38</f>
        <v>0</v>
      </c>
      <c r="F115" s="567">
        <f>+G38-F38</f>
        <v>0</v>
      </c>
      <c r="G115" s="567">
        <f>+H93-G93</f>
        <v>0</v>
      </c>
    </row>
    <row r="116" spans="1:9" x14ac:dyDescent="0.25">
      <c r="A116" s="590"/>
      <c r="C116" s="567"/>
      <c r="D116" s="567"/>
      <c r="E116" s="567"/>
      <c r="F116" s="567"/>
      <c r="G116" s="567"/>
    </row>
    <row r="117" spans="1:9" x14ac:dyDescent="0.25">
      <c r="A117" s="666" t="s">
        <v>1711</v>
      </c>
      <c r="B117" s="667">
        <f>+-B69</f>
        <v>-4606636707</v>
      </c>
      <c r="C117" s="667">
        <f>+C112-C114-C115</f>
        <v>560075199.02572656</v>
      </c>
      <c r="D117" s="667">
        <f>+D112-D114-D115</f>
        <v>573622805.00134945</v>
      </c>
      <c r="E117" s="667">
        <f>+E112-E114-E115</f>
        <v>-297054951.01394677</v>
      </c>
      <c r="F117" s="667">
        <f>+F112-F114-F115</f>
        <v>-348920533.11565876</v>
      </c>
      <c r="G117" s="667">
        <f>+G112-G114-G115</f>
        <v>2065913358.7281489</v>
      </c>
    </row>
    <row r="118" spans="1:9" x14ac:dyDescent="0.25">
      <c r="A118" s="590"/>
      <c r="B118" s="567"/>
      <c r="C118" s="567"/>
      <c r="D118" s="567"/>
      <c r="E118" s="567"/>
      <c r="F118" s="567"/>
      <c r="G118" s="567"/>
    </row>
    <row r="119" spans="1:9" x14ac:dyDescent="0.25">
      <c r="A119" s="590"/>
      <c r="B119" s="567"/>
      <c r="C119" s="567"/>
      <c r="D119" s="567"/>
      <c r="E119" s="567"/>
      <c r="F119" s="567"/>
      <c r="G119" s="567"/>
    </row>
    <row r="120" spans="1:9" x14ac:dyDescent="0.25">
      <c r="A120" s="590"/>
      <c r="B120" s="567"/>
      <c r="C120" s="567"/>
      <c r="D120" s="567"/>
      <c r="E120" s="567"/>
      <c r="F120" s="567"/>
      <c r="G120" s="567"/>
    </row>
    <row r="121" spans="1:9" x14ac:dyDescent="0.25">
      <c r="A121" s="666" t="s">
        <v>1780</v>
      </c>
      <c r="B121" s="567"/>
      <c r="C121" s="567"/>
      <c r="D121" s="567"/>
      <c r="E121" s="567"/>
      <c r="F121" s="567"/>
      <c r="G121" s="567"/>
    </row>
    <row r="122" spans="1:9" x14ac:dyDescent="0.25">
      <c r="A122" s="590"/>
      <c r="B122" s="567"/>
      <c r="C122" s="567"/>
      <c r="D122" s="567"/>
      <c r="E122" s="567"/>
      <c r="F122" s="567"/>
      <c r="G122" s="567"/>
    </row>
    <row r="123" spans="1:9" x14ac:dyDescent="0.25">
      <c r="A123" s="590" t="s">
        <v>1782</v>
      </c>
      <c r="B123" s="567">
        <f t="shared" ref="B123:G123" si="33">+B112</f>
        <v>0</v>
      </c>
      <c r="C123" s="567">
        <f t="shared" si="33"/>
        <v>1448141033.6829693</v>
      </c>
      <c r="D123" s="567">
        <f t="shared" si="33"/>
        <v>1617910202.6377459</v>
      </c>
      <c r="E123" s="567">
        <f t="shared" si="33"/>
        <v>1761175733.2414815</v>
      </c>
      <c r="F123" s="567">
        <f t="shared" si="33"/>
        <v>1895272802.4272833</v>
      </c>
      <c r="G123" s="567">
        <f t="shared" si="33"/>
        <v>2065913358.7281489</v>
      </c>
    </row>
    <row r="124" spans="1:9" x14ac:dyDescent="0.25">
      <c r="A124" s="590" t="s">
        <v>1781</v>
      </c>
      <c r="B124" s="567"/>
      <c r="C124" s="567">
        <f>+C114</f>
        <v>888065834.65724277</v>
      </c>
      <c r="D124" s="567">
        <f t="shared" ref="D124:G124" si="34">+D114</f>
        <v>1044287397.6363964</v>
      </c>
      <c r="E124" s="567">
        <f t="shared" si="34"/>
        <v>2058230684.2554283</v>
      </c>
      <c r="F124" s="567">
        <f t="shared" si="34"/>
        <v>2244193335.542942</v>
      </c>
      <c r="G124" s="567">
        <f t="shared" si="34"/>
        <v>0</v>
      </c>
    </row>
    <row r="125" spans="1:9" x14ac:dyDescent="0.25">
      <c r="A125" s="590" t="s">
        <v>1783</v>
      </c>
      <c r="B125" s="567"/>
      <c r="C125" s="567"/>
      <c r="D125" s="567"/>
      <c r="E125" s="567"/>
      <c r="F125" s="567"/>
      <c r="G125" s="567"/>
    </row>
    <row r="126" spans="1:9" x14ac:dyDescent="0.25">
      <c r="A126" s="665" t="s">
        <v>1784</v>
      </c>
      <c r="B126" s="567">
        <f>+B16</f>
        <v>0</v>
      </c>
      <c r="C126" s="567">
        <f>+C16</f>
        <v>338148660.04761285</v>
      </c>
      <c r="D126" s="567">
        <f t="shared" ref="D126:G126" si="35">+D16</f>
        <v>231774224.50745213</v>
      </c>
      <c r="E126" s="567">
        <f t="shared" si="35"/>
        <v>104236786.74575466</v>
      </c>
      <c r="F126" s="567">
        <f t="shared" si="35"/>
        <v>26542855.401956715</v>
      </c>
      <c r="G126" s="567">
        <f t="shared" si="35"/>
        <v>28283076.412987508</v>
      </c>
    </row>
    <row r="127" spans="1:9" x14ac:dyDescent="0.25">
      <c r="A127" s="665" t="s">
        <v>1787</v>
      </c>
      <c r="B127" s="567">
        <f>-C58+B58</f>
        <v>551705724.90229225</v>
      </c>
      <c r="C127" s="567">
        <f>-D58+C58</f>
        <v>659629389.99253941</v>
      </c>
      <c r="D127" s="567">
        <f t="shared" ref="D127:G127" si="36">-E58+D58</f>
        <v>788664885.10516834</v>
      </c>
      <c r="E127" s="567">
        <f t="shared" si="36"/>
        <v>0</v>
      </c>
      <c r="F127" s="567">
        <f t="shared" si="36"/>
        <v>0</v>
      </c>
      <c r="G127" s="567">
        <f t="shared" si="36"/>
        <v>0</v>
      </c>
    </row>
    <row r="128" spans="1:9" x14ac:dyDescent="0.25">
      <c r="A128" s="665" t="s">
        <v>1785</v>
      </c>
      <c r="B128" s="567"/>
      <c r="C128" s="567">
        <f>+C129-C126-C127</f>
        <v>-437702851.01442569</v>
      </c>
      <c r="D128" s="567">
        <f>+D129-D126-D127</f>
        <v>-446816304.61127102</v>
      </c>
      <c r="E128" s="567">
        <f>+E129-E126-E127</f>
        <v>-401291737.75970143</v>
      </c>
      <c r="F128" s="567">
        <f>+F129-F126-F127</f>
        <v>-375463388.5176155</v>
      </c>
      <c r="G128" s="567">
        <f>+G129-G126-G127</f>
        <v>2037630282.3151615</v>
      </c>
    </row>
    <row r="129" spans="1:9" x14ac:dyDescent="0.25">
      <c r="A129" s="669" t="s">
        <v>569</v>
      </c>
      <c r="B129" s="667"/>
      <c r="C129" s="667">
        <f>+C123-C124</f>
        <v>560075199.02572656</v>
      </c>
      <c r="D129" s="667">
        <f t="shared" ref="D129:G129" si="37">+D123-D124</f>
        <v>573622805.00134945</v>
      </c>
      <c r="E129" s="667">
        <f t="shared" si="37"/>
        <v>-297054951.01394677</v>
      </c>
      <c r="F129" s="667">
        <f t="shared" si="37"/>
        <v>-348920533.11565876</v>
      </c>
      <c r="G129" s="667">
        <f t="shared" si="37"/>
        <v>2065913358.7281489</v>
      </c>
    </row>
    <row r="130" spans="1:9" x14ac:dyDescent="0.25">
      <c r="A130" s="590"/>
      <c r="B130" s="567"/>
      <c r="C130" s="567"/>
      <c r="D130" s="567"/>
      <c r="E130" s="567"/>
      <c r="F130" s="567"/>
      <c r="G130" s="567"/>
    </row>
    <row r="131" spans="1:9" x14ac:dyDescent="0.25">
      <c r="A131" s="590"/>
      <c r="B131" s="567"/>
      <c r="C131" s="567"/>
      <c r="D131" s="567"/>
      <c r="E131" s="567"/>
      <c r="F131" s="567"/>
      <c r="G131" s="567"/>
    </row>
    <row r="132" spans="1:9" x14ac:dyDescent="0.25">
      <c r="A132" s="590" t="s">
        <v>1714</v>
      </c>
      <c r="C132" s="299">
        <f>+'Cálculo WACC'!$C$44</f>
        <v>0.10042549713538762</v>
      </c>
      <c r="D132" s="299">
        <f>+'Cálculo WACC'!$C$44</f>
        <v>0.10042549713538762</v>
      </c>
      <c r="E132" s="299">
        <f>+'Cálculo WACC'!$C$44</f>
        <v>0.10042549713538762</v>
      </c>
      <c r="F132" s="299">
        <f>+'Cálculo WACC'!$C$44</f>
        <v>0.10042549713538762</v>
      </c>
      <c r="G132" s="299">
        <f>+'Cálculo WACC'!$C$44</f>
        <v>0.10042549713538762</v>
      </c>
    </row>
    <row r="133" spans="1:9" x14ac:dyDescent="0.25">
      <c r="A133" s="590"/>
      <c r="C133" s="567"/>
      <c r="D133" s="567"/>
      <c r="E133" s="567"/>
      <c r="F133" s="567"/>
      <c r="G133" s="567"/>
    </row>
    <row r="134" spans="1:9" x14ac:dyDescent="0.25">
      <c r="A134" s="590" t="s">
        <v>1712</v>
      </c>
      <c r="C134" s="609">
        <f>1/(1+C132)^C108</f>
        <v>0.90873939453710062</v>
      </c>
      <c r="D134" s="609">
        <f>1/(1+D132)^D108</f>
        <v>0.82580728718365626</v>
      </c>
      <c r="E134" s="609">
        <f>1/(1+E132)^E108</f>
        <v>0.75044361415960137</v>
      </c>
      <c r="F134" s="609">
        <f>1/(1+F132)^F108</f>
        <v>0.68195767556562981</v>
      </c>
      <c r="G134" s="609">
        <f>1/(G132-0%)*F134</f>
        <v>6.7906825957381658</v>
      </c>
    </row>
    <row r="135" spans="1:9" x14ac:dyDescent="0.25">
      <c r="A135" s="590"/>
      <c r="C135" s="567"/>
      <c r="D135" s="567"/>
      <c r="E135" s="567"/>
      <c r="F135" s="567"/>
      <c r="G135" s="567"/>
      <c r="I135" s="668"/>
    </row>
    <row r="136" spans="1:9" x14ac:dyDescent="0.25">
      <c r="A136" s="590" t="s">
        <v>1713</v>
      </c>
      <c r="B136" s="567">
        <f>+B117</f>
        <v>-4606636707</v>
      </c>
      <c r="C136" s="610">
        <f>+C117*C134</f>
        <v>508962397.25788486</v>
      </c>
      <c r="D136" s="610">
        <f>+D117*D134</f>
        <v>473701892.46484381</v>
      </c>
      <c r="E136" s="610">
        <f>+E117*E134</f>
        <v>-222922991.04290956</v>
      </c>
      <c r="F136" s="610">
        <f>+F117*F134</f>
        <v>-237949035.72067502</v>
      </c>
      <c r="G136" s="610">
        <f>+G117*G134</f>
        <v>14028961889.418219</v>
      </c>
    </row>
    <row r="137" spans="1:9" ht="15.75" thickBot="1" x14ac:dyDescent="0.3"/>
    <row r="138" spans="1:9" x14ac:dyDescent="0.25">
      <c r="A138" s="616" t="s">
        <v>1771</v>
      </c>
      <c r="B138" s="617"/>
      <c r="C138" s="646">
        <f>+SUM(C136:G136)</f>
        <v>14550754152.377363</v>
      </c>
      <c r="D138" s="610"/>
    </row>
    <row r="139" spans="1:9" ht="15.75" thickBot="1" x14ac:dyDescent="0.3">
      <c r="A139" s="618" t="s">
        <v>1716</v>
      </c>
      <c r="B139" s="619"/>
      <c r="C139" s="620"/>
    </row>
    <row r="143" spans="1:9" ht="18.75" x14ac:dyDescent="0.3">
      <c r="A143" s="596" t="s">
        <v>1699</v>
      </c>
      <c r="B143" s="596"/>
      <c r="C143" s="596"/>
      <c r="D143" s="596"/>
      <c r="E143" s="596"/>
      <c r="F143" s="596"/>
      <c r="G143" s="596"/>
    </row>
    <row r="144" spans="1:9" s="119" customFormat="1" ht="18.75" x14ac:dyDescent="0.3">
      <c r="A144" s="597"/>
      <c r="B144" s="597"/>
      <c r="C144" s="597"/>
      <c r="D144" s="597"/>
      <c r="E144" s="597"/>
      <c r="F144" s="597"/>
      <c r="G144" s="597"/>
    </row>
    <row r="145" spans="1:9" x14ac:dyDescent="0.25">
      <c r="A145" s="590" t="s">
        <v>1699</v>
      </c>
      <c r="B145" s="592"/>
      <c r="C145" s="578">
        <v>2022</v>
      </c>
      <c r="D145" s="578">
        <v>2023</v>
      </c>
      <c r="E145" s="578">
        <f>1+D145</f>
        <v>2024</v>
      </c>
      <c r="F145" s="578">
        <f t="shared" ref="F145:G145" si="38">1+E145</f>
        <v>2025</v>
      </c>
      <c r="G145" s="578">
        <f t="shared" si="38"/>
        <v>2026</v>
      </c>
    </row>
    <row r="146" spans="1:9" x14ac:dyDescent="0.25">
      <c r="A146" s="591"/>
      <c r="B146" s="592"/>
      <c r="C146">
        <v>1</v>
      </c>
      <c r="D146">
        <v>2</v>
      </c>
      <c r="E146">
        <v>3</v>
      </c>
      <c r="F146">
        <v>4</v>
      </c>
      <c r="G146">
        <v>5</v>
      </c>
    </row>
    <row r="147" spans="1:9" x14ac:dyDescent="0.25">
      <c r="A147" s="591"/>
      <c r="B147" s="592"/>
    </row>
    <row r="148" spans="1:9" x14ac:dyDescent="0.25">
      <c r="A148" s="621" t="s">
        <v>1700</v>
      </c>
      <c r="B148" s="598"/>
      <c r="C148" s="584">
        <f>+C112</f>
        <v>1448141033.6829693</v>
      </c>
      <c r="D148" s="584">
        <f>+D112</f>
        <v>1617910202.6377459</v>
      </c>
      <c r="E148" s="584">
        <f>+E112</f>
        <v>1761175733.2414815</v>
      </c>
      <c r="F148" s="584">
        <f>+F112</f>
        <v>1895272802.4272833</v>
      </c>
      <c r="G148" s="584">
        <f>+G112</f>
        <v>2065913358.7281489</v>
      </c>
      <c r="I148" s="576"/>
    </row>
    <row r="149" spans="1:9" x14ac:dyDescent="0.25">
      <c r="A149" s="621" t="s">
        <v>876</v>
      </c>
      <c r="B149" s="598"/>
      <c r="C149" s="584">
        <f>+C101</f>
        <v>5309399310.1045389</v>
      </c>
      <c r="D149" s="584">
        <f>+D101</f>
        <v>6197465144.7617817</v>
      </c>
      <c r="E149" s="584">
        <f>+E101</f>
        <v>7241752542.3981781</v>
      </c>
      <c r="F149" s="584">
        <f>+F101</f>
        <v>9299983226.6536064</v>
      </c>
      <c r="G149" s="584">
        <f>+G101</f>
        <v>11544176562.196548</v>
      </c>
      <c r="I149" s="576"/>
    </row>
    <row r="150" spans="1:9" x14ac:dyDescent="0.25">
      <c r="A150" s="623" t="s">
        <v>1701</v>
      </c>
      <c r="B150" s="599"/>
      <c r="C150" s="624">
        <f>+C148/C149</f>
        <v>0.27275044672698695</v>
      </c>
      <c r="D150" s="624">
        <f t="shared" ref="D150:G150" si="39">+D148/D149</f>
        <v>0.26105999224622267</v>
      </c>
      <c r="E150" s="624">
        <f t="shared" si="39"/>
        <v>0.2431974474314543</v>
      </c>
      <c r="F150" s="624">
        <f t="shared" si="39"/>
        <v>0.20379314201292978</v>
      </c>
      <c r="G150" s="624">
        <f t="shared" si="39"/>
        <v>0.17895718656048179</v>
      </c>
      <c r="I150" s="579"/>
    </row>
    <row r="151" spans="1:9" x14ac:dyDescent="0.25">
      <c r="A151" s="621" t="s">
        <v>1702</v>
      </c>
      <c r="B151" s="598"/>
      <c r="C151" s="595">
        <f>(C99-B99)/C148</f>
        <v>0.57323988908270496</v>
      </c>
      <c r="D151" s="595">
        <f>(D99-C99)/D148</f>
        <v>0.62762162907541874</v>
      </c>
      <c r="E151" s="595">
        <f>(E99-D99)/E148</f>
        <v>0.66526978423665695</v>
      </c>
      <c r="F151" s="595">
        <f>(F99-E99)/F148</f>
        <v>1.1531850633198142</v>
      </c>
      <c r="G151" s="595">
        <f>(G99-F99)/G148</f>
        <v>1.1479488856313704</v>
      </c>
      <c r="I151" s="581"/>
    </row>
    <row r="152" spans="1:9" x14ac:dyDescent="0.25">
      <c r="A152" s="621" t="s">
        <v>1703</v>
      </c>
      <c r="B152" s="598"/>
      <c r="C152" s="600">
        <f>+C150*C151</f>
        <v>0.15635143582903624</v>
      </c>
      <c r="D152" s="600">
        <f>+D150*D151</f>
        <v>0.16384689761999047</v>
      </c>
      <c r="E152" s="600">
        <f t="shared" ref="E152:G152" si="40">+E150*E151</f>
        <v>0.16179191337962931</v>
      </c>
      <c r="F152" s="600">
        <f t="shared" si="40"/>
        <v>0.2350112073763243</v>
      </c>
      <c r="G152" s="600">
        <f t="shared" si="40"/>
        <v>0.20543370288783033</v>
      </c>
      <c r="I152" s="582"/>
    </row>
    <row r="153" spans="1:9" x14ac:dyDescent="0.25">
      <c r="A153" s="623" t="s">
        <v>1304</v>
      </c>
      <c r="B153" s="599"/>
      <c r="C153" s="625">
        <f>+'Cálculo WACC'!$C$44</f>
        <v>0.10042549713538762</v>
      </c>
      <c r="D153" s="625">
        <f>+'Cálculo WACC'!$C$44</f>
        <v>0.10042549713538762</v>
      </c>
      <c r="E153" s="625">
        <f>+'Cálculo WACC'!$C$44</f>
        <v>0.10042549713538762</v>
      </c>
      <c r="F153" s="625">
        <f>+'Cálculo WACC'!$C$44</f>
        <v>0.10042549713538762</v>
      </c>
      <c r="G153" s="625">
        <f>+'Cálculo WACC'!$C$44</f>
        <v>0.10042549713538762</v>
      </c>
      <c r="I153" s="582"/>
    </row>
    <row r="154" spans="1:9" x14ac:dyDescent="0.25">
      <c r="A154" s="10"/>
      <c r="I154" s="582"/>
    </row>
    <row r="155" spans="1:9" x14ac:dyDescent="0.25">
      <c r="A155" s="622" t="s">
        <v>1704</v>
      </c>
      <c r="C155" s="584">
        <f>+C149*(C150-C153)</f>
        <v>914941968.47543693</v>
      </c>
      <c r="D155" s="584">
        <f t="shared" ref="D155:G155" si="41">+D149*(D150-D153)</f>
        <v>995526684.49580705</v>
      </c>
      <c r="E155" s="584">
        <f t="shared" si="41"/>
        <v>1033919134.0396872</v>
      </c>
      <c r="F155" s="584">
        <f t="shared" si="41"/>
        <v>961317363.53982866</v>
      </c>
      <c r="G155" s="584">
        <f t="shared" si="41"/>
        <v>906583688.45087063</v>
      </c>
      <c r="I155" s="582"/>
    </row>
    <row r="156" spans="1:9" x14ac:dyDescent="0.25">
      <c r="A156" s="590" t="s">
        <v>1712</v>
      </c>
      <c r="C156" s="609">
        <f>1/(1+C153)^C146</f>
        <v>0.90873939453710062</v>
      </c>
      <c r="D156" s="609">
        <f>1/(1+D153)^D146</f>
        <v>0.82580728718365626</v>
      </c>
      <c r="E156" s="609">
        <f t="shared" ref="E156:F156" si="42">1/(1+E153)^E146</f>
        <v>0.75044361415960137</v>
      </c>
      <c r="F156" s="609">
        <f t="shared" si="42"/>
        <v>0.68195767556562981</v>
      </c>
      <c r="G156" s="609">
        <f>1/(G153-0%)*F156</f>
        <v>6.7906825957381658</v>
      </c>
      <c r="I156" s="582"/>
    </row>
    <row r="157" spans="1:9" x14ac:dyDescent="0.25">
      <c r="I157" s="581"/>
    </row>
    <row r="158" spans="1:9" x14ac:dyDescent="0.25">
      <c r="A158" s="626" t="s">
        <v>1717</v>
      </c>
      <c r="B158" s="648">
        <f>+B136</f>
        <v>-4606636707</v>
      </c>
      <c r="C158" s="627">
        <f>+C155*C156</f>
        <v>831443810.46895158</v>
      </c>
      <c r="D158" s="627">
        <f t="shared" ref="D158:E158" si="43">+D155*D156</f>
        <v>822113190.64242208</v>
      </c>
      <c r="E158" s="627">
        <f t="shared" si="43"/>
        <v>775898011.69750822</v>
      </c>
      <c r="F158" s="627">
        <f>+F155*F156</f>
        <v>655577754.72050107</v>
      </c>
      <c r="G158" s="627">
        <f>+G155*G156</f>
        <v>6156322074.7434387</v>
      </c>
      <c r="I158" s="181" t="s">
        <v>1718</v>
      </c>
    </row>
    <row r="159" spans="1:9" x14ac:dyDescent="0.25">
      <c r="I159" s="582"/>
    </row>
    <row r="160" spans="1:9" x14ac:dyDescent="0.25">
      <c r="A160" s="3" t="s">
        <v>1720</v>
      </c>
      <c r="C160" s="628">
        <f>+SUM(C158:G158)</f>
        <v>9241354842.2728214</v>
      </c>
      <c r="I160" s="582"/>
    </row>
    <row r="161" spans="1:9" x14ac:dyDescent="0.25">
      <c r="A161" s="3" t="s">
        <v>1719</v>
      </c>
      <c r="C161" s="629">
        <f>+C149</f>
        <v>5309399310.1045389</v>
      </c>
      <c r="I161" s="583"/>
    </row>
    <row r="162" spans="1:9" ht="15.75" thickBot="1" x14ac:dyDescent="0.3">
      <c r="I162" s="585"/>
    </row>
    <row r="163" spans="1:9" ht="15.75" thickBot="1" x14ac:dyDescent="0.3">
      <c r="A163" s="642" t="s">
        <v>1778</v>
      </c>
      <c r="B163" s="643"/>
      <c r="C163" s="647">
        <f>+C160+C161</f>
        <v>14550754152.377361</v>
      </c>
      <c r="I163" s="585"/>
    </row>
    <row r="164" spans="1:9" ht="15.75" thickBot="1" x14ac:dyDescent="0.3">
      <c r="I164" s="586"/>
    </row>
    <row r="165" spans="1:9" ht="15.75" thickBot="1" x14ac:dyDescent="0.3">
      <c r="A165" s="657" t="s">
        <v>1772</v>
      </c>
      <c r="I165" s="582"/>
    </row>
    <row r="166" spans="1:9" x14ac:dyDescent="0.25">
      <c r="A166" s="658" t="s">
        <v>1656</v>
      </c>
      <c r="B166" s="659">
        <v>0</v>
      </c>
      <c r="E166" s="670"/>
      <c r="F166" s="657" t="s">
        <v>1489</v>
      </c>
      <c r="I166" s="582"/>
    </row>
    <row r="167" spans="1:9" x14ac:dyDescent="0.25">
      <c r="A167" s="658" t="s">
        <v>1773</v>
      </c>
      <c r="B167" s="660">
        <v>0</v>
      </c>
      <c r="E167" s="671"/>
      <c r="F167" s="675"/>
      <c r="I167" s="582"/>
    </row>
    <row r="168" spans="1:9" x14ac:dyDescent="0.25">
      <c r="A168" s="658" t="s">
        <v>1774</v>
      </c>
      <c r="B168" s="660">
        <v>0</v>
      </c>
      <c r="E168" s="679" t="s">
        <v>1788</v>
      </c>
      <c r="F168" s="677">
        <f>+B58</f>
        <v>2000000000</v>
      </c>
      <c r="I168" s="582"/>
    </row>
    <row r="169" spans="1:9" ht="15.75" thickBot="1" x14ac:dyDescent="0.3">
      <c r="A169" s="658" t="s">
        <v>1775</v>
      </c>
      <c r="B169" s="660">
        <f>+B58</f>
        <v>2000000000</v>
      </c>
      <c r="E169" s="671"/>
      <c r="F169" s="662"/>
      <c r="I169" s="582"/>
    </row>
    <row r="170" spans="1:9" x14ac:dyDescent="0.25">
      <c r="A170" s="658" t="s">
        <v>1776</v>
      </c>
      <c r="B170" s="660">
        <v>0</v>
      </c>
      <c r="E170" s="676">
        <f>+C163</f>
        <v>14550754152.377361</v>
      </c>
      <c r="F170" s="674"/>
      <c r="I170" s="582"/>
    </row>
    <row r="171" spans="1:9" x14ac:dyDescent="0.25">
      <c r="A171" s="658" t="s">
        <v>1775</v>
      </c>
      <c r="B171" s="660">
        <v>0</v>
      </c>
      <c r="E171" s="671"/>
      <c r="F171" s="680" t="s">
        <v>1789</v>
      </c>
      <c r="I171" s="582"/>
    </row>
    <row r="172" spans="1:9" ht="15.75" thickBot="1" x14ac:dyDescent="0.3">
      <c r="A172" s="661"/>
      <c r="B172" s="662"/>
      <c r="E172" s="671"/>
      <c r="F172" s="675"/>
      <c r="I172" s="582"/>
    </row>
    <row r="173" spans="1:9" ht="15.75" thickBot="1" x14ac:dyDescent="0.3">
      <c r="E173" s="671"/>
      <c r="F173" s="677">
        <f>+E170-F168</f>
        <v>12550754152.377361</v>
      </c>
      <c r="I173" s="582"/>
    </row>
    <row r="174" spans="1:9" ht="15.75" thickBot="1" x14ac:dyDescent="0.3">
      <c r="A174" s="642" t="s">
        <v>1777</v>
      </c>
      <c r="B174" s="663">
        <f>+C163-B169</f>
        <v>12550754152.377361</v>
      </c>
      <c r="E174" s="671"/>
      <c r="F174" s="675"/>
      <c r="I174" s="582"/>
    </row>
    <row r="175" spans="1:9" ht="15.75" thickBot="1" x14ac:dyDescent="0.3">
      <c r="E175" s="673"/>
      <c r="F175" s="662"/>
      <c r="I175" s="582"/>
    </row>
    <row r="176" spans="1:9" x14ac:dyDescent="0.25">
      <c r="I176" s="582"/>
    </row>
    <row r="177" spans="3:9" ht="15.75" thickBot="1" x14ac:dyDescent="0.3">
      <c r="I177" s="582"/>
    </row>
    <row r="178" spans="3:9" x14ac:dyDescent="0.25">
      <c r="D178" s="681" t="s">
        <v>1675</v>
      </c>
      <c r="E178" s="682">
        <f>+C149</f>
        <v>5309399310.1045389</v>
      </c>
      <c r="F178" s="683">
        <f>+E178/$E$182</f>
        <v>0.36488825627206872</v>
      </c>
      <c r="I178" s="582"/>
    </row>
    <row r="179" spans="3:9" x14ac:dyDescent="0.25">
      <c r="D179" s="678" t="s">
        <v>1790</v>
      </c>
      <c r="E179" s="206">
        <f>+SUM(C158:F158)</f>
        <v>3085032767.5293827</v>
      </c>
      <c r="F179" s="684">
        <f t="shared" ref="F179:F180" si="44">+E179/$E$182</f>
        <v>0.21201875416370344</v>
      </c>
      <c r="I179" s="582"/>
    </row>
    <row r="180" spans="3:9" x14ac:dyDescent="0.25">
      <c r="D180" s="678" t="s">
        <v>1791</v>
      </c>
      <c r="E180" s="685">
        <f>+G158</f>
        <v>6156322074.7434387</v>
      </c>
      <c r="F180" s="684">
        <f t="shared" si="44"/>
        <v>0.42309298956422775</v>
      </c>
      <c r="I180" s="582"/>
    </row>
    <row r="181" spans="3:9" x14ac:dyDescent="0.25">
      <c r="D181" s="678"/>
      <c r="E181" s="10"/>
      <c r="F181" s="672"/>
      <c r="I181" s="582"/>
    </row>
    <row r="182" spans="3:9" ht="15.75" thickBot="1" x14ac:dyDescent="0.3">
      <c r="D182" s="686" t="s">
        <v>1786</v>
      </c>
      <c r="E182" s="687">
        <f>+SUM(E178:E180)</f>
        <v>14550754152.377361</v>
      </c>
      <c r="F182" s="688">
        <f>+SUM(F178:F180)</f>
        <v>1</v>
      </c>
      <c r="I182" s="582"/>
    </row>
    <row r="183" spans="3:9" x14ac:dyDescent="0.25">
      <c r="I183" s="582"/>
    </row>
    <row r="184" spans="3:9" x14ac:dyDescent="0.25">
      <c r="I184" s="582"/>
    </row>
    <row r="185" spans="3:9" x14ac:dyDescent="0.25">
      <c r="I185" s="582"/>
    </row>
    <row r="186" spans="3:9" x14ac:dyDescent="0.25">
      <c r="I186" s="582"/>
    </row>
    <row r="187" spans="3:9" x14ac:dyDescent="0.25">
      <c r="C187" s="181" t="s">
        <v>1728</v>
      </c>
      <c r="I187" s="582"/>
    </row>
    <row r="188" spans="3:9" x14ac:dyDescent="0.25">
      <c r="I188" s="582"/>
    </row>
    <row r="189" spans="3:9" x14ac:dyDescent="0.25">
      <c r="C189" s="181" t="s">
        <v>1707</v>
      </c>
      <c r="I189" s="582"/>
    </row>
    <row r="190" spans="3:9" x14ac:dyDescent="0.25">
      <c r="I190" s="583"/>
    </row>
    <row r="191" spans="3:9" x14ac:dyDescent="0.25">
      <c r="C191" s="181" t="s">
        <v>1718</v>
      </c>
      <c r="I191" s="582"/>
    </row>
    <row r="192" spans="3:9" x14ac:dyDescent="0.25">
      <c r="I192" s="582"/>
    </row>
    <row r="193" spans="1:9" x14ac:dyDescent="0.25">
      <c r="C193" s="181" t="s">
        <v>1728</v>
      </c>
      <c r="I193" s="582"/>
    </row>
    <row r="194" spans="1:9" x14ac:dyDescent="0.25">
      <c r="I194" s="583"/>
    </row>
    <row r="195" spans="1:9" x14ac:dyDescent="0.25">
      <c r="I195" s="586"/>
    </row>
    <row r="196" spans="1:9" x14ac:dyDescent="0.25">
      <c r="I196" s="583"/>
    </row>
    <row r="197" spans="1:9" x14ac:dyDescent="0.25">
      <c r="I197" s="585"/>
    </row>
    <row r="198" spans="1:9" x14ac:dyDescent="0.25">
      <c r="I198" s="583"/>
    </row>
    <row r="199" spans="1:9" x14ac:dyDescent="0.25">
      <c r="I199" s="585"/>
    </row>
    <row r="201" spans="1:9" x14ac:dyDescent="0.25">
      <c r="A201" s="602" t="s">
        <v>1705</v>
      </c>
      <c r="B201" s="602"/>
      <c r="C201" s="588"/>
      <c r="D201" s="580"/>
      <c r="E201" s="580"/>
      <c r="F201" s="580"/>
      <c r="G201" s="580"/>
      <c r="H201" s="581"/>
      <c r="I201" s="581"/>
    </row>
    <row r="202" spans="1:9" x14ac:dyDescent="0.25">
      <c r="A202" s="580" t="s">
        <v>1581</v>
      </c>
      <c r="B202" s="580"/>
      <c r="C202" s="588">
        <f>+C59</f>
        <v>0</v>
      </c>
      <c r="D202" s="580"/>
      <c r="E202" s="580"/>
      <c r="F202" s="580"/>
      <c r="G202" s="580"/>
      <c r="H202" s="581"/>
      <c r="I202" s="581"/>
    </row>
  </sheetData>
  <mergeCells count="8">
    <mergeCell ref="A74:G74"/>
    <mergeCell ref="A105:G105"/>
    <mergeCell ref="A2:G2"/>
    <mergeCell ref="A3:G3"/>
    <mergeCell ref="A4:G4"/>
    <mergeCell ref="A25:G25"/>
    <mergeCell ref="A26:G26"/>
    <mergeCell ref="A27:G27"/>
  </mergeCells>
  <hyperlinks>
    <hyperlink ref="I112" r:id="rId1"/>
    <hyperlink ref="I158" r:id="rId2"/>
    <hyperlink ref="C189" r:id="rId3"/>
    <hyperlink ref="C191" r:id="rId4"/>
    <hyperlink ref="C193" r:id="rId5"/>
    <hyperlink ref="C187" r:id="rId6"/>
  </hyperlinks>
  <pageMargins left="0.7" right="0.7" top="0.75" bottom="0.75" header="0.3" footer="0.3"/>
  <legacyDrawing r:id="rId7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CDC14"/>
  </sheetPr>
  <dimension ref="A1:AA68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N1"/>
    </sheetView>
  </sheetViews>
  <sheetFormatPr baseColWidth="10" defaultRowHeight="12.75" x14ac:dyDescent="0.2"/>
  <cols>
    <col min="1" max="1" width="37.140625" style="445" bestFit="1" customWidth="1"/>
    <col min="2" max="2" width="11.42578125" style="446" bestFit="1" customWidth="1"/>
    <col min="3" max="3" width="6.28515625" style="446" bestFit="1" customWidth="1"/>
    <col min="4" max="4" width="11.42578125" style="455" bestFit="1" customWidth="1"/>
    <col min="5" max="5" width="8" style="445" bestFit="1" customWidth="1"/>
    <col min="6" max="6" width="11" style="505" bestFit="1" customWidth="1"/>
    <col min="7" max="7" width="6.28515625" style="445" customWidth="1"/>
    <col min="8" max="8" width="11.42578125" style="445" bestFit="1" customWidth="1"/>
    <col min="9" max="9" width="6.28515625" style="445" customWidth="1"/>
    <col min="10" max="10" width="12.42578125" style="445" bestFit="1" customWidth="1"/>
    <col min="11" max="11" width="6.28515625" style="445" customWidth="1"/>
    <col min="12" max="12" width="6.28515625" style="455" customWidth="1"/>
    <col min="13" max="13" width="8.42578125" style="446" bestFit="1" customWidth="1"/>
    <col min="14" max="14" width="8.42578125" style="163" bestFit="1" customWidth="1"/>
    <col min="15" max="16" width="8.42578125" style="445" bestFit="1" customWidth="1"/>
    <col min="17" max="17" width="19.42578125" style="446" customWidth="1"/>
    <col min="18" max="18" width="11" style="446" bestFit="1" customWidth="1"/>
    <col min="19" max="19" width="16.85546875" style="446" bestFit="1" customWidth="1"/>
    <col min="20" max="20" width="11" style="446" bestFit="1" customWidth="1"/>
    <col min="21" max="21" width="12.5703125" style="445" bestFit="1" customWidth="1"/>
    <col min="22" max="22" width="11.42578125" style="445"/>
    <col min="23" max="23" width="12.5703125" style="445" bestFit="1" customWidth="1"/>
    <col min="24" max="24" width="11.42578125" style="445"/>
    <col min="25" max="25" width="12.5703125" style="445" bestFit="1" customWidth="1"/>
    <col min="26" max="257" width="11.42578125" style="445"/>
    <col min="258" max="258" width="37.140625" style="445" bestFit="1" customWidth="1"/>
    <col min="259" max="259" width="11.42578125" style="445" bestFit="1" customWidth="1"/>
    <col min="260" max="260" width="6.28515625" style="445" bestFit="1" customWidth="1"/>
    <col min="261" max="261" width="11.42578125" style="445" bestFit="1" customWidth="1"/>
    <col min="262" max="262" width="8" style="445" bestFit="1" customWidth="1"/>
    <col min="263" max="263" width="11" style="445" bestFit="1" customWidth="1"/>
    <col min="264" max="264" width="6.28515625" style="445" customWidth="1"/>
    <col min="265" max="265" width="11.42578125" style="445" bestFit="1" customWidth="1"/>
    <col min="266" max="266" width="6.28515625" style="445" customWidth="1"/>
    <col min="267" max="267" width="12.42578125" style="445" bestFit="1" customWidth="1"/>
    <col min="268" max="268" width="6.28515625" style="445" customWidth="1"/>
    <col min="269" max="272" width="8.42578125" style="445" bestFit="1" customWidth="1"/>
    <col min="273" max="273" width="19.42578125" style="445" customWidth="1"/>
    <col min="274" max="274" width="11" style="445" bestFit="1" customWidth="1"/>
    <col min="275" max="275" width="13.85546875" style="445" bestFit="1" customWidth="1"/>
    <col min="276" max="276" width="11" style="445" bestFit="1" customWidth="1"/>
    <col min="277" max="277" width="12.5703125" style="445" bestFit="1" customWidth="1"/>
    <col min="278" max="278" width="11.42578125" style="445"/>
    <col min="279" max="279" width="12.5703125" style="445" bestFit="1" customWidth="1"/>
    <col min="280" max="280" width="11.42578125" style="445"/>
    <col min="281" max="281" width="12.5703125" style="445" bestFit="1" customWidth="1"/>
    <col min="282" max="513" width="11.42578125" style="445"/>
    <col min="514" max="514" width="37.140625" style="445" bestFit="1" customWidth="1"/>
    <col min="515" max="515" width="11.42578125" style="445" bestFit="1" customWidth="1"/>
    <col min="516" max="516" width="6.28515625" style="445" bestFit="1" customWidth="1"/>
    <col min="517" max="517" width="11.42578125" style="445" bestFit="1" customWidth="1"/>
    <col min="518" max="518" width="8" style="445" bestFit="1" customWidth="1"/>
    <col min="519" max="519" width="11" style="445" bestFit="1" customWidth="1"/>
    <col min="520" max="520" width="6.28515625" style="445" customWidth="1"/>
    <col min="521" max="521" width="11.42578125" style="445" bestFit="1" customWidth="1"/>
    <col min="522" max="522" width="6.28515625" style="445" customWidth="1"/>
    <col min="523" max="523" width="12.42578125" style="445" bestFit="1" customWidth="1"/>
    <col min="524" max="524" width="6.28515625" style="445" customWidth="1"/>
    <col min="525" max="528" width="8.42578125" style="445" bestFit="1" customWidth="1"/>
    <col min="529" max="529" width="19.42578125" style="445" customWidth="1"/>
    <col min="530" max="530" width="11" style="445" bestFit="1" customWidth="1"/>
    <col min="531" max="531" width="13.85546875" style="445" bestFit="1" customWidth="1"/>
    <col min="532" max="532" width="11" style="445" bestFit="1" customWidth="1"/>
    <col min="533" max="533" width="12.5703125" style="445" bestFit="1" customWidth="1"/>
    <col min="534" max="534" width="11.42578125" style="445"/>
    <col min="535" max="535" width="12.5703125" style="445" bestFit="1" customWidth="1"/>
    <col min="536" max="536" width="11.42578125" style="445"/>
    <col min="537" max="537" width="12.5703125" style="445" bestFit="1" customWidth="1"/>
    <col min="538" max="769" width="11.42578125" style="445"/>
    <col min="770" max="770" width="37.140625" style="445" bestFit="1" customWidth="1"/>
    <col min="771" max="771" width="11.42578125" style="445" bestFit="1" customWidth="1"/>
    <col min="772" max="772" width="6.28515625" style="445" bestFit="1" customWidth="1"/>
    <col min="773" max="773" width="11.42578125" style="445" bestFit="1" customWidth="1"/>
    <col min="774" max="774" width="8" style="445" bestFit="1" customWidth="1"/>
    <col min="775" max="775" width="11" style="445" bestFit="1" customWidth="1"/>
    <col min="776" max="776" width="6.28515625" style="445" customWidth="1"/>
    <col min="777" max="777" width="11.42578125" style="445" bestFit="1" customWidth="1"/>
    <col min="778" max="778" width="6.28515625" style="445" customWidth="1"/>
    <col min="779" max="779" width="12.42578125" style="445" bestFit="1" customWidth="1"/>
    <col min="780" max="780" width="6.28515625" style="445" customWidth="1"/>
    <col min="781" max="784" width="8.42578125" style="445" bestFit="1" customWidth="1"/>
    <col min="785" max="785" width="19.42578125" style="445" customWidth="1"/>
    <col min="786" max="786" width="11" style="445" bestFit="1" customWidth="1"/>
    <col min="787" max="787" width="13.85546875" style="445" bestFit="1" customWidth="1"/>
    <col min="788" max="788" width="11" style="445" bestFit="1" customWidth="1"/>
    <col min="789" max="789" width="12.5703125" style="445" bestFit="1" customWidth="1"/>
    <col min="790" max="790" width="11.42578125" style="445"/>
    <col min="791" max="791" width="12.5703125" style="445" bestFit="1" customWidth="1"/>
    <col min="792" max="792" width="11.42578125" style="445"/>
    <col min="793" max="793" width="12.5703125" style="445" bestFit="1" customWidth="1"/>
    <col min="794" max="1025" width="11.42578125" style="445"/>
    <col min="1026" max="1026" width="37.140625" style="445" bestFit="1" customWidth="1"/>
    <col min="1027" max="1027" width="11.42578125" style="445" bestFit="1" customWidth="1"/>
    <col min="1028" max="1028" width="6.28515625" style="445" bestFit="1" customWidth="1"/>
    <col min="1029" max="1029" width="11.42578125" style="445" bestFit="1" customWidth="1"/>
    <col min="1030" max="1030" width="8" style="445" bestFit="1" customWidth="1"/>
    <col min="1031" max="1031" width="11" style="445" bestFit="1" customWidth="1"/>
    <col min="1032" max="1032" width="6.28515625" style="445" customWidth="1"/>
    <col min="1033" max="1033" width="11.42578125" style="445" bestFit="1" customWidth="1"/>
    <col min="1034" max="1034" width="6.28515625" style="445" customWidth="1"/>
    <col min="1035" max="1035" width="12.42578125" style="445" bestFit="1" customWidth="1"/>
    <col min="1036" max="1036" width="6.28515625" style="445" customWidth="1"/>
    <col min="1037" max="1040" width="8.42578125" style="445" bestFit="1" customWidth="1"/>
    <col min="1041" max="1041" width="19.42578125" style="445" customWidth="1"/>
    <col min="1042" max="1042" width="11" style="445" bestFit="1" customWidth="1"/>
    <col min="1043" max="1043" width="13.85546875" style="445" bestFit="1" customWidth="1"/>
    <col min="1044" max="1044" width="11" style="445" bestFit="1" customWidth="1"/>
    <col min="1045" max="1045" width="12.5703125" style="445" bestFit="1" customWidth="1"/>
    <col min="1046" max="1046" width="11.42578125" style="445"/>
    <col min="1047" max="1047" width="12.5703125" style="445" bestFit="1" customWidth="1"/>
    <col min="1048" max="1048" width="11.42578125" style="445"/>
    <col min="1049" max="1049" width="12.5703125" style="445" bestFit="1" customWidth="1"/>
    <col min="1050" max="1281" width="11.42578125" style="445"/>
    <col min="1282" max="1282" width="37.140625" style="445" bestFit="1" customWidth="1"/>
    <col min="1283" max="1283" width="11.42578125" style="445" bestFit="1" customWidth="1"/>
    <col min="1284" max="1284" width="6.28515625" style="445" bestFit="1" customWidth="1"/>
    <col min="1285" max="1285" width="11.42578125" style="445" bestFit="1" customWidth="1"/>
    <col min="1286" max="1286" width="8" style="445" bestFit="1" customWidth="1"/>
    <col min="1287" max="1287" width="11" style="445" bestFit="1" customWidth="1"/>
    <col min="1288" max="1288" width="6.28515625" style="445" customWidth="1"/>
    <col min="1289" max="1289" width="11.42578125" style="445" bestFit="1" customWidth="1"/>
    <col min="1290" max="1290" width="6.28515625" style="445" customWidth="1"/>
    <col min="1291" max="1291" width="12.42578125" style="445" bestFit="1" customWidth="1"/>
    <col min="1292" max="1292" width="6.28515625" style="445" customWidth="1"/>
    <col min="1293" max="1296" width="8.42578125" style="445" bestFit="1" customWidth="1"/>
    <col min="1297" max="1297" width="19.42578125" style="445" customWidth="1"/>
    <col min="1298" max="1298" width="11" style="445" bestFit="1" customWidth="1"/>
    <col min="1299" max="1299" width="13.85546875" style="445" bestFit="1" customWidth="1"/>
    <col min="1300" max="1300" width="11" style="445" bestFit="1" customWidth="1"/>
    <col min="1301" max="1301" width="12.5703125" style="445" bestFit="1" customWidth="1"/>
    <col min="1302" max="1302" width="11.42578125" style="445"/>
    <col min="1303" max="1303" width="12.5703125" style="445" bestFit="1" customWidth="1"/>
    <col min="1304" max="1304" width="11.42578125" style="445"/>
    <col min="1305" max="1305" width="12.5703125" style="445" bestFit="1" customWidth="1"/>
    <col min="1306" max="1537" width="11.42578125" style="445"/>
    <col min="1538" max="1538" width="37.140625" style="445" bestFit="1" customWidth="1"/>
    <col min="1539" max="1539" width="11.42578125" style="445" bestFit="1" customWidth="1"/>
    <col min="1540" max="1540" width="6.28515625" style="445" bestFit="1" customWidth="1"/>
    <col min="1541" max="1541" width="11.42578125" style="445" bestFit="1" customWidth="1"/>
    <col min="1542" max="1542" width="8" style="445" bestFit="1" customWidth="1"/>
    <col min="1543" max="1543" width="11" style="445" bestFit="1" customWidth="1"/>
    <col min="1544" max="1544" width="6.28515625" style="445" customWidth="1"/>
    <col min="1545" max="1545" width="11.42578125" style="445" bestFit="1" customWidth="1"/>
    <col min="1546" max="1546" width="6.28515625" style="445" customWidth="1"/>
    <col min="1547" max="1547" width="12.42578125" style="445" bestFit="1" customWidth="1"/>
    <col min="1548" max="1548" width="6.28515625" style="445" customWidth="1"/>
    <col min="1549" max="1552" width="8.42578125" style="445" bestFit="1" customWidth="1"/>
    <col min="1553" max="1553" width="19.42578125" style="445" customWidth="1"/>
    <col min="1554" max="1554" width="11" style="445" bestFit="1" customWidth="1"/>
    <col min="1555" max="1555" width="13.85546875" style="445" bestFit="1" customWidth="1"/>
    <col min="1556" max="1556" width="11" style="445" bestFit="1" customWidth="1"/>
    <col min="1557" max="1557" width="12.5703125" style="445" bestFit="1" customWidth="1"/>
    <col min="1558" max="1558" width="11.42578125" style="445"/>
    <col min="1559" max="1559" width="12.5703125" style="445" bestFit="1" customWidth="1"/>
    <col min="1560" max="1560" width="11.42578125" style="445"/>
    <col min="1561" max="1561" width="12.5703125" style="445" bestFit="1" customWidth="1"/>
    <col min="1562" max="1793" width="11.42578125" style="445"/>
    <col min="1794" max="1794" width="37.140625" style="445" bestFit="1" customWidth="1"/>
    <col min="1795" max="1795" width="11.42578125" style="445" bestFit="1" customWidth="1"/>
    <col min="1796" max="1796" width="6.28515625" style="445" bestFit="1" customWidth="1"/>
    <col min="1797" max="1797" width="11.42578125" style="445" bestFit="1" customWidth="1"/>
    <col min="1798" max="1798" width="8" style="445" bestFit="1" customWidth="1"/>
    <col min="1799" max="1799" width="11" style="445" bestFit="1" customWidth="1"/>
    <col min="1800" max="1800" width="6.28515625" style="445" customWidth="1"/>
    <col min="1801" max="1801" width="11.42578125" style="445" bestFit="1" customWidth="1"/>
    <col min="1802" max="1802" width="6.28515625" style="445" customWidth="1"/>
    <col min="1803" max="1803" width="12.42578125" style="445" bestFit="1" customWidth="1"/>
    <col min="1804" max="1804" width="6.28515625" style="445" customWidth="1"/>
    <col min="1805" max="1808" width="8.42578125" style="445" bestFit="1" customWidth="1"/>
    <col min="1809" max="1809" width="19.42578125" style="445" customWidth="1"/>
    <col min="1810" max="1810" width="11" style="445" bestFit="1" customWidth="1"/>
    <col min="1811" max="1811" width="13.85546875" style="445" bestFit="1" customWidth="1"/>
    <col min="1812" max="1812" width="11" style="445" bestFit="1" customWidth="1"/>
    <col min="1813" max="1813" width="12.5703125" style="445" bestFit="1" customWidth="1"/>
    <col min="1814" max="1814" width="11.42578125" style="445"/>
    <col min="1815" max="1815" width="12.5703125" style="445" bestFit="1" customWidth="1"/>
    <col min="1816" max="1816" width="11.42578125" style="445"/>
    <col min="1817" max="1817" width="12.5703125" style="445" bestFit="1" customWidth="1"/>
    <col min="1818" max="2049" width="11.42578125" style="445"/>
    <col min="2050" max="2050" width="37.140625" style="445" bestFit="1" customWidth="1"/>
    <col min="2051" max="2051" width="11.42578125" style="445" bestFit="1" customWidth="1"/>
    <col min="2052" max="2052" width="6.28515625" style="445" bestFit="1" customWidth="1"/>
    <col min="2053" max="2053" width="11.42578125" style="445" bestFit="1" customWidth="1"/>
    <col min="2054" max="2054" width="8" style="445" bestFit="1" customWidth="1"/>
    <col min="2055" max="2055" width="11" style="445" bestFit="1" customWidth="1"/>
    <col min="2056" max="2056" width="6.28515625" style="445" customWidth="1"/>
    <col min="2057" max="2057" width="11.42578125" style="445" bestFit="1" customWidth="1"/>
    <col min="2058" max="2058" width="6.28515625" style="445" customWidth="1"/>
    <col min="2059" max="2059" width="12.42578125" style="445" bestFit="1" customWidth="1"/>
    <col min="2060" max="2060" width="6.28515625" style="445" customWidth="1"/>
    <col min="2061" max="2064" width="8.42578125" style="445" bestFit="1" customWidth="1"/>
    <col min="2065" max="2065" width="19.42578125" style="445" customWidth="1"/>
    <col min="2066" max="2066" width="11" style="445" bestFit="1" customWidth="1"/>
    <col min="2067" max="2067" width="13.85546875" style="445" bestFit="1" customWidth="1"/>
    <col min="2068" max="2068" width="11" style="445" bestFit="1" customWidth="1"/>
    <col min="2069" max="2069" width="12.5703125" style="445" bestFit="1" customWidth="1"/>
    <col min="2070" max="2070" width="11.42578125" style="445"/>
    <col min="2071" max="2071" width="12.5703125" style="445" bestFit="1" customWidth="1"/>
    <col min="2072" max="2072" width="11.42578125" style="445"/>
    <col min="2073" max="2073" width="12.5703125" style="445" bestFit="1" customWidth="1"/>
    <col min="2074" max="2305" width="11.42578125" style="445"/>
    <col min="2306" max="2306" width="37.140625" style="445" bestFit="1" customWidth="1"/>
    <col min="2307" max="2307" width="11.42578125" style="445" bestFit="1" customWidth="1"/>
    <col min="2308" max="2308" width="6.28515625" style="445" bestFit="1" customWidth="1"/>
    <col min="2309" max="2309" width="11.42578125" style="445" bestFit="1" customWidth="1"/>
    <col min="2310" max="2310" width="8" style="445" bestFit="1" customWidth="1"/>
    <col min="2311" max="2311" width="11" style="445" bestFit="1" customWidth="1"/>
    <col min="2312" max="2312" width="6.28515625" style="445" customWidth="1"/>
    <col min="2313" max="2313" width="11.42578125" style="445" bestFit="1" customWidth="1"/>
    <col min="2314" max="2314" width="6.28515625" style="445" customWidth="1"/>
    <col min="2315" max="2315" width="12.42578125" style="445" bestFit="1" customWidth="1"/>
    <col min="2316" max="2316" width="6.28515625" style="445" customWidth="1"/>
    <col min="2317" max="2320" width="8.42578125" style="445" bestFit="1" customWidth="1"/>
    <col min="2321" max="2321" width="19.42578125" style="445" customWidth="1"/>
    <col min="2322" max="2322" width="11" style="445" bestFit="1" customWidth="1"/>
    <col min="2323" max="2323" width="13.85546875" style="445" bestFit="1" customWidth="1"/>
    <col min="2324" max="2324" width="11" style="445" bestFit="1" customWidth="1"/>
    <col min="2325" max="2325" width="12.5703125" style="445" bestFit="1" customWidth="1"/>
    <col min="2326" max="2326" width="11.42578125" style="445"/>
    <col min="2327" max="2327" width="12.5703125" style="445" bestFit="1" customWidth="1"/>
    <col min="2328" max="2328" width="11.42578125" style="445"/>
    <col min="2329" max="2329" width="12.5703125" style="445" bestFit="1" customWidth="1"/>
    <col min="2330" max="2561" width="11.42578125" style="445"/>
    <col min="2562" max="2562" width="37.140625" style="445" bestFit="1" customWidth="1"/>
    <col min="2563" max="2563" width="11.42578125" style="445" bestFit="1" customWidth="1"/>
    <col min="2564" max="2564" width="6.28515625" style="445" bestFit="1" customWidth="1"/>
    <col min="2565" max="2565" width="11.42578125" style="445" bestFit="1" customWidth="1"/>
    <col min="2566" max="2566" width="8" style="445" bestFit="1" customWidth="1"/>
    <col min="2567" max="2567" width="11" style="445" bestFit="1" customWidth="1"/>
    <col min="2568" max="2568" width="6.28515625" style="445" customWidth="1"/>
    <col min="2569" max="2569" width="11.42578125" style="445" bestFit="1" customWidth="1"/>
    <col min="2570" max="2570" width="6.28515625" style="445" customWidth="1"/>
    <col min="2571" max="2571" width="12.42578125" style="445" bestFit="1" customWidth="1"/>
    <col min="2572" max="2572" width="6.28515625" style="445" customWidth="1"/>
    <col min="2573" max="2576" width="8.42578125" style="445" bestFit="1" customWidth="1"/>
    <col min="2577" max="2577" width="19.42578125" style="445" customWidth="1"/>
    <col min="2578" max="2578" width="11" style="445" bestFit="1" customWidth="1"/>
    <col min="2579" max="2579" width="13.85546875" style="445" bestFit="1" customWidth="1"/>
    <col min="2580" max="2580" width="11" style="445" bestFit="1" customWidth="1"/>
    <col min="2581" max="2581" width="12.5703125" style="445" bestFit="1" customWidth="1"/>
    <col min="2582" max="2582" width="11.42578125" style="445"/>
    <col min="2583" max="2583" width="12.5703125" style="445" bestFit="1" customWidth="1"/>
    <col min="2584" max="2584" width="11.42578125" style="445"/>
    <col min="2585" max="2585" width="12.5703125" style="445" bestFit="1" customWidth="1"/>
    <col min="2586" max="2817" width="11.42578125" style="445"/>
    <col min="2818" max="2818" width="37.140625" style="445" bestFit="1" customWidth="1"/>
    <col min="2819" max="2819" width="11.42578125" style="445" bestFit="1" customWidth="1"/>
    <col min="2820" max="2820" width="6.28515625" style="445" bestFit="1" customWidth="1"/>
    <col min="2821" max="2821" width="11.42578125" style="445" bestFit="1" customWidth="1"/>
    <col min="2822" max="2822" width="8" style="445" bestFit="1" customWidth="1"/>
    <col min="2823" max="2823" width="11" style="445" bestFit="1" customWidth="1"/>
    <col min="2824" max="2824" width="6.28515625" style="445" customWidth="1"/>
    <col min="2825" max="2825" width="11.42578125" style="445" bestFit="1" customWidth="1"/>
    <col min="2826" max="2826" width="6.28515625" style="445" customWidth="1"/>
    <col min="2827" max="2827" width="12.42578125" style="445" bestFit="1" customWidth="1"/>
    <col min="2828" max="2828" width="6.28515625" style="445" customWidth="1"/>
    <col min="2829" max="2832" width="8.42578125" style="445" bestFit="1" customWidth="1"/>
    <col min="2833" max="2833" width="19.42578125" style="445" customWidth="1"/>
    <col min="2834" max="2834" width="11" style="445" bestFit="1" customWidth="1"/>
    <col min="2835" max="2835" width="13.85546875" style="445" bestFit="1" customWidth="1"/>
    <col min="2836" max="2836" width="11" style="445" bestFit="1" customWidth="1"/>
    <col min="2837" max="2837" width="12.5703125" style="445" bestFit="1" customWidth="1"/>
    <col min="2838" max="2838" width="11.42578125" style="445"/>
    <col min="2839" max="2839" width="12.5703125" style="445" bestFit="1" customWidth="1"/>
    <col min="2840" max="2840" width="11.42578125" style="445"/>
    <col min="2841" max="2841" width="12.5703125" style="445" bestFit="1" customWidth="1"/>
    <col min="2842" max="3073" width="11.42578125" style="445"/>
    <col min="3074" max="3074" width="37.140625" style="445" bestFit="1" customWidth="1"/>
    <col min="3075" max="3075" width="11.42578125" style="445" bestFit="1" customWidth="1"/>
    <col min="3076" max="3076" width="6.28515625" style="445" bestFit="1" customWidth="1"/>
    <col min="3077" max="3077" width="11.42578125" style="445" bestFit="1" customWidth="1"/>
    <col min="3078" max="3078" width="8" style="445" bestFit="1" customWidth="1"/>
    <col min="3079" max="3079" width="11" style="445" bestFit="1" customWidth="1"/>
    <col min="3080" max="3080" width="6.28515625" style="445" customWidth="1"/>
    <col min="3081" max="3081" width="11.42578125" style="445" bestFit="1" customWidth="1"/>
    <col min="3082" max="3082" width="6.28515625" style="445" customWidth="1"/>
    <col min="3083" max="3083" width="12.42578125" style="445" bestFit="1" customWidth="1"/>
    <col min="3084" max="3084" width="6.28515625" style="445" customWidth="1"/>
    <col min="3085" max="3088" width="8.42578125" style="445" bestFit="1" customWidth="1"/>
    <col min="3089" max="3089" width="19.42578125" style="445" customWidth="1"/>
    <col min="3090" max="3090" width="11" style="445" bestFit="1" customWidth="1"/>
    <col min="3091" max="3091" width="13.85546875" style="445" bestFit="1" customWidth="1"/>
    <col min="3092" max="3092" width="11" style="445" bestFit="1" customWidth="1"/>
    <col min="3093" max="3093" width="12.5703125" style="445" bestFit="1" customWidth="1"/>
    <col min="3094" max="3094" width="11.42578125" style="445"/>
    <col min="3095" max="3095" width="12.5703125" style="445" bestFit="1" customWidth="1"/>
    <col min="3096" max="3096" width="11.42578125" style="445"/>
    <col min="3097" max="3097" width="12.5703125" style="445" bestFit="1" customWidth="1"/>
    <col min="3098" max="3329" width="11.42578125" style="445"/>
    <col min="3330" max="3330" width="37.140625" style="445" bestFit="1" customWidth="1"/>
    <col min="3331" max="3331" width="11.42578125" style="445" bestFit="1" customWidth="1"/>
    <col min="3332" max="3332" width="6.28515625" style="445" bestFit="1" customWidth="1"/>
    <col min="3333" max="3333" width="11.42578125" style="445" bestFit="1" customWidth="1"/>
    <col min="3334" max="3334" width="8" style="445" bestFit="1" customWidth="1"/>
    <col min="3335" max="3335" width="11" style="445" bestFit="1" customWidth="1"/>
    <col min="3336" max="3336" width="6.28515625" style="445" customWidth="1"/>
    <col min="3337" max="3337" width="11.42578125" style="445" bestFit="1" customWidth="1"/>
    <col min="3338" max="3338" width="6.28515625" style="445" customWidth="1"/>
    <col min="3339" max="3339" width="12.42578125" style="445" bestFit="1" customWidth="1"/>
    <col min="3340" max="3340" width="6.28515625" style="445" customWidth="1"/>
    <col min="3341" max="3344" width="8.42578125" style="445" bestFit="1" customWidth="1"/>
    <col min="3345" max="3345" width="19.42578125" style="445" customWidth="1"/>
    <col min="3346" max="3346" width="11" style="445" bestFit="1" customWidth="1"/>
    <col min="3347" max="3347" width="13.85546875" style="445" bestFit="1" customWidth="1"/>
    <col min="3348" max="3348" width="11" style="445" bestFit="1" customWidth="1"/>
    <col min="3349" max="3349" width="12.5703125" style="445" bestFit="1" customWidth="1"/>
    <col min="3350" max="3350" width="11.42578125" style="445"/>
    <col min="3351" max="3351" width="12.5703125" style="445" bestFit="1" customWidth="1"/>
    <col min="3352" max="3352" width="11.42578125" style="445"/>
    <col min="3353" max="3353" width="12.5703125" style="445" bestFit="1" customWidth="1"/>
    <col min="3354" max="3585" width="11.42578125" style="445"/>
    <col min="3586" max="3586" width="37.140625" style="445" bestFit="1" customWidth="1"/>
    <col min="3587" max="3587" width="11.42578125" style="445" bestFit="1" customWidth="1"/>
    <col min="3588" max="3588" width="6.28515625" style="445" bestFit="1" customWidth="1"/>
    <col min="3589" max="3589" width="11.42578125" style="445" bestFit="1" customWidth="1"/>
    <col min="3590" max="3590" width="8" style="445" bestFit="1" customWidth="1"/>
    <col min="3591" max="3591" width="11" style="445" bestFit="1" customWidth="1"/>
    <col min="3592" max="3592" width="6.28515625" style="445" customWidth="1"/>
    <col min="3593" max="3593" width="11.42578125" style="445" bestFit="1" customWidth="1"/>
    <col min="3594" max="3594" width="6.28515625" style="445" customWidth="1"/>
    <col min="3595" max="3595" width="12.42578125" style="445" bestFit="1" customWidth="1"/>
    <col min="3596" max="3596" width="6.28515625" style="445" customWidth="1"/>
    <col min="3597" max="3600" width="8.42578125" style="445" bestFit="1" customWidth="1"/>
    <col min="3601" max="3601" width="19.42578125" style="445" customWidth="1"/>
    <col min="3602" max="3602" width="11" style="445" bestFit="1" customWidth="1"/>
    <col min="3603" max="3603" width="13.85546875" style="445" bestFit="1" customWidth="1"/>
    <col min="3604" max="3604" width="11" style="445" bestFit="1" customWidth="1"/>
    <col min="3605" max="3605" width="12.5703125" style="445" bestFit="1" customWidth="1"/>
    <col min="3606" max="3606" width="11.42578125" style="445"/>
    <col min="3607" max="3607" width="12.5703125" style="445" bestFit="1" customWidth="1"/>
    <col min="3608" max="3608" width="11.42578125" style="445"/>
    <col min="3609" max="3609" width="12.5703125" style="445" bestFit="1" customWidth="1"/>
    <col min="3610" max="3841" width="11.42578125" style="445"/>
    <col min="3842" max="3842" width="37.140625" style="445" bestFit="1" customWidth="1"/>
    <col min="3843" max="3843" width="11.42578125" style="445" bestFit="1" customWidth="1"/>
    <col min="3844" max="3844" width="6.28515625" style="445" bestFit="1" customWidth="1"/>
    <col min="3845" max="3845" width="11.42578125" style="445" bestFit="1" customWidth="1"/>
    <col min="3846" max="3846" width="8" style="445" bestFit="1" customWidth="1"/>
    <col min="3847" max="3847" width="11" style="445" bestFit="1" customWidth="1"/>
    <col min="3848" max="3848" width="6.28515625" style="445" customWidth="1"/>
    <col min="3849" max="3849" width="11.42578125" style="445" bestFit="1" customWidth="1"/>
    <col min="3850" max="3850" width="6.28515625" style="445" customWidth="1"/>
    <col min="3851" max="3851" width="12.42578125" style="445" bestFit="1" customWidth="1"/>
    <col min="3852" max="3852" width="6.28515625" style="445" customWidth="1"/>
    <col min="3853" max="3856" width="8.42578125" style="445" bestFit="1" customWidth="1"/>
    <col min="3857" max="3857" width="19.42578125" style="445" customWidth="1"/>
    <col min="3858" max="3858" width="11" style="445" bestFit="1" customWidth="1"/>
    <col min="3859" max="3859" width="13.85546875" style="445" bestFit="1" customWidth="1"/>
    <col min="3860" max="3860" width="11" style="445" bestFit="1" customWidth="1"/>
    <col min="3861" max="3861" width="12.5703125" style="445" bestFit="1" customWidth="1"/>
    <col min="3862" max="3862" width="11.42578125" style="445"/>
    <col min="3863" max="3863" width="12.5703125" style="445" bestFit="1" customWidth="1"/>
    <col min="3864" max="3864" width="11.42578125" style="445"/>
    <col min="3865" max="3865" width="12.5703125" style="445" bestFit="1" customWidth="1"/>
    <col min="3866" max="4097" width="11.42578125" style="445"/>
    <col min="4098" max="4098" width="37.140625" style="445" bestFit="1" customWidth="1"/>
    <col min="4099" max="4099" width="11.42578125" style="445" bestFit="1" customWidth="1"/>
    <col min="4100" max="4100" width="6.28515625" style="445" bestFit="1" customWidth="1"/>
    <col min="4101" max="4101" width="11.42578125" style="445" bestFit="1" customWidth="1"/>
    <col min="4102" max="4102" width="8" style="445" bestFit="1" customWidth="1"/>
    <col min="4103" max="4103" width="11" style="445" bestFit="1" customWidth="1"/>
    <col min="4104" max="4104" width="6.28515625" style="445" customWidth="1"/>
    <col min="4105" max="4105" width="11.42578125" style="445" bestFit="1" customWidth="1"/>
    <col min="4106" max="4106" width="6.28515625" style="445" customWidth="1"/>
    <col min="4107" max="4107" width="12.42578125" style="445" bestFit="1" customWidth="1"/>
    <col min="4108" max="4108" width="6.28515625" style="445" customWidth="1"/>
    <col min="4109" max="4112" width="8.42578125" style="445" bestFit="1" customWidth="1"/>
    <col min="4113" max="4113" width="19.42578125" style="445" customWidth="1"/>
    <col min="4114" max="4114" width="11" style="445" bestFit="1" customWidth="1"/>
    <col min="4115" max="4115" width="13.85546875" style="445" bestFit="1" customWidth="1"/>
    <col min="4116" max="4116" width="11" style="445" bestFit="1" customWidth="1"/>
    <col min="4117" max="4117" width="12.5703125" style="445" bestFit="1" customWidth="1"/>
    <col min="4118" max="4118" width="11.42578125" style="445"/>
    <col min="4119" max="4119" width="12.5703125" style="445" bestFit="1" customWidth="1"/>
    <col min="4120" max="4120" width="11.42578125" style="445"/>
    <col min="4121" max="4121" width="12.5703125" style="445" bestFit="1" customWidth="1"/>
    <col min="4122" max="4353" width="11.42578125" style="445"/>
    <col min="4354" max="4354" width="37.140625" style="445" bestFit="1" customWidth="1"/>
    <col min="4355" max="4355" width="11.42578125" style="445" bestFit="1" customWidth="1"/>
    <col min="4356" max="4356" width="6.28515625" style="445" bestFit="1" customWidth="1"/>
    <col min="4357" max="4357" width="11.42578125" style="445" bestFit="1" customWidth="1"/>
    <col min="4358" max="4358" width="8" style="445" bestFit="1" customWidth="1"/>
    <col min="4359" max="4359" width="11" style="445" bestFit="1" customWidth="1"/>
    <col min="4360" max="4360" width="6.28515625" style="445" customWidth="1"/>
    <col min="4361" max="4361" width="11.42578125" style="445" bestFit="1" customWidth="1"/>
    <col min="4362" max="4362" width="6.28515625" style="445" customWidth="1"/>
    <col min="4363" max="4363" width="12.42578125" style="445" bestFit="1" customWidth="1"/>
    <col min="4364" max="4364" width="6.28515625" style="445" customWidth="1"/>
    <col min="4365" max="4368" width="8.42578125" style="445" bestFit="1" customWidth="1"/>
    <col min="4369" max="4369" width="19.42578125" style="445" customWidth="1"/>
    <col min="4370" max="4370" width="11" style="445" bestFit="1" customWidth="1"/>
    <col min="4371" max="4371" width="13.85546875" style="445" bestFit="1" customWidth="1"/>
    <col min="4372" max="4372" width="11" style="445" bestFit="1" customWidth="1"/>
    <col min="4373" max="4373" width="12.5703125" style="445" bestFit="1" customWidth="1"/>
    <col min="4374" max="4374" width="11.42578125" style="445"/>
    <col min="4375" max="4375" width="12.5703125" style="445" bestFit="1" customWidth="1"/>
    <col min="4376" max="4376" width="11.42578125" style="445"/>
    <col min="4377" max="4377" width="12.5703125" style="445" bestFit="1" customWidth="1"/>
    <col min="4378" max="4609" width="11.42578125" style="445"/>
    <col min="4610" max="4610" width="37.140625" style="445" bestFit="1" customWidth="1"/>
    <col min="4611" max="4611" width="11.42578125" style="445" bestFit="1" customWidth="1"/>
    <col min="4612" max="4612" width="6.28515625" style="445" bestFit="1" customWidth="1"/>
    <col min="4613" max="4613" width="11.42578125" style="445" bestFit="1" customWidth="1"/>
    <col min="4614" max="4614" width="8" style="445" bestFit="1" customWidth="1"/>
    <col min="4615" max="4615" width="11" style="445" bestFit="1" customWidth="1"/>
    <col min="4616" max="4616" width="6.28515625" style="445" customWidth="1"/>
    <col min="4617" max="4617" width="11.42578125" style="445" bestFit="1" customWidth="1"/>
    <col min="4618" max="4618" width="6.28515625" style="445" customWidth="1"/>
    <col min="4619" max="4619" width="12.42578125" style="445" bestFit="1" customWidth="1"/>
    <col min="4620" max="4620" width="6.28515625" style="445" customWidth="1"/>
    <col min="4621" max="4624" width="8.42578125" style="445" bestFit="1" customWidth="1"/>
    <col min="4625" max="4625" width="19.42578125" style="445" customWidth="1"/>
    <col min="4626" max="4626" width="11" style="445" bestFit="1" customWidth="1"/>
    <col min="4627" max="4627" width="13.85546875" style="445" bestFit="1" customWidth="1"/>
    <col min="4628" max="4628" width="11" style="445" bestFit="1" customWidth="1"/>
    <col min="4629" max="4629" width="12.5703125" style="445" bestFit="1" customWidth="1"/>
    <col min="4630" max="4630" width="11.42578125" style="445"/>
    <col min="4631" max="4631" width="12.5703125" style="445" bestFit="1" customWidth="1"/>
    <col min="4632" max="4632" width="11.42578125" style="445"/>
    <col min="4633" max="4633" width="12.5703125" style="445" bestFit="1" customWidth="1"/>
    <col min="4634" max="4865" width="11.42578125" style="445"/>
    <col min="4866" max="4866" width="37.140625" style="445" bestFit="1" customWidth="1"/>
    <col min="4867" max="4867" width="11.42578125" style="445" bestFit="1" customWidth="1"/>
    <col min="4868" max="4868" width="6.28515625" style="445" bestFit="1" customWidth="1"/>
    <col min="4869" max="4869" width="11.42578125" style="445" bestFit="1" customWidth="1"/>
    <col min="4870" max="4870" width="8" style="445" bestFit="1" customWidth="1"/>
    <col min="4871" max="4871" width="11" style="445" bestFit="1" customWidth="1"/>
    <col min="4872" max="4872" width="6.28515625" style="445" customWidth="1"/>
    <col min="4873" max="4873" width="11.42578125" style="445" bestFit="1" customWidth="1"/>
    <col min="4874" max="4874" width="6.28515625" style="445" customWidth="1"/>
    <col min="4875" max="4875" width="12.42578125" style="445" bestFit="1" customWidth="1"/>
    <col min="4876" max="4876" width="6.28515625" style="445" customWidth="1"/>
    <col min="4877" max="4880" width="8.42578125" style="445" bestFit="1" customWidth="1"/>
    <col min="4881" max="4881" width="19.42578125" style="445" customWidth="1"/>
    <col min="4882" max="4882" width="11" style="445" bestFit="1" customWidth="1"/>
    <col min="4883" max="4883" width="13.85546875" style="445" bestFit="1" customWidth="1"/>
    <col min="4884" max="4884" width="11" style="445" bestFit="1" customWidth="1"/>
    <col min="4885" max="4885" width="12.5703125" style="445" bestFit="1" customWidth="1"/>
    <col min="4886" max="4886" width="11.42578125" style="445"/>
    <col min="4887" max="4887" width="12.5703125" style="445" bestFit="1" customWidth="1"/>
    <col min="4888" max="4888" width="11.42578125" style="445"/>
    <col min="4889" max="4889" width="12.5703125" style="445" bestFit="1" customWidth="1"/>
    <col min="4890" max="5121" width="11.42578125" style="445"/>
    <col min="5122" max="5122" width="37.140625" style="445" bestFit="1" customWidth="1"/>
    <col min="5123" max="5123" width="11.42578125" style="445" bestFit="1" customWidth="1"/>
    <col min="5124" max="5124" width="6.28515625" style="445" bestFit="1" customWidth="1"/>
    <col min="5125" max="5125" width="11.42578125" style="445" bestFit="1" customWidth="1"/>
    <col min="5126" max="5126" width="8" style="445" bestFit="1" customWidth="1"/>
    <col min="5127" max="5127" width="11" style="445" bestFit="1" customWidth="1"/>
    <col min="5128" max="5128" width="6.28515625" style="445" customWidth="1"/>
    <col min="5129" max="5129" width="11.42578125" style="445" bestFit="1" customWidth="1"/>
    <col min="5130" max="5130" width="6.28515625" style="445" customWidth="1"/>
    <col min="5131" max="5131" width="12.42578125" style="445" bestFit="1" customWidth="1"/>
    <col min="5132" max="5132" width="6.28515625" style="445" customWidth="1"/>
    <col min="5133" max="5136" width="8.42578125" style="445" bestFit="1" customWidth="1"/>
    <col min="5137" max="5137" width="19.42578125" style="445" customWidth="1"/>
    <col min="5138" max="5138" width="11" style="445" bestFit="1" customWidth="1"/>
    <col min="5139" max="5139" width="13.85546875" style="445" bestFit="1" customWidth="1"/>
    <col min="5140" max="5140" width="11" style="445" bestFit="1" customWidth="1"/>
    <col min="5141" max="5141" width="12.5703125" style="445" bestFit="1" customWidth="1"/>
    <col min="5142" max="5142" width="11.42578125" style="445"/>
    <col min="5143" max="5143" width="12.5703125" style="445" bestFit="1" customWidth="1"/>
    <col min="5144" max="5144" width="11.42578125" style="445"/>
    <col min="5145" max="5145" width="12.5703125" style="445" bestFit="1" customWidth="1"/>
    <col min="5146" max="5377" width="11.42578125" style="445"/>
    <col min="5378" max="5378" width="37.140625" style="445" bestFit="1" customWidth="1"/>
    <col min="5379" max="5379" width="11.42578125" style="445" bestFit="1" customWidth="1"/>
    <col min="5380" max="5380" width="6.28515625" style="445" bestFit="1" customWidth="1"/>
    <col min="5381" max="5381" width="11.42578125" style="445" bestFit="1" customWidth="1"/>
    <col min="5382" max="5382" width="8" style="445" bestFit="1" customWidth="1"/>
    <col min="5383" max="5383" width="11" style="445" bestFit="1" customWidth="1"/>
    <col min="5384" max="5384" width="6.28515625" style="445" customWidth="1"/>
    <col min="5385" max="5385" width="11.42578125" style="445" bestFit="1" customWidth="1"/>
    <col min="5386" max="5386" width="6.28515625" style="445" customWidth="1"/>
    <col min="5387" max="5387" width="12.42578125" style="445" bestFit="1" customWidth="1"/>
    <col min="5388" max="5388" width="6.28515625" style="445" customWidth="1"/>
    <col min="5389" max="5392" width="8.42578125" style="445" bestFit="1" customWidth="1"/>
    <col min="5393" max="5393" width="19.42578125" style="445" customWidth="1"/>
    <col min="5394" max="5394" width="11" style="445" bestFit="1" customWidth="1"/>
    <col min="5395" max="5395" width="13.85546875" style="445" bestFit="1" customWidth="1"/>
    <col min="5396" max="5396" width="11" style="445" bestFit="1" customWidth="1"/>
    <col min="5397" max="5397" width="12.5703125" style="445" bestFit="1" customWidth="1"/>
    <col min="5398" max="5398" width="11.42578125" style="445"/>
    <col min="5399" max="5399" width="12.5703125" style="445" bestFit="1" customWidth="1"/>
    <col min="5400" max="5400" width="11.42578125" style="445"/>
    <col min="5401" max="5401" width="12.5703125" style="445" bestFit="1" customWidth="1"/>
    <col min="5402" max="5633" width="11.42578125" style="445"/>
    <col min="5634" max="5634" width="37.140625" style="445" bestFit="1" customWidth="1"/>
    <col min="5635" max="5635" width="11.42578125" style="445" bestFit="1" customWidth="1"/>
    <col min="5636" max="5636" width="6.28515625" style="445" bestFit="1" customWidth="1"/>
    <col min="5637" max="5637" width="11.42578125" style="445" bestFit="1" customWidth="1"/>
    <col min="5638" max="5638" width="8" style="445" bestFit="1" customWidth="1"/>
    <col min="5639" max="5639" width="11" style="445" bestFit="1" customWidth="1"/>
    <col min="5640" max="5640" width="6.28515625" style="445" customWidth="1"/>
    <col min="5641" max="5641" width="11.42578125" style="445" bestFit="1" customWidth="1"/>
    <col min="5642" max="5642" width="6.28515625" style="445" customWidth="1"/>
    <col min="5643" max="5643" width="12.42578125" style="445" bestFit="1" customWidth="1"/>
    <col min="5644" max="5644" width="6.28515625" style="445" customWidth="1"/>
    <col min="5645" max="5648" width="8.42578125" style="445" bestFit="1" customWidth="1"/>
    <col min="5649" max="5649" width="19.42578125" style="445" customWidth="1"/>
    <col min="5650" max="5650" width="11" style="445" bestFit="1" customWidth="1"/>
    <col min="5651" max="5651" width="13.85546875" style="445" bestFit="1" customWidth="1"/>
    <col min="5652" max="5652" width="11" style="445" bestFit="1" customWidth="1"/>
    <col min="5653" max="5653" width="12.5703125" style="445" bestFit="1" customWidth="1"/>
    <col min="5654" max="5654" width="11.42578125" style="445"/>
    <col min="5655" max="5655" width="12.5703125" style="445" bestFit="1" customWidth="1"/>
    <col min="5656" max="5656" width="11.42578125" style="445"/>
    <col min="5657" max="5657" width="12.5703125" style="445" bestFit="1" customWidth="1"/>
    <col min="5658" max="5889" width="11.42578125" style="445"/>
    <col min="5890" max="5890" width="37.140625" style="445" bestFit="1" customWidth="1"/>
    <col min="5891" max="5891" width="11.42578125" style="445" bestFit="1" customWidth="1"/>
    <col min="5892" max="5892" width="6.28515625" style="445" bestFit="1" customWidth="1"/>
    <col min="5893" max="5893" width="11.42578125" style="445" bestFit="1" customWidth="1"/>
    <col min="5894" max="5894" width="8" style="445" bestFit="1" customWidth="1"/>
    <col min="5895" max="5895" width="11" style="445" bestFit="1" customWidth="1"/>
    <col min="5896" max="5896" width="6.28515625" style="445" customWidth="1"/>
    <col min="5897" max="5897" width="11.42578125" style="445" bestFit="1" customWidth="1"/>
    <col min="5898" max="5898" width="6.28515625" style="445" customWidth="1"/>
    <col min="5899" max="5899" width="12.42578125" style="445" bestFit="1" customWidth="1"/>
    <col min="5900" max="5900" width="6.28515625" style="445" customWidth="1"/>
    <col min="5901" max="5904" width="8.42578125" style="445" bestFit="1" customWidth="1"/>
    <col min="5905" max="5905" width="19.42578125" style="445" customWidth="1"/>
    <col min="5906" max="5906" width="11" style="445" bestFit="1" customWidth="1"/>
    <col min="5907" max="5907" width="13.85546875" style="445" bestFit="1" customWidth="1"/>
    <col min="5908" max="5908" width="11" style="445" bestFit="1" customWidth="1"/>
    <col min="5909" max="5909" width="12.5703125" style="445" bestFit="1" customWidth="1"/>
    <col min="5910" max="5910" width="11.42578125" style="445"/>
    <col min="5911" max="5911" width="12.5703125" style="445" bestFit="1" customWidth="1"/>
    <col min="5912" max="5912" width="11.42578125" style="445"/>
    <col min="5913" max="5913" width="12.5703125" style="445" bestFit="1" customWidth="1"/>
    <col min="5914" max="6145" width="11.42578125" style="445"/>
    <col min="6146" max="6146" width="37.140625" style="445" bestFit="1" customWidth="1"/>
    <col min="6147" max="6147" width="11.42578125" style="445" bestFit="1" customWidth="1"/>
    <col min="6148" max="6148" width="6.28515625" style="445" bestFit="1" customWidth="1"/>
    <col min="6149" max="6149" width="11.42578125" style="445" bestFit="1" customWidth="1"/>
    <col min="6150" max="6150" width="8" style="445" bestFit="1" customWidth="1"/>
    <col min="6151" max="6151" width="11" style="445" bestFit="1" customWidth="1"/>
    <col min="6152" max="6152" width="6.28515625" style="445" customWidth="1"/>
    <col min="6153" max="6153" width="11.42578125" style="445" bestFit="1" customWidth="1"/>
    <col min="6154" max="6154" width="6.28515625" style="445" customWidth="1"/>
    <col min="6155" max="6155" width="12.42578125" style="445" bestFit="1" customWidth="1"/>
    <col min="6156" max="6156" width="6.28515625" style="445" customWidth="1"/>
    <col min="6157" max="6160" width="8.42578125" style="445" bestFit="1" customWidth="1"/>
    <col min="6161" max="6161" width="19.42578125" style="445" customWidth="1"/>
    <col min="6162" max="6162" width="11" style="445" bestFit="1" customWidth="1"/>
    <col min="6163" max="6163" width="13.85546875" style="445" bestFit="1" customWidth="1"/>
    <col min="6164" max="6164" width="11" style="445" bestFit="1" customWidth="1"/>
    <col min="6165" max="6165" width="12.5703125" style="445" bestFit="1" customWidth="1"/>
    <col min="6166" max="6166" width="11.42578125" style="445"/>
    <col min="6167" max="6167" width="12.5703125" style="445" bestFit="1" customWidth="1"/>
    <col min="6168" max="6168" width="11.42578125" style="445"/>
    <col min="6169" max="6169" width="12.5703125" style="445" bestFit="1" customWidth="1"/>
    <col min="6170" max="6401" width="11.42578125" style="445"/>
    <col min="6402" max="6402" width="37.140625" style="445" bestFit="1" customWidth="1"/>
    <col min="6403" max="6403" width="11.42578125" style="445" bestFit="1" customWidth="1"/>
    <col min="6404" max="6404" width="6.28515625" style="445" bestFit="1" customWidth="1"/>
    <col min="6405" max="6405" width="11.42578125" style="445" bestFit="1" customWidth="1"/>
    <col min="6406" max="6406" width="8" style="445" bestFit="1" customWidth="1"/>
    <col min="6407" max="6407" width="11" style="445" bestFit="1" customWidth="1"/>
    <col min="6408" max="6408" width="6.28515625" style="445" customWidth="1"/>
    <col min="6409" max="6409" width="11.42578125" style="445" bestFit="1" customWidth="1"/>
    <col min="6410" max="6410" width="6.28515625" style="445" customWidth="1"/>
    <col min="6411" max="6411" width="12.42578125" style="445" bestFit="1" customWidth="1"/>
    <col min="6412" max="6412" width="6.28515625" style="445" customWidth="1"/>
    <col min="6413" max="6416" width="8.42578125" style="445" bestFit="1" customWidth="1"/>
    <col min="6417" max="6417" width="19.42578125" style="445" customWidth="1"/>
    <col min="6418" max="6418" width="11" style="445" bestFit="1" customWidth="1"/>
    <col min="6419" max="6419" width="13.85546875" style="445" bestFit="1" customWidth="1"/>
    <col min="6420" max="6420" width="11" style="445" bestFit="1" customWidth="1"/>
    <col min="6421" max="6421" width="12.5703125" style="445" bestFit="1" customWidth="1"/>
    <col min="6422" max="6422" width="11.42578125" style="445"/>
    <col min="6423" max="6423" width="12.5703125" style="445" bestFit="1" customWidth="1"/>
    <col min="6424" max="6424" width="11.42578125" style="445"/>
    <col min="6425" max="6425" width="12.5703125" style="445" bestFit="1" customWidth="1"/>
    <col min="6426" max="6657" width="11.42578125" style="445"/>
    <col min="6658" max="6658" width="37.140625" style="445" bestFit="1" customWidth="1"/>
    <col min="6659" max="6659" width="11.42578125" style="445" bestFit="1" customWidth="1"/>
    <col min="6660" max="6660" width="6.28515625" style="445" bestFit="1" customWidth="1"/>
    <col min="6661" max="6661" width="11.42578125" style="445" bestFit="1" customWidth="1"/>
    <col min="6662" max="6662" width="8" style="445" bestFit="1" customWidth="1"/>
    <col min="6663" max="6663" width="11" style="445" bestFit="1" customWidth="1"/>
    <col min="6664" max="6664" width="6.28515625" style="445" customWidth="1"/>
    <col min="6665" max="6665" width="11.42578125" style="445" bestFit="1" customWidth="1"/>
    <col min="6666" max="6666" width="6.28515625" style="445" customWidth="1"/>
    <col min="6667" max="6667" width="12.42578125" style="445" bestFit="1" customWidth="1"/>
    <col min="6668" max="6668" width="6.28515625" style="445" customWidth="1"/>
    <col min="6669" max="6672" width="8.42578125" style="445" bestFit="1" customWidth="1"/>
    <col min="6673" max="6673" width="19.42578125" style="445" customWidth="1"/>
    <col min="6674" max="6674" width="11" style="445" bestFit="1" customWidth="1"/>
    <col min="6675" max="6675" width="13.85546875" style="445" bestFit="1" customWidth="1"/>
    <col min="6676" max="6676" width="11" style="445" bestFit="1" customWidth="1"/>
    <col min="6677" max="6677" width="12.5703125" style="445" bestFit="1" customWidth="1"/>
    <col min="6678" max="6678" width="11.42578125" style="445"/>
    <col min="6679" max="6679" width="12.5703125" style="445" bestFit="1" customWidth="1"/>
    <col min="6680" max="6680" width="11.42578125" style="445"/>
    <col min="6681" max="6681" width="12.5703125" style="445" bestFit="1" customWidth="1"/>
    <col min="6682" max="6913" width="11.42578125" style="445"/>
    <col min="6914" max="6914" width="37.140625" style="445" bestFit="1" customWidth="1"/>
    <col min="6915" max="6915" width="11.42578125" style="445" bestFit="1" customWidth="1"/>
    <col min="6916" max="6916" width="6.28515625" style="445" bestFit="1" customWidth="1"/>
    <col min="6917" max="6917" width="11.42578125" style="445" bestFit="1" customWidth="1"/>
    <col min="6918" max="6918" width="8" style="445" bestFit="1" customWidth="1"/>
    <col min="6919" max="6919" width="11" style="445" bestFit="1" customWidth="1"/>
    <col min="6920" max="6920" width="6.28515625" style="445" customWidth="1"/>
    <col min="6921" max="6921" width="11.42578125" style="445" bestFit="1" customWidth="1"/>
    <col min="6922" max="6922" width="6.28515625" style="445" customWidth="1"/>
    <col min="6923" max="6923" width="12.42578125" style="445" bestFit="1" customWidth="1"/>
    <col min="6924" max="6924" width="6.28515625" style="445" customWidth="1"/>
    <col min="6925" max="6928" width="8.42578125" style="445" bestFit="1" customWidth="1"/>
    <col min="6929" max="6929" width="19.42578125" style="445" customWidth="1"/>
    <col min="6930" max="6930" width="11" style="445" bestFit="1" customWidth="1"/>
    <col min="6931" max="6931" width="13.85546875" style="445" bestFit="1" customWidth="1"/>
    <col min="6932" max="6932" width="11" style="445" bestFit="1" customWidth="1"/>
    <col min="6933" max="6933" width="12.5703125" style="445" bestFit="1" customWidth="1"/>
    <col min="6934" max="6934" width="11.42578125" style="445"/>
    <col min="6935" max="6935" width="12.5703125" style="445" bestFit="1" customWidth="1"/>
    <col min="6936" max="6936" width="11.42578125" style="445"/>
    <col min="6937" max="6937" width="12.5703125" style="445" bestFit="1" customWidth="1"/>
    <col min="6938" max="7169" width="11.42578125" style="445"/>
    <col min="7170" max="7170" width="37.140625" style="445" bestFit="1" customWidth="1"/>
    <col min="7171" max="7171" width="11.42578125" style="445" bestFit="1" customWidth="1"/>
    <col min="7172" max="7172" width="6.28515625" style="445" bestFit="1" customWidth="1"/>
    <col min="7173" max="7173" width="11.42578125" style="445" bestFit="1" customWidth="1"/>
    <col min="7174" max="7174" width="8" style="445" bestFit="1" customWidth="1"/>
    <col min="7175" max="7175" width="11" style="445" bestFit="1" customWidth="1"/>
    <col min="7176" max="7176" width="6.28515625" style="445" customWidth="1"/>
    <col min="7177" max="7177" width="11.42578125" style="445" bestFit="1" customWidth="1"/>
    <col min="7178" max="7178" width="6.28515625" style="445" customWidth="1"/>
    <col min="7179" max="7179" width="12.42578125" style="445" bestFit="1" customWidth="1"/>
    <col min="7180" max="7180" width="6.28515625" style="445" customWidth="1"/>
    <col min="7181" max="7184" width="8.42578125" style="445" bestFit="1" customWidth="1"/>
    <col min="7185" max="7185" width="19.42578125" style="445" customWidth="1"/>
    <col min="7186" max="7186" width="11" style="445" bestFit="1" customWidth="1"/>
    <col min="7187" max="7187" width="13.85546875" style="445" bestFit="1" customWidth="1"/>
    <col min="7188" max="7188" width="11" style="445" bestFit="1" customWidth="1"/>
    <col min="7189" max="7189" width="12.5703125" style="445" bestFit="1" customWidth="1"/>
    <col min="7190" max="7190" width="11.42578125" style="445"/>
    <col min="7191" max="7191" width="12.5703125" style="445" bestFit="1" customWidth="1"/>
    <col min="7192" max="7192" width="11.42578125" style="445"/>
    <col min="7193" max="7193" width="12.5703125" style="445" bestFit="1" customWidth="1"/>
    <col min="7194" max="7425" width="11.42578125" style="445"/>
    <col min="7426" max="7426" width="37.140625" style="445" bestFit="1" customWidth="1"/>
    <col min="7427" max="7427" width="11.42578125" style="445" bestFit="1" customWidth="1"/>
    <col min="7428" max="7428" width="6.28515625" style="445" bestFit="1" customWidth="1"/>
    <col min="7429" max="7429" width="11.42578125" style="445" bestFit="1" customWidth="1"/>
    <col min="7430" max="7430" width="8" style="445" bestFit="1" customWidth="1"/>
    <col min="7431" max="7431" width="11" style="445" bestFit="1" customWidth="1"/>
    <col min="7432" max="7432" width="6.28515625" style="445" customWidth="1"/>
    <col min="7433" max="7433" width="11.42578125" style="445" bestFit="1" customWidth="1"/>
    <col min="7434" max="7434" width="6.28515625" style="445" customWidth="1"/>
    <col min="7435" max="7435" width="12.42578125" style="445" bestFit="1" customWidth="1"/>
    <col min="7436" max="7436" width="6.28515625" style="445" customWidth="1"/>
    <col min="7437" max="7440" width="8.42578125" style="445" bestFit="1" customWidth="1"/>
    <col min="7441" max="7441" width="19.42578125" style="445" customWidth="1"/>
    <col min="7442" max="7442" width="11" style="445" bestFit="1" customWidth="1"/>
    <col min="7443" max="7443" width="13.85546875" style="445" bestFit="1" customWidth="1"/>
    <col min="7444" max="7444" width="11" style="445" bestFit="1" customWidth="1"/>
    <col min="7445" max="7445" width="12.5703125" style="445" bestFit="1" customWidth="1"/>
    <col min="7446" max="7446" width="11.42578125" style="445"/>
    <col min="7447" max="7447" width="12.5703125" style="445" bestFit="1" customWidth="1"/>
    <col min="7448" max="7448" width="11.42578125" style="445"/>
    <col min="7449" max="7449" width="12.5703125" style="445" bestFit="1" customWidth="1"/>
    <col min="7450" max="7681" width="11.42578125" style="445"/>
    <col min="7682" max="7682" width="37.140625" style="445" bestFit="1" customWidth="1"/>
    <col min="7683" max="7683" width="11.42578125" style="445" bestFit="1" customWidth="1"/>
    <col min="7684" max="7684" width="6.28515625" style="445" bestFit="1" customWidth="1"/>
    <col min="7685" max="7685" width="11.42578125" style="445" bestFit="1" customWidth="1"/>
    <col min="7686" max="7686" width="8" style="445" bestFit="1" customWidth="1"/>
    <col min="7687" max="7687" width="11" style="445" bestFit="1" customWidth="1"/>
    <col min="7688" max="7688" width="6.28515625" style="445" customWidth="1"/>
    <col min="7689" max="7689" width="11.42578125" style="445" bestFit="1" customWidth="1"/>
    <col min="7690" max="7690" width="6.28515625" style="445" customWidth="1"/>
    <col min="7691" max="7691" width="12.42578125" style="445" bestFit="1" customWidth="1"/>
    <col min="7692" max="7692" width="6.28515625" style="445" customWidth="1"/>
    <col min="7693" max="7696" width="8.42578125" style="445" bestFit="1" customWidth="1"/>
    <col min="7697" max="7697" width="19.42578125" style="445" customWidth="1"/>
    <col min="7698" max="7698" width="11" style="445" bestFit="1" customWidth="1"/>
    <col min="7699" max="7699" width="13.85546875" style="445" bestFit="1" customWidth="1"/>
    <col min="7700" max="7700" width="11" style="445" bestFit="1" customWidth="1"/>
    <col min="7701" max="7701" width="12.5703125" style="445" bestFit="1" customWidth="1"/>
    <col min="7702" max="7702" width="11.42578125" style="445"/>
    <col min="7703" max="7703" width="12.5703125" style="445" bestFit="1" customWidth="1"/>
    <col min="7704" max="7704" width="11.42578125" style="445"/>
    <col min="7705" max="7705" width="12.5703125" style="445" bestFit="1" customWidth="1"/>
    <col min="7706" max="7937" width="11.42578125" style="445"/>
    <col min="7938" max="7938" width="37.140625" style="445" bestFit="1" customWidth="1"/>
    <col min="7939" max="7939" width="11.42578125" style="445" bestFit="1" customWidth="1"/>
    <col min="7940" max="7940" width="6.28515625" style="445" bestFit="1" customWidth="1"/>
    <col min="7941" max="7941" width="11.42578125" style="445" bestFit="1" customWidth="1"/>
    <col min="7942" max="7942" width="8" style="445" bestFit="1" customWidth="1"/>
    <col min="7943" max="7943" width="11" style="445" bestFit="1" customWidth="1"/>
    <col min="7944" max="7944" width="6.28515625" style="445" customWidth="1"/>
    <col min="7945" max="7945" width="11.42578125" style="445" bestFit="1" customWidth="1"/>
    <col min="7946" max="7946" width="6.28515625" style="445" customWidth="1"/>
    <col min="7947" max="7947" width="12.42578125" style="445" bestFit="1" customWidth="1"/>
    <col min="7948" max="7948" width="6.28515625" style="445" customWidth="1"/>
    <col min="7949" max="7952" width="8.42578125" style="445" bestFit="1" customWidth="1"/>
    <col min="7953" max="7953" width="19.42578125" style="445" customWidth="1"/>
    <col min="7954" max="7954" width="11" style="445" bestFit="1" customWidth="1"/>
    <col min="7955" max="7955" width="13.85546875" style="445" bestFit="1" customWidth="1"/>
    <col min="7956" max="7956" width="11" style="445" bestFit="1" customWidth="1"/>
    <col min="7957" max="7957" width="12.5703125" style="445" bestFit="1" customWidth="1"/>
    <col min="7958" max="7958" width="11.42578125" style="445"/>
    <col min="7959" max="7959" width="12.5703125" style="445" bestFit="1" customWidth="1"/>
    <col min="7960" max="7960" width="11.42578125" style="445"/>
    <col min="7961" max="7961" width="12.5703125" style="445" bestFit="1" customWidth="1"/>
    <col min="7962" max="8193" width="11.42578125" style="445"/>
    <col min="8194" max="8194" width="37.140625" style="445" bestFit="1" customWidth="1"/>
    <col min="8195" max="8195" width="11.42578125" style="445" bestFit="1" customWidth="1"/>
    <col min="8196" max="8196" width="6.28515625" style="445" bestFit="1" customWidth="1"/>
    <col min="8197" max="8197" width="11.42578125" style="445" bestFit="1" customWidth="1"/>
    <col min="8198" max="8198" width="8" style="445" bestFit="1" customWidth="1"/>
    <col min="8199" max="8199" width="11" style="445" bestFit="1" customWidth="1"/>
    <col min="8200" max="8200" width="6.28515625" style="445" customWidth="1"/>
    <col min="8201" max="8201" width="11.42578125" style="445" bestFit="1" customWidth="1"/>
    <col min="8202" max="8202" width="6.28515625" style="445" customWidth="1"/>
    <col min="8203" max="8203" width="12.42578125" style="445" bestFit="1" customWidth="1"/>
    <col min="8204" max="8204" width="6.28515625" style="445" customWidth="1"/>
    <col min="8205" max="8208" width="8.42578125" style="445" bestFit="1" customWidth="1"/>
    <col min="8209" max="8209" width="19.42578125" style="445" customWidth="1"/>
    <col min="8210" max="8210" width="11" style="445" bestFit="1" customWidth="1"/>
    <col min="8211" max="8211" width="13.85546875" style="445" bestFit="1" customWidth="1"/>
    <col min="8212" max="8212" width="11" style="445" bestFit="1" customWidth="1"/>
    <col min="8213" max="8213" width="12.5703125" style="445" bestFit="1" customWidth="1"/>
    <col min="8214" max="8214" width="11.42578125" style="445"/>
    <col min="8215" max="8215" width="12.5703125" style="445" bestFit="1" customWidth="1"/>
    <col min="8216" max="8216" width="11.42578125" style="445"/>
    <col min="8217" max="8217" width="12.5703125" style="445" bestFit="1" customWidth="1"/>
    <col min="8218" max="8449" width="11.42578125" style="445"/>
    <col min="8450" max="8450" width="37.140625" style="445" bestFit="1" customWidth="1"/>
    <col min="8451" max="8451" width="11.42578125" style="445" bestFit="1" customWidth="1"/>
    <col min="8452" max="8452" width="6.28515625" style="445" bestFit="1" customWidth="1"/>
    <col min="8453" max="8453" width="11.42578125" style="445" bestFit="1" customWidth="1"/>
    <col min="8454" max="8454" width="8" style="445" bestFit="1" customWidth="1"/>
    <col min="8455" max="8455" width="11" style="445" bestFit="1" customWidth="1"/>
    <col min="8456" max="8456" width="6.28515625" style="445" customWidth="1"/>
    <col min="8457" max="8457" width="11.42578125" style="445" bestFit="1" customWidth="1"/>
    <col min="8458" max="8458" width="6.28515625" style="445" customWidth="1"/>
    <col min="8459" max="8459" width="12.42578125" style="445" bestFit="1" customWidth="1"/>
    <col min="8460" max="8460" width="6.28515625" style="445" customWidth="1"/>
    <col min="8461" max="8464" width="8.42578125" style="445" bestFit="1" customWidth="1"/>
    <col min="8465" max="8465" width="19.42578125" style="445" customWidth="1"/>
    <col min="8466" max="8466" width="11" style="445" bestFit="1" customWidth="1"/>
    <col min="8467" max="8467" width="13.85546875" style="445" bestFit="1" customWidth="1"/>
    <col min="8468" max="8468" width="11" style="445" bestFit="1" customWidth="1"/>
    <col min="8469" max="8469" width="12.5703125" style="445" bestFit="1" customWidth="1"/>
    <col min="8470" max="8470" width="11.42578125" style="445"/>
    <col min="8471" max="8471" width="12.5703125" style="445" bestFit="1" customWidth="1"/>
    <col min="8472" max="8472" width="11.42578125" style="445"/>
    <col min="8473" max="8473" width="12.5703125" style="445" bestFit="1" customWidth="1"/>
    <col min="8474" max="8705" width="11.42578125" style="445"/>
    <col min="8706" max="8706" width="37.140625" style="445" bestFit="1" customWidth="1"/>
    <col min="8707" max="8707" width="11.42578125" style="445" bestFit="1" customWidth="1"/>
    <col min="8708" max="8708" width="6.28515625" style="445" bestFit="1" customWidth="1"/>
    <col min="8709" max="8709" width="11.42578125" style="445" bestFit="1" customWidth="1"/>
    <col min="8710" max="8710" width="8" style="445" bestFit="1" customWidth="1"/>
    <col min="8711" max="8711" width="11" style="445" bestFit="1" customWidth="1"/>
    <col min="8712" max="8712" width="6.28515625" style="445" customWidth="1"/>
    <col min="8713" max="8713" width="11.42578125" style="445" bestFit="1" customWidth="1"/>
    <col min="8714" max="8714" width="6.28515625" style="445" customWidth="1"/>
    <col min="8715" max="8715" width="12.42578125" style="445" bestFit="1" customWidth="1"/>
    <col min="8716" max="8716" width="6.28515625" style="445" customWidth="1"/>
    <col min="8717" max="8720" width="8.42578125" style="445" bestFit="1" customWidth="1"/>
    <col min="8721" max="8721" width="19.42578125" style="445" customWidth="1"/>
    <col min="8722" max="8722" width="11" style="445" bestFit="1" customWidth="1"/>
    <col min="8723" max="8723" width="13.85546875" style="445" bestFit="1" customWidth="1"/>
    <col min="8724" max="8724" width="11" style="445" bestFit="1" customWidth="1"/>
    <col min="8725" max="8725" width="12.5703125" style="445" bestFit="1" customWidth="1"/>
    <col min="8726" max="8726" width="11.42578125" style="445"/>
    <col min="8727" max="8727" width="12.5703125" style="445" bestFit="1" customWidth="1"/>
    <col min="8728" max="8728" width="11.42578125" style="445"/>
    <col min="8729" max="8729" width="12.5703125" style="445" bestFit="1" customWidth="1"/>
    <col min="8730" max="8961" width="11.42578125" style="445"/>
    <col min="8962" max="8962" width="37.140625" style="445" bestFit="1" customWidth="1"/>
    <col min="8963" max="8963" width="11.42578125" style="445" bestFit="1" customWidth="1"/>
    <col min="8964" max="8964" width="6.28515625" style="445" bestFit="1" customWidth="1"/>
    <col min="8965" max="8965" width="11.42578125" style="445" bestFit="1" customWidth="1"/>
    <col min="8966" max="8966" width="8" style="445" bestFit="1" customWidth="1"/>
    <col min="8967" max="8967" width="11" style="445" bestFit="1" customWidth="1"/>
    <col min="8968" max="8968" width="6.28515625" style="445" customWidth="1"/>
    <col min="8969" max="8969" width="11.42578125" style="445" bestFit="1" customWidth="1"/>
    <col min="8970" max="8970" width="6.28515625" style="445" customWidth="1"/>
    <col min="8971" max="8971" width="12.42578125" style="445" bestFit="1" customWidth="1"/>
    <col min="8972" max="8972" width="6.28515625" style="445" customWidth="1"/>
    <col min="8973" max="8976" width="8.42578125" style="445" bestFit="1" customWidth="1"/>
    <col min="8977" max="8977" width="19.42578125" style="445" customWidth="1"/>
    <col min="8978" max="8978" width="11" style="445" bestFit="1" customWidth="1"/>
    <col min="8979" max="8979" width="13.85546875" style="445" bestFit="1" customWidth="1"/>
    <col min="8980" max="8980" width="11" style="445" bestFit="1" customWidth="1"/>
    <col min="8981" max="8981" width="12.5703125" style="445" bestFit="1" customWidth="1"/>
    <col min="8982" max="8982" width="11.42578125" style="445"/>
    <col min="8983" max="8983" width="12.5703125" style="445" bestFit="1" customWidth="1"/>
    <col min="8984" max="8984" width="11.42578125" style="445"/>
    <col min="8985" max="8985" width="12.5703125" style="445" bestFit="1" customWidth="1"/>
    <col min="8986" max="9217" width="11.42578125" style="445"/>
    <col min="9218" max="9218" width="37.140625" style="445" bestFit="1" customWidth="1"/>
    <col min="9219" max="9219" width="11.42578125" style="445" bestFit="1" customWidth="1"/>
    <col min="9220" max="9220" width="6.28515625" style="445" bestFit="1" customWidth="1"/>
    <col min="9221" max="9221" width="11.42578125" style="445" bestFit="1" customWidth="1"/>
    <col min="9222" max="9222" width="8" style="445" bestFit="1" customWidth="1"/>
    <col min="9223" max="9223" width="11" style="445" bestFit="1" customWidth="1"/>
    <col min="9224" max="9224" width="6.28515625" style="445" customWidth="1"/>
    <col min="9225" max="9225" width="11.42578125" style="445" bestFit="1" customWidth="1"/>
    <col min="9226" max="9226" width="6.28515625" style="445" customWidth="1"/>
    <col min="9227" max="9227" width="12.42578125" style="445" bestFit="1" customWidth="1"/>
    <col min="9228" max="9228" width="6.28515625" style="445" customWidth="1"/>
    <col min="9229" max="9232" width="8.42578125" style="445" bestFit="1" customWidth="1"/>
    <col min="9233" max="9233" width="19.42578125" style="445" customWidth="1"/>
    <col min="9234" max="9234" width="11" style="445" bestFit="1" customWidth="1"/>
    <col min="9235" max="9235" width="13.85546875" style="445" bestFit="1" customWidth="1"/>
    <col min="9236" max="9236" width="11" style="445" bestFit="1" customWidth="1"/>
    <col min="9237" max="9237" width="12.5703125" style="445" bestFit="1" customWidth="1"/>
    <col min="9238" max="9238" width="11.42578125" style="445"/>
    <col min="9239" max="9239" width="12.5703125" style="445" bestFit="1" customWidth="1"/>
    <col min="9240" max="9240" width="11.42578125" style="445"/>
    <col min="9241" max="9241" width="12.5703125" style="445" bestFit="1" customWidth="1"/>
    <col min="9242" max="9473" width="11.42578125" style="445"/>
    <col min="9474" max="9474" width="37.140625" style="445" bestFit="1" customWidth="1"/>
    <col min="9475" max="9475" width="11.42578125" style="445" bestFit="1" customWidth="1"/>
    <col min="9476" max="9476" width="6.28515625" style="445" bestFit="1" customWidth="1"/>
    <col min="9477" max="9477" width="11.42578125" style="445" bestFit="1" customWidth="1"/>
    <col min="9478" max="9478" width="8" style="445" bestFit="1" customWidth="1"/>
    <col min="9479" max="9479" width="11" style="445" bestFit="1" customWidth="1"/>
    <col min="9480" max="9480" width="6.28515625" style="445" customWidth="1"/>
    <col min="9481" max="9481" width="11.42578125" style="445" bestFit="1" customWidth="1"/>
    <col min="9482" max="9482" width="6.28515625" style="445" customWidth="1"/>
    <col min="9483" max="9483" width="12.42578125" style="445" bestFit="1" customWidth="1"/>
    <col min="9484" max="9484" width="6.28515625" style="445" customWidth="1"/>
    <col min="9485" max="9488" width="8.42578125" style="445" bestFit="1" customWidth="1"/>
    <col min="9489" max="9489" width="19.42578125" style="445" customWidth="1"/>
    <col min="9490" max="9490" width="11" style="445" bestFit="1" customWidth="1"/>
    <col min="9491" max="9491" width="13.85546875" style="445" bestFit="1" customWidth="1"/>
    <col min="9492" max="9492" width="11" style="445" bestFit="1" customWidth="1"/>
    <col min="9493" max="9493" width="12.5703125" style="445" bestFit="1" customWidth="1"/>
    <col min="9494" max="9494" width="11.42578125" style="445"/>
    <col min="9495" max="9495" width="12.5703125" style="445" bestFit="1" customWidth="1"/>
    <col min="9496" max="9496" width="11.42578125" style="445"/>
    <col min="9497" max="9497" width="12.5703125" style="445" bestFit="1" customWidth="1"/>
    <col min="9498" max="9729" width="11.42578125" style="445"/>
    <col min="9730" max="9730" width="37.140625" style="445" bestFit="1" customWidth="1"/>
    <col min="9731" max="9731" width="11.42578125" style="445" bestFit="1" customWidth="1"/>
    <col min="9732" max="9732" width="6.28515625" style="445" bestFit="1" customWidth="1"/>
    <col min="9733" max="9733" width="11.42578125" style="445" bestFit="1" customWidth="1"/>
    <col min="9734" max="9734" width="8" style="445" bestFit="1" customWidth="1"/>
    <col min="9735" max="9735" width="11" style="445" bestFit="1" customWidth="1"/>
    <col min="9736" max="9736" width="6.28515625" style="445" customWidth="1"/>
    <col min="9737" max="9737" width="11.42578125" style="445" bestFit="1" customWidth="1"/>
    <col min="9738" max="9738" width="6.28515625" style="445" customWidth="1"/>
    <col min="9739" max="9739" width="12.42578125" style="445" bestFit="1" customWidth="1"/>
    <col min="9740" max="9740" width="6.28515625" style="445" customWidth="1"/>
    <col min="9741" max="9744" width="8.42578125" style="445" bestFit="1" customWidth="1"/>
    <col min="9745" max="9745" width="19.42578125" style="445" customWidth="1"/>
    <col min="9746" max="9746" width="11" style="445" bestFit="1" customWidth="1"/>
    <col min="9747" max="9747" width="13.85546875" style="445" bestFit="1" customWidth="1"/>
    <col min="9748" max="9748" width="11" style="445" bestFit="1" customWidth="1"/>
    <col min="9749" max="9749" width="12.5703125" style="445" bestFit="1" customWidth="1"/>
    <col min="9750" max="9750" width="11.42578125" style="445"/>
    <col min="9751" max="9751" width="12.5703125" style="445" bestFit="1" customWidth="1"/>
    <col min="9752" max="9752" width="11.42578125" style="445"/>
    <col min="9753" max="9753" width="12.5703125" style="445" bestFit="1" customWidth="1"/>
    <col min="9754" max="9985" width="11.42578125" style="445"/>
    <col min="9986" max="9986" width="37.140625" style="445" bestFit="1" customWidth="1"/>
    <col min="9987" max="9987" width="11.42578125" style="445" bestFit="1" customWidth="1"/>
    <col min="9988" max="9988" width="6.28515625" style="445" bestFit="1" customWidth="1"/>
    <col min="9989" max="9989" width="11.42578125" style="445" bestFit="1" customWidth="1"/>
    <col min="9990" max="9990" width="8" style="445" bestFit="1" customWidth="1"/>
    <col min="9991" max="9991" width="11" style="445" bestFit="1" customWidth="1"/>
    <col min="9992" max="9992" width="6.28515625" style="445" customWidth="1"/>
    <col min="9993" max="9993" width="11.42578125" style="445" bestFit="1" customWidth="1"/>
    <col min="9994" max="9994" width="6.28515625" style="445" customWidth="1"/>
    <col min="9995" max="9995" width="12.42578125" style="445" bestFit="1" customWidth="1"/>
    <col min="9996" max="9996" width="6.28515625" style="445" customWidth="1"/>
    <col min="9997" max="10000" width="8.42578125" style="445" bestFit="1" customWidth="1"/>
    <col min="10001" max="10001" width="19.42578125" style="445" customWidth="1"/>
    <col min="10002" max="10002" width="11" style="445" bestFit="1" customWidth="1"/>
    <col min="10003" max="10003" width="13.85546875" style="445" bestFit="1" customWidth="1"/>
    <col min="10004" max="10004" width="11" style="445" bestFit="1" customWidth="1"/>
    <col min="10005" max="10005" width="12.5703125" style="445" bestFit="1" customWidth="1"/>
    <col min="10006" max="10006" width="11.42578125" style="445"/>
    <col min="10007" max="10007" width="12.5703125" style="445" bestFit="1" customWidth="1"/>
    <col min="10008" max="10008" width="11.42578125" style="445"/>
    <col min="10009" max="10009" width="12.5703125" style="445" bestFit="1" customWidth="1"/>
    <col min="10010" max="10241" width="11.42578125" style="445"/>
    <col min="10242" max="10242" width="37.140625" style="445" bestFit="1" customWidth="1"/>
    <col min="10243" max="10243" width="11.42578125" style="445" bestFit="1" customWidth="1"/>
    <col min="10244" max="10244" width="6.28515625" style="445" bestFit="1" customWidth="1"/>
    <col min="10245" max="10245" width="11.42578125" style="445" bestFit="1" customWidth="1"/>
    <col min="10246" max="10246" width="8" style="445" bestFit="1" customWidth="1"/>
    <col min="10247" max="10247" width="11" style="445" bestFit="1" customWidth="1"/>
    <col min="10248" max="10248" width="6.28515625" style="445" customWidth="1"/>
    <col min="10249" max="10249" width="11.42578125" style="445" bestFit="1" customWidth="1"/>
    <col min="10250" max="10250" width="6.28515625" style="445" customWidth="1"/>
    <col min="10251" max="10251" width="12.42578125" style="445" bestFit="1" customWidth="1"/>
    <col min="10252" max="10252" width="6.28515625" style="445" customWidth="1"/>
    <col min="10253" max="10256" width="8.42578125" style="445" bestFit="1" customWidth="1"/>
    <col min="10257" max="10257" width="19.42578125" style="445" customWidth="1"/>
    <col min="10258" max="10258" width="11" style="445" bestFit="1" customWidth="1"/>
    <col min="10259" max="10259" width="13.85546875" style="445" bestFit="1" customWidth="1"/>
    <col min="10260" max="10260" width="11" style="445" bestFit="1" customWidth="1"/>
    <col min="10261" max="10261" width="12.5703125" style="445" bestFit="1" customWidth="1"/>
    <col min="10262" max="10262" width="11.42578125" style="445"/>
    <col min="10263" max="10263" width="12.5703125" style="445" bestFit="1" customWidth="1"/>
    <col min="10264" max="10264" width="11.42578125" style="445"/>
    <col min="10265" max="10265" width="12.5703125" style="445" bestFit="1" customWidth="1"/>
    <col min="10266" max="10497" width="11.42578125" style="445"/>
    <col min="10498" max="10498" width="37.140625" style="445" bestFit="1" customWidth="1"/>
    <col min="10499" max="10499" width="11.42578125" style="445" bestFit="1" customWidth="1"/>
    <col min="10500" max="10500" width="6.28515625" style="445" bestFit="1" customWidth="1"/>
    <col min="10501" max="10501" width="11.42578125" style="445" bestFit="1" customWidth="1"/>
    <col min="10502" max="10502" width="8" style="445" bestFit="1" customWidth="1"/>
    <col min="10503" max="10503" width="11" style="445" bestFit="1" customWidth="1"/>
    <col min="10504" max="10504" width="6.28515625" style="445" customWidth="1"/>
    <col min="10505" max="10505" width="11.42578125" style="445" bestFit="1" customWidth="1"/>
    <col min="10506" max="10506" width="6.28515625" style="445" customWidth="1"/>
    <col min="10507" max="10507" width="12.42578125" style="445" bestFit="1" customWidth="1"/>
    <col min="10508" max="10508" width="6.28515625" style="445" customWidth="1"/>
    <col min="10509" max="10512" width="8.42578125" style="445" bestFit="1" customWidth="1"/>
    <col min="10513" max="10513" width="19.42578125" style="445" customWidth="1"/>
    <col min="10514" max="10514" width="11" style="445" bestFit="1" customWidth="1"/>
    <col min="10515" max="10515" width="13.85546875" style="445" bestFit="1" customWidth="1"/>
    <col min="10516" max="10516" width="11" style="445" bestFit="1" customWidth="1"/>
    <col min="10517" max="10517" width="12.5703125" style="445" bestFit="1" customWidth="1"/>
    <col min="10518" max="10518" width="11.42578125" style="445"/>
    <col min="10519" max="10519" width="12.5703125" style="445" bestFit="1" customWidth="1"/>
    <col min="10520" max="10520" width="11.42578125" style="445"/>
    <col min="10521" max="10521" width="12.5703125" style="445" bestFit="1" customWidth="1"/>
    <col min="10522" max="10753" width="11.42578125" style="445"/>
    <col min="10754" max="10754" width="37.140625" style="445" bestFit="1" customWidth="1"/>
    <col min="10755" max="10755" width="11.42578125" style="445" bestFit="1" customWidth="1"/>
    <col min="10756" max="10756" width="6.28515625" style="445" bestFit="1" customWidth="1"/>
    <col min="10757" max="10757" width="11.42578125" style="445" bestFit="1" customWidth="1"/>
    <col min="10758" max="10758" width="8" style="445" bestFit="1" customWidth="1"/>
    <col min="10759" max="10759" width="11" style="445" bestFit="1" customWidth="1"/>
    <col min="10760" max="10760" width="6.28515625" style="445" customWidth="1"/>
    <col min="10761" max="10761" width="11.42578125" style="445" bestFit="1" customWidth="1"/>
    <col min="10762" max="10762" width="6.28515625" style="445" customWidth="1"/>
    <col min="10763" max="10763" width="12.42578125" style="445" bestFit="1" customWidth="1"/>
    <col min="10764" max="10764" width="6.28515625" style="445" customWidth="1"/>
    <col min="10765" max="10768" width="8.42578125" style="445" bestFit="1" customWidth="1"/>
    <col min="10769" max="10769" width="19.42578125" style="445" customWidth="1"/>
    <col min="10770" max="10770" width="11" style="445" bestFit="1" customWidth="1"/>
    <col min="10771" max="10771" width="13.85546875" style="445" bestFit="1" customWidth="1"/>
    <col min="10772" max="10772" width="11" style="445" bestFit="1" customWidth="1"/>
    <col min="10773" max="10773" width="12.5703125" style="445" bestFit="1" customWidth="1"/>
    <col min="10774" max="10774" width="11.42578125" style="445"/>
    <col min="10775" max="10775" width="12.5703125" style="445" bestFit="1" customWidth="1"/>
    <col min="10776" max="10776" width="11.42578125" style="445"/>
    <col min="10777" max="10777" width="12.5703125" style="445" bestFit="1" customWidth="1"/>
    <col min="10778" max="11009" width="11.42578125" style="445"/>
    <col min="11010" max="11010" width="37.140625" style="445" bestFit="1" customWidth="1"/>
    <col min="11011" max="11011" width="11.42578125" style="445" bestFit="1" customWidth="1"/>
    <col min="11012" max="11012" width="6.28515625" style="445" bestFit="1" customWidth="1"/>
    <col min="11013" max="11013" width="11.42578125" style="445" bestFit="1" customWidth="1"/>
    <col min="11014" max="11014" width="8" style="445" bestFit="1" customWidth="1"/>
    <col min="11015" max="11015" width="11" style="445" bestFit="1" customWidth="1"/>
    <col min="11016" max="11016" width="6.28515625" style="445" customWidth="1"/>
    <col min="11017" max="11017" width="11.42578125" style="445" bestFit="1" customWidth="1"/>
    <col min="11018" max="11018" width="6.28515625" style="445" customWidth="1"/>
    <col min="11019" max="11019" width="12.42578125" style="445" bestFit="1" customWidth="1"/>
    <col min="11020" max="11020" width="6.28515625" style="445" customWidth="1"/>
    <col min="11021" max="11024" width="8.42578125" style="445" bestFit="1" customWidth="1"/>
    <col min="11025" max="11025" width="19.42578125" style="445" customWidth="1"/>
    <col min="11026" max="11026" width="11" style="445" bestFit="1" customWidth="1"/>
    <col min="11027" max="11027" width="13.85546875" style="445" bestFit="1" customWidth="1"/>
    <col min="11028" max="11028" width="11" style="445" bestFit="1" customWidth="1"/>
    <col min="11029" max="11029" width="12.5703125" style="445" bestFit="1" customWidth="1"/>
    <col min="11030" max="11030" width="11.42578125" style="445"/>
    <col min="11031" max="11031" width="12.5703125" style="445" bestFit="1" customWidth="1"/>
    <col min="11032" max="11032" width="11.42578125" style="445"/>
    <col min="11033" max="11033" width="12.5703125" style="445" bestFit="1" customWidth="1"/>
    <col min="11034" max="11265" width="11.42578125" style="445"/>
    <col min="11266" max="11266" width="37.140625" style="445" bestFit="1" customWidth="1"/>
    <col min="11267" max="11267" width="11.42578125" style="445" bestFit="1" customWidth="1"/>
    <col min="11268" max="11268" width="6.28515625" style="445" bestFit="1" customWidth="1"/>
    <col min="11269" max="11269" width="11.42578125" style="445" bestFit="1" customWidth="1"/>
    <col min="11270" max="11270" width="8" style="445" bestFit="1" customWidth="1"/>
    <col min="11271" max="11271" width="11" style="445" bestFit="1" customWidth="1"/>
    <col min="11272" max="11272" width="6.28515625" style="445" customWidth="1"/>
    <col min="11273" max="11273" width="11.42578125" style="445" bestFit="1" customWidth="1"/>
    <col min="11274" max="11274" width="6.28515625" style="445" customWidth="1"/>
    <col min="11275" max="11275" width="12.42578125" style="445" bestFit="1" customWidth="1"/>
    <col min="11276" max="11276" width="6.28515625" style="445" customWidth="1"/>
    <col min="11277" max="11280" width="8.42578125" style="445" bestFit="1" customWidth="1"/>
    <col min="11281" max="11281" width="19.42578125" style="445" customWidth="1"/>
    <col min="11282" max="11282" width="11" style="445" bestFit="1" customWidth="1"/>
    <col min="11283" max="11283" width="13.85546875" style="445" bestFit="1" customWidth="1"/>
    <col min="11284" max="11284" width="11" style="445" bestFit="1" customWidth="1"/>
    <col min="11285" max="11285" width="12.5703125" style="445" bestFit="1" customWidth="1"/>
    <col min="11286" max="11286" width="11.42578125" style="445"/>
    <col min="11287" max="11287" width="12.5703125" style="445" bestFit="1" customWidth="1"/>
    <col min="11288" max="11288" width="11.42578125" style="445"/>
    <col min="11289" max="11289" width="12.5703125" style="445" bestFit="1" customWidth="1"/>
    <col min="11290" max="11521" width="11.42578125" style="445"/>
    <col min="11522" max="11522" width="37.140625" style="445" bestFit="1" customWidth="1"/>
    <col min="11523" max="11523" width="11.42578125" style="445" bestFit="1" customWidth="1"/>
    <col min="11524" max="11524" width="6.28515625" style="445" bestFit="1" customWidth="1"/>
    <col min="11525" max="11525" width="11.42578125" style="445" bestFit="1" customWidth="1"/>
    <col min="11526" max="11526" width="8" style="445" bestFit="1" customWidth="1"/>
    <col min="11527" max="11527" width="11" style="445" bestFit="1" customWidth="1"/>
    <col min="11528" max="11528" width="6.28515625" style="445" customWidth="1"/>
    <col min="11529" max="11529" width="11.42578125" style="445" bestFit="1" customWidth="1"/>
    <col min="11530" max="11530" width="6.28515625" style="445" customWidth="1"/>
    <col min="11531" max="11531" width="12.42578125" style="445" bestFit="1" customWidth="1"/>
    <col min="11532" max="11532" width="6.28515625" style="445" customWidth="1"/>
    <col min="11533" max="11536" width="8.42578125" style="445" bestFit="1" customWidth="1"/>
    <col min="11537" max="11537" width="19.42578125" style="445" customWidth="1"/>
    <col min="11538" max="11538" width="11" style="445" bestFit="1" customWidth="1"/>
    <col min="11539" max="11539" width="13.85546875" style="445" bestFit="1" customWidth="1"/>
    <col min="11540" max="11540" width="11" style="445" bestFit="1" customWidth="1"/>
    <col min="11541" max="11541" width="12.5703125" style="445" bestFit="1" customWidth="1"/>
    <col min="11542" max="11542" width="11.42578125" style="445"/>
    <col min="11543" max="11543" width="12.5703125" style="445" bestFit="1" customWidth="1"/>
    <col min="11544" max="11544" width="11.42578125" style="445"/>
    <col min="11545" max="11545" width="12.5703125" style="445" bestFit="1" customWidth="1"/>
    <col min="11546" max="11777" width="11.42578125" style="445"/>
    <col min="11778" max="11778" width="37.140625" style="445" bestFit="1" customWidth="1"/>
    <col min="11779" max="11779" width="11.42578125" style="445" bestFit="1" customWidth="1"/>
    <col min="11780" max="11780" width="6.28515625" style="445" bestFit="1" customWidth="1"/>
    <col min="11781" max="11781" width="11.42578125" style="445" bestFit="1" customWidth="1"/>
    <col min="11782" max="11782" width="8" style="445" bestFit="1" customWidth="1"/>
    <col min="11783" max="11783" width="11" style="445" bestFit="1" customWidth="1"/>
    <col min="11784" max="11784" width="6.28515625" style="445" customWidth="1"/>
    <col min="11785" max="11785" width="11.42578125" style="445" bestFit="1" customWidth="1"/>
    <col min="11786" max="11786" width="6.28515625" style="445" customWidth="1"/>
    <col min="11787" max="11787" width="12.42578125" style="445" bestFit="1" customWidth="1"/>
    <col min="11788" max="11788" width="6.28515625" style="445" customWidth="1"/>
    <col min="11789" max="11792" width="8.42578125" style="445" bestFit="1" customWidth="1"/>
    <col min="11793" max="11793" width="19.42578125" style="445" customWidth="1"/>
    <col min="11794" max="11794" width="11" style="445" bestFit="1" customWidth="1"/>
    <col min="11795" max="11795" width="13.85546875" style="445" bestFit="1" customWidth="1"/>
    <col min="11796" max="11796" width="11" style="445" bestFit="1" customWidth="1"/>
    <col min="11797" max="11797" width="12.5703125" style="445" bestFit="1" customWidth="1"/>
    <col min="11798" max="11798" width="11.42578125" style="445"/>
    <col min="11799" max="11799" width="12.5703125" style="445" bestFit="1" customWidth="1"/>
    <col min="11800" max="11800" width="11.42578125" style="445"/>
    <col min="11801" max="11801" width="12.5703125" style="445" bestFit="1" customWidth="1"/>
    <col min="11802" max="12033" width="11.42578125" style="445"/>
    <col min="12034" max="12034" width="37.140625" style="445" bestFit="1" customWidth="1"/>
    <col min="12035" max="12035" width="11.42578125" style="445" bestFit="1" customWidth="1"/>
    <col min="12036" max="12036" width="6.28515625" style="445" bestFit="1" customWidth="1"/>
    <col min="12037" max="12037" width="11.42578125" style="445" bestFit="1" customWidth="1"/>
    <col min="12038" max="12038" width="8" style="445" bestFit="1" customWidth="1"/>
    <col min="12039" max="12039" width="11" style="445" bestFit="1" customWidth="1"/>
    <col min="12040" max="12040" width="6.28515625" style="445" customWidth="1"/>
    <col min="12041" max="12041" width="11.42578125" style="445" bestFit="1" customWidth="1"/>
    <col min="12042" max="12042" width="6.28515625" style="445" customWidth="1"/>
    <col min="12043" max="12043" width="12.42578125" style="445" bestFit="1" customWidth="1"/>
    <col min="12044" max="12044" width="6.28515625" style="445" customWidth="1"/>
    <col min="12045" max="12048" width="8.42578125" style="445" bestFit="1" customWidth="1"/>
    <col min="12049" max="12049" width="19.42578125" style="445" customWidth="1"/>
    <col min="12050" max="12050" width="11" style="445" bestFit="1" customWidth="1"/>
    <col min="12051" max="12051" width="13.85546875" style="445" bestFit="1" customWidth="1"/>
    <col min="12052" max="12052" width="11" style="445" bestFit="1" customWidth="1"/>
    <col min="12053" max="12053" width="12.5703125" style="445" bestFit="1" customWidth="1"/>
    <col min="12054" max="12054" width="11.42578125" style="445"/>
    <col min="12055" max="12055" width="12.5703125" style="445" bestFit="1" customWidth="1"/>
    <col min="12056" max="12056" width="11.42578125" style="445"/>
    <col min="12057" max="12057" width="12.5703125" style="445" bestFit="1" customWidth="1"/>
    <col min="12058" max="12289" width="11.42578125" style="445"/>
    <col min="12290" max="12290" width="37.140625" style="445" bestFit="1" customWidth="1"/>
    <col min="12291" max="12291" width="11.42578125" style="445" bestFit="1" customWidth="1"/>
    <col min="12292" max="12292" width="6.28515625" style="445" bestFit="1" customWidth="1"/>
    <col min="12293" max="12293" width="11.42578125" style="445" bestFit="1" customWidth="1"/>
    <col min="12294" max="12294" width="8" style="445" bestFit="1" customWidth="1"/>
    <col min="12295" max="12295" width="11" style="445" bestFit="1" customWidth="1"/>
    <col min="12296" max="12296" width="6.28515625" style="445" customWidth="1"/>
    <col min="12297" max="12297" width="11.42578125" style="445" bestFit="1" customWidth="1"/>
    <col min="12298" max="12298" width="6.28515625" style="445" customWidth="1"/>
    <col min="12299" max="12299" width="12.42578125" style="445" bestFit="1" customWidth="1"/>
    <col min="12300" max="12300" width="6.28515625" style="445" customWidth="1"/>
    <col min="12301" max="12304" width="8.42578125" style="445" bestFit="1" customWidth="1"/>
    <col min="12305" max="12305" width="19.42578125" style="445" customWidth="1"/>
    <col min="12306" max="12306" width="11" style="445" bestFit="1" customWidth="1"/>
    <col min="12307" max="12307" width="13.85546875" style="445" bestFit="1" customWidth="1"/>
    <col min="12308" max="12308" width="11" style="445" bestFit="1" customWidth="1"/>
    <col min="12309" max="12309" width="12.5703125" style="445" bestFit="1" customWidth="1"/>
    <col min="12310" max="12310" width="11.42578125" style="445"/>
    <col min="12311" max="12311" width="12.5703125" style="445" bestFit="1" customWidth="1"/>
    <col min="12312" max="12312" width="11.42578125" style="445"/>
    <col min="12313" max="12313" width="12.5703125" style="445" bestFit="1" customWidth="1"/>
    <col min="12314" max="12545" width="11.42578125" style="445"/>
    <col min="12546" max="12546" width="37.140625" style="445" bestFit="1" customWidth="1"/>
    <col min="12547" max="12547" width="11.42578125" style="445" bestFit="1" customWidth="1"/>
    <col min="12548" max="12548" width="6.28515625" style="445" bestFit="1" customWidth="1"/>
    <col min="12549" max="12549" width="11.42578125" style="445" bestFit="1" customWidth="1"/>
    <col min="12550" max="12550" width="8" style="445" bestFit="1" customWidth="1"/>
    <col min="12551" max="12551" width="11" style="445" bestFit="1" customWidth="1"/>
    <col min="12552" max="12552" width="6.28515625" style="445" customWidth="1"/>
    <col min="12553" max="12553" width="11.42578125" style="445" bestFit="1" customWidth="1"/>
    <col min="12554" max="12554" width="6.28515625" style="445" customWidth="1"/>
    <col min="12555" max="12555" width="12.42578125" style="445" bestFit="1" customWidth="1"/>
    <col min="12556" max="12556" width="6.28515625" style="445" customWidth="1"/>
    <col min="12557" max="12560" width="8.42578125" style="445" bestFit="1" customWidth="1"/>
    <col min="12561" max="12561" width="19.42578125" style="445" customWidth="1"/>
    <col min="12562" max="12562" width="11" style="445" bestFit="1" customWidth="1"/>
    <col min="12563" max="12563" width="13.85546875" style="445" bestFit="1" customWidth="1"/>
    <col min="12564" max="12564" width="11" style="445" bestFit="1" customWidth="1"/>
    <col min="12565" max="12565" width="12.5703125" style="445" bestFit="1" customWidth="1"/>
    <col min="12566" max="12566" width="11.42578125" style="445"/>
    <col min="12567" max="12567" width="12.5703125" style="445" bestFit="1" customWidth="1"/>
    <col min="12568" max="12568" width="11.42578125" style="445"/>
    <col min="12569" max="12569" width="12.5703125" style="445" bestFit="1" customWidth="1"/>
    <col min="12570" max="12801" width="11.42578125" style="445"/>
    <col min="12802" max="12802" width="37.140625" style="445" bestFit="1" customWidth="1"/>
    <col min="12803" max="12803" width="11.42578125" style="445" bestFit="1" customWidth="1"/>
    <col min="12804" max="12804" width="6.28515625" style="445" bestFit="1" customWidth="1"/>
    <col min="12805" max="12805" width="11.42578125" style="445" bestFit="1" customWidth="1"/>
    <col min="12806" max="12806" width="8" style="445" bestFit="1" customWidth="1"/>
    <col min="12807" max="12807" width="11" style="445" bestFit="1" customWidth="1"/>
    <col min="12808" max="12808" width="6.28515625" style="445" customWidth="1"/>
    <col min="12809" max="12809" width="11.42578125" style="445" bestFit="1" customWidth="1"/>
    <col min="12810" max="12810" width="6.28515625" style="445" customWidth="1"/>
    <col min="12811" max="12811" width="12.42578125" style="445" bestFit="1" customWidth="1"/>
    <col min="12812" max="12812" width="6.28515625" style="445" customWidth="1"/>
    <col min="12813" max="12816" width="8.42578125" style="445" bestFit="1" customWidth="1"/>
    <col min="12817" max="12817" width="19.42578125" style="445" customWidth="1"/>
    <col min="12818" max="12818" width="11" style="445" bestFit="1" customWidth="1"/>
    <col min="12819" max="12819" width="13.85546875" style="445" bestFit="1" customWidth="1"/>
    <col min="12820" max="12820" width="11" style="445" bestFit="1" customWidth="1"/>
    <col min="12821" max="12821" width="12.5703125" style="445" bestFit="1" customWidth="1"/>
    <col min="12822" max="12822" width="11.42578125" style="445"/>
    <col min="12823" max="12823" width="12.5703125" style="445" bestFit="1" customWidth="1"/>
    <col min="12824" max="12824" width="11.42578125" style="445"/>
    <col min="12825" max="12825" width="12.5703125" style="445" bestFit="1" customWidth="1"/>
    <col min="12826" max="13057" width="11.42578125" style="445"/>
    <col min="13058" max="13058" width="37.140625" style="445" bestFit="1" customWidth="1"/>
    <col min="13059" max="13059" width="11.42578125" style="445" bestFit="1" customWidth="1"/>
    <col min="13060" max="13060" width="6.28515625" style="445" bestFit="1" customWidth="1"/>
    <col min="13061" max="13061" width="11.42578125" style="445" bestFit="1" customWidth="1"/>
    <col min="13062" max="13062" width="8" style="445" bestFit="1" customWidth="1"/>
    <col min="13063" max="13063" width="11" style="445" bestFit="1" customWidth="1"/>
    <col min="13064" max="13064" width="6.28515625" style="445" customWidth="1"/>
    <col min="13065" max="13065" width="11.42578125" style="445" bestFit="1" customWidth="1"/>
    <col min="13066" max="13066" width="6.28515625" style="445" customWidth="1"/>
    <col min="13067" max="13067" width="12.42578125" style="445" bestFit="1" customWidth="1"/>
    <col min="13068" max="13068" width="6.28515625" style="445" customWidth="1"/>
    <col min="13069" max="13072" width="8.42578125" style="445" bestFit="1" customWidth="1"/>
    <col min="13073" max="13073" width="19.42578125" style="445" customWidth="1"/>
    <col min="13074" max="13074" width="11" style="445" bestFit="1" customWidth="1"/>
    <col min="13075" max="13075" width="13.85546875" style="445" bestFit="1" customWidth="1"/>
    <col min="13076" max="13076" width="11" style="445" bestFit="1" customWidth="1"/>
    <col min="13077" max="13077" width="12.5703125" style="445" bestFit="1" customWidth="1"/>
    <col min="13078" max="13078" width="11.42578125" style="445"/>
    <col min="13079" max="13079" width="12.5703125" style="445" bestFit="1" customWidth="1"/>
    <col min="13080" max="13080" width="11.42578125" style="445"/>
    <col min="13081" max="13081" width="12.5703125" style="445" bestFit="1" customWidth="1"/>
    <col min="13082" max="13313" width="11.42578125" style="445"/>
    <col min="13314" max="13314" width="37.140625" style="445" bestFit="1" customWidth="1"/>
    <col min="13315" max="13315" width="11.42578125" style="445" bestFit="1" customWidth="1"/>
    <col min="13316" max="13316" width="6.28515625" style="445" bestFit="1" customWidth="1"/>
    <col min="13317" max="13317" width="11.42578125" style="445" bestFit="1" customWidth="1"/>
    <col min="13318" max="13318" width="8" style="445" bestFit="1" customWidth="1"/>
    <col min="13319" max="13319" width="11" style="445" bestFit="1" customWidth="1"/>
    <col min="13320" max="13320" width="6.28515625" style="445" customWidth="1"/>
    <col min="13321" max="13321" width="11.42578125" style="445" bestFit="1" customWidth="1"/>
    <col min="13322" max="13322" width="6.28515625" style="445" customWidth="1"/>
    <col min="13323" max="13323" width="12.42578125" style="445" bestFit="1" customWidth="1"/>
    <col min="13324" max="13324" width="6.28515625" style="445" customWidth="1"/>
    <col min="13325" max="13328" width="8.42578125" style="445" bestFit="1" customWidth="1"/>
    <col min="13329" max="13329" width="19.42578125" style="445" customWidth="1"/>
    <col min="13330" max="13330" width="11" style="445" bestFit="1" customWidth="1"/>
    <col min="13331" max="13331" width="13.85546875" style="445" bestFit="1" customWidth="1"/>
    <col min="13332" max="13332" width="11" style="445" bestFit="1" customWidth="1"/>
    <col min="13333" max="13333" width="12.5703125" style="445" bestFit="1" customWidth="1"/>
    <col min="13334" max="13334" width="11.42578125" style="445"/>
    <col min="13335" max="13335" width="12.5703125" style="445" bestFit="1" customWidth="1"/>
    <col min="13336" max="13336" width="11.42578125" style="445"/>
    <col min="13337" max="13337" width="12.5703125" style="445" bestFit="1" customWidth="1"/>
    <col min="13338" max="13569" width="11.42578125" style="445"/>
    <col min="13570" max="13570" width="37.140625" style="445" bestFit="1" customWidth="1"/>
    <col min="13571" max="13571" width="11.42578125" style="445" bestFit="1" customWidth="1"/>
    <col min="13572" max="13572" width="6.28515625" style="445" bestFit="1" customWidth="1"/>
    <col min="13573" max="13573" width="11.42578125" style="445" bestFit="1" customWidth="1"/>
    <col min="13574" max="13574" width="8" style="445" bestFit="1" customWidth="1"/>
    <col min="13575" max="13575" width="11" style="445" bestFit="1" customWidth="1"/>
    <col min="13576" max="13576" width="6.28515625" style="445" customWidth="1"/>
    <col min="13577" max="13577" width="11.42578125" style="445" bestFit="1" customWidth="1"/>
    <col min="13578" max="13578" width="6.28515625" style="445" customWidth="1"/>
    <col min="13579" max="13579" width="12.42578125" style="445" bestFit="1" customWidth="1"/>
    <col min="13580" max="13580" width="6.28515625" style="445" customWidth="1"/>
    <col min="13581" max="13584" width="8.42578125" style="445" bestFit="1" customWidth="1"/>
    <col min="13585" max="13585" width="19.42578125" style="445" customWidth="1"/>
    <col min="13586" max="13586" width="11" style="445" bestFit="1" customWidth="1"/>
    <col min="13587" max="13587" width="13.85546875" style="445" bestFit="1" customWidth="1"/>
    <col min="13588" max="13588" width="11" style="445" bestFit="1" customWidth="1"/>
    <col min="13589" max="13589" width="12.5703125" style="445" bestFit="1" customWidth="1"/>
    <col min="13590" max="13590" width="11.42578125" style="445"/>
    <col min="13591" max="13591" width="12.5703125" style="445" bestFit="1" customWidth="1"/>
    <col min="13592" max="13592" width="11.42578125" style="445"/>
    <col min="13593" max="13593" width="12.5703125" style="445" bestFit="1" customWidth="1"/>
    <col min="13594" max="13825" width="11.42578125" style="445"/>
    <col min="13826" max="13826" width="37.140625" style="445" bestFit="1" customWidth="1"/>
    <col min="13827" max="13827" width="11.42578125" style="445" bestFit="1" customWidth="1"/>
    <col min="13828" max="13828" width="6.28515625" style="445" bestFit="1" customWidth="1"/>
    <col min="13829" max="13829" width="11.42578125" style="445" bestFit="1" customWidth="1"/>
    <col min="13830" max="13830" width="8" style="445" bestFit="1" customWidth="1"/>
    <col min="13831" max="13831" width="11" style="445" bestFit="1" customWidth="1"/>
    <col min="13832" max="13832" width="6.28515625" style="445" customWidth="1"/>
    <col min="13833" max="13833" width="11.42578125" style="445" bestFit="1" customWidth="1"/>
    <col min="13834" max="13834" width="6.28515625" style="445" customWidth="1"/>
    <col min="13835" max="13835" width="12.42578125" style="445" bestFit="1" customWidth="1"/>
    <col min="13836" max="13836" width="6.28515625" style="445" customWidth="1"/>
    <col min="13837" max="13840" width="8.42578125" style="445" bestFit="1" customWidth="1"/>
    <col min="13841" max="13841" width="19.42578125" style="445" customWidth="1"/>
    <col min="13842" max="13842" width="11" style="445" bestFit="1" customWidth="1"/>
    <col min="13843" max="13843" width="13.85546875" style="445" bestFit="1" customWidth="1"/>
    <col min="13844" max="13844" width="11" style="445" bestFit="1" customWidth="1"/>
    <col min="13845" max="13845" width="12.5703125" style="445" bestFit="1" customWidth="1"/>
    <col min="13846" max="13846" width="11.42578125" style="445"/>
    <col min="13847" max="13847" width="12.5703125" style="445" bestFit="1" customWidth="1"/>
    <col min="13848" max="13848" width="11.42578125" style="445"/>
    <col min="13849" max="13849" width="12.5703125" style="445" bestFit="1" customWidth="1"/>
    <col min="13850" max="14081" width="11.42578125" style="445"/>
    <col min="14082" max="14082" width="37.140625" style="445" bestFit="1" customWidth="1"/>
    <col min="14083" max="14083" width="11.42578125" style="445" bestFit="1" customWidth="1"/>
    <col min="14084" max="14084" width="6.28515625" style="445" bestFit="1" customWidth="1"/>
    <col min="14085" max="14085" width="11.42578125" style="445" bestFit="1" customWidth="1"/>
    <col min="14086" max="14086" width="8" style="445" bestFit="1" customWidth="1"/>
    <col min="14087" max="14087" width="11" style="445" bestFit="1" customWidth="1"/>
    <col min="14088" max="14088" width="6.28515625" style="445" customWidth="1"/>
    <col min="14089" max="14089" width="11.42578125" style="445" bestFit="1" customWidth="1"/>
    <col min="14090" max="14090" width="6.28515625" style="445" customWidth="1"/>
    <col min="14091" max="14091" width="12.42578125" style="445" bestFit="1" customWidth="1"/>
    <col min="14092" max="14092" width="6.28515625" style="445" customWidth="1"/>
    <col min="14093" max="14096" width="8.42578125" style="445" bestFit="1" customWidth="1"/>
    <col min="14097" max="14097" width="19.42578125" style="445" customWidth="1"/>
    <col min="14098" max="14098" width="11" style="445" bestFit="1" customWidth="1"/>
    <col min="14099" max="14099" width="13.85546875" style="445" bestFit="1" customWidth="1"/>
    <col min="14100" max="14100" width="11" style="445" bestFit="1" customWidth="1"/>
    <col min="14101" max="14101" width="12.5703125" style="445" bestFit="1" customWidth="1"/>
    <col min="14102" max="14102" width="11.42578125" style="445"/>
    <col min="14103" max="14103" width="12.5703125" style="445" bestFit="1" customWidth="1"/>
    <col min="14104" max="14104" width="11.42578125" style="445"/>
    <col min="14105" max="14105" width="12.5703125" style="445" bestFit="1" customWidth="1"/>
    <col min="14106" max="14337" width="11.42578125" style="445"/>
    <col min="14338" max="14338" width="37.140625" style="445" bestFit="1" customWidth="1"/>
    <col min="14339" max="14339" width="11.42578125" style="445" bestFit="1" customWidth="1"/>
    <col min="14340" max="14340" width="6.28515625" style="445" bestFit="1" customWidth="1"/>
    <col min="14341" max="14341" width="11.42578125" style="445" bestFit="1" customWidth="1"/>
    <col min="14342" max="14342" width="8" style="445" bestFit="1" customWidth="1"/>
    <col min="14343" max="14343" width="11" style="445" bestFit="1" customWidth="1"/>
    <col min="14344" max="14344" width="6.28515625" style="445" customWidth="1"/>
    <col min="14345" max="14345" width="11.42578125" style="445" bestFit="1" customWidth="1"/>
    <col min="14346" max="14346" width="6.28515625" style="445" customWidth="1"/>
    <col min="14347" max="14347" width="12.42578125" style="445" bestFit="1" customWidth="1"/>
    <col min="14348" max="14348" width="6.28515625" style="445" customWidth="1"/>
    <col min="14349" max="14352" width="8.42578125" style="445" bestFit="1" customWidth="1"/>
    <col min="14353" max="14353" width="19.42578125" style="445" customWidth="1"/>
    <col min="14354" max="14354" width="11" style="445" bestFit="1" customWidth="1"/>
    <col min="14355" max="14355" width="13.85546875" style="445" bestFit="1" customWidth="1"/>
    <col min="14356" max="14356" width="11" style="445" bestFit="1" customWidth="1"/>
    <col min="14357" max="14357" width="12.5703125" style="445" bestFit="1" customWidth="1"/>
    <col min="14358" max="14358" width="11.42578125" style="445"/>
    <col min="14359" max="14359" width="12.5703125" style="445" bestFit="1" customWidth="1"/>
    <col min="14360" max="14360" width="11.42578125" style="445"/>
    <col min="14361" max="14361" width="12.5703125" style="445" bestFit="1" customWidth="1"/>
    <col min="14362" max="14593" width="11.42578125" style="445"/>
    <col min="14594" max="14594" width="37.140625" style="445" bestFit="1" customWidth="1"/>
    <col min="14595" max="14595" width="11.42578125" style="445" bestFit="1" customWidth="1"/>
    <col min="14596" max="14596" width="6.28515625" style="445" bestFit="1" customWidth="1"/>
    <col min="14597" max="14597" width="11.42578125" style="445" bestFit="1" customWidth="1"/>
    <col min="14598" max="14598" width="8" style="445" bestFit="1" customWidth="1"/>
    <col min="14599" max="14599" width="11" style="445" bestFit="1" customWidth="1"/>
    <col min="14600" max="14600" width="6.28515625" style="445" customWidth="1"/>
    <col min="14601" max="14601" width="11.42578125" style="445" bestFit="1" customWidth="1"/>
    <col min="14602" max="14602" width="6.28515625" style="445" customWidth="1"/>
    <col min="14603" max="14603" width="12.42578125" style="445" bestFit="1" customWidth="1"/>
    <col min="14604" max="14604" width="6.28515625" style="445" customWidth="1"/>
    <col min="14605" max="14608" width="8.42578125" style="445" bestFit="1" customWidth="1"/>
    <col min="14609" max="14609" width="19.42578125" style="445" customWidth="1"/>
    <col min="14610" max="14610" width="11" style="445" bestFit="1" customWidth="1"/>
    <col min="14611" max="14611" width="13.85546875" style="445" bestFit="1" customWidth="1"/>
    <col min="14612" max="14612" width="11" style="445" bestFit="1" customWidth="1"/>
    <col min="14613" max="14613" width="12.5703125" style="445" bestFit="1" customWidth="1"/>
    <col min="14614" max="14614" width="11.42578125" style="445"/>
    <col min="14615" max="14615" width="12.5703125" style="445" bestFit="1" customWidth="1"/>
    <col min="14616" max="14616" width="11.42578125" style="445"/>
    <col min="14617" max="14617" width="12.5703125" style="445" bestFit="1" customWidth="1"/>
    <col min="14618" max="14849" width="11.42578125" style="445"/>
    <col min="14850" max="14850" width="37.140625" style="445" bestFit="1" customWidth="1"/>
    <col min="14851" max="14851" width="11.42578125" style="445" bestFit="1" customWidth="1"/>
    <col min="14852" max="14852" width="6.28515625" style="445" bestFit="1" customWidth="1"/>
    <col min="14853" max="14853" width="11.42578125" style="445" bestFit="1" customWidth="1"/>
    <col min="14854" max="14854" width="8" style="445" bestFit="1" customWidth="1"/>
    <col min="14855" max="14855" width="11" style="445" bestFit="1" customWidth="1"/>
    <col min="14856" max="14856" width="6.28515625" style="445" customWidth="1"/>
    <col min="14857" max="14857" width="11.42578125" style="445" bestFit="1" customWidth="1"/>
    <col min="14858" max="14858" width="6.28515625" style="445" customWidth="1"/>
    <col min="14859" max="14859" width="12.42578125" style="445" bestFit="1" customWidth="1"/>
    <col min="14860" max="14860" width="6.28515625" style="445" customWidth="1"/>
    <col min="14861" max="14864" width="8.42578125" style="445" bestFit="1" customWidth="1"/>
    <col min="14865" max="14865" width="19.42578125" style="445" customWidth="1"/>
    <col min="14866" max="14866" width="11" style="445" bestFit="1" customWidth="1"/>
    <col min="14867" max="14867" width="13.85546875" style="445" bestFit="1" customWidth="1"/>
    <col min="14868" max="14868" width="11" style="445" bestFit="1" customWidth="1"/>
    <col min="14869" max="14869" width="12.5703125" style="445" bestFit="1" customWidth="1"/>
    <col min="14870" max="14870" width="11.42578125" style="445"/>
    <col min="14871" max="14871" width="12.5703125" style="445" bestFit="1" customWidth="1"/>
    <col min="14872" max="14872" width="11.42578125" style="445"/>
    <col min="14873" max="14873" width="12.5703125" style="445" bestFit="1" customWidth="1"/>
    <col min="14874" max="15105" width="11.42578125" style="445"/>
    <col min="15106" max="15106" width="37.140625" style="445" bestFit="1" customWidth="1"/>
    <col min="15107" max="15107" width="11.42578125" style="445" bestFit="1" customWidth="1"/>
    <col min="15108" max="15108" width="6.28515625" style="445" bestFit="1" customWidth="1"/>
    <col min="15109" max="15109" width="11.42578125" style="445" bestFit="1" customWidth="1"/>
    <col min="15110" max="15110" width="8" style="445" bestFit="1" customWidth="1"/>
    <col min="15111" max="15111" width="11" style="445" bestFit="1" customWidth="1"/>
    <col min="15112" max="15112" width="6.28515625" style="445" customWidth="1"/>
    <col min="15113" max="15113" width="11.42578125" style="445" bestFit="1" customWidth="1"/>
    <col min="15114" max="15114" width="6.28515625" style="445" customWidth="1"/>
    <col min="15115" max="15115" width="12.42578125" style="445" bestFit="1" customWidth="1"/>
    <col min="15116" max="15116" width="6.28515625" style="445" customWidth="1"/>
    <col min="15117" max="15120" width="8.42578125" style="445" bestFit="1" customWidth="1"/>
    <col min="15121" max="15121" width="19.42578125" style="445" customWidth="1"/>
    <col min="15122" max="15122" width="11" style="445" bestFit="1" customWidth="1"/>
    <col min="15123" max="15123" width="13.85546875" style="445" bestFit="1" customWidth="1"/>
    <col min="15124" max="15124" width="11" style="445" bestFit="1" customWidth="1"/>
    <col min="15125" max="15125" width="12.5703125" style="445" bestFit="1" customWidth="1"/>
    <col min="15126" max="15126" width="11.42578125" style="445"/>
    <col min="15127" max="15127" width="12.5703125" style="445" bestFit="1" customWidth="1"/>
    <col min="15128" max="15128" width="11.42578125" style="445"/>
    <col min="15129" max="15129" width="12.5703125" style="445" bestFit="1" customWidth="1"/>
    <col min="15130" max="15361" width="11.42578125" style="445"/>
    <col min="15362" max="15362" width="37.140625" style="445" bestFit="1" customWidth="1"/>
    <col min="15363" max="15363" width="11.42578125" style="445" bestFit="1" customWidth="1"/>
    <col min="15364" max="15364" width="6.28515625" style="445" bestFit="1" customWidth="1"/>
    <col min="15365" max="15365" width="11.42578125" style="445" bestFit="1" customWidth="1"/>
    <col min="15366" max="15366" width="8" style="445" bestFit="1" customWidth="1"/>
    <col min="15367" max="15367" width="11" style="445" bestFit="1" customWidth="1"/>
    <col min="15368" max="15368" width="6.28515625" style="445" customWidth="1"/>
    <col min="15369" max="15369" width="11.42578125" style="445" bestFit="1" customWidth="1"/>
    <col min="15370" max="15370" width="6.28515625" style="445" customWidth="1"/>
    <col min="15371" max="15371" width="12.42578125" style="445" bestFit="1" customWidth="1"/>
    <col min="15372" max="15372" width="6.28515625" style="445" customWidth="1"/>
    <col min="15373" max="15376" width="8.42578125" style="445" bestFit="1" customWidth="1"/>
    <col min="15377" max="15377" width="19.42578125" style="445" customWidth="1"/>
    <col min="15378" max="15378" width="11" style="445" bestFit="1" customWidth="1"/>
    <col min="15379" max="15379" width="13.85546875" style="445" bestFit="1" customWidth="1"/>
    <col min="15380" max="15380" width="11" style="445" bestFit="1" customWidth="1"/>
    <col min="15381" max="15381" width="12.5703125" style="445" bestFit="1" customWidth="1"/>
    <col min="15382" max="15382" width="11.42578125" style="445"/>
    <col min="15383" max="15383" width="12.5703125" style="445" bestFit="1" customWidth="1"/>
    <col min="15384" max="15384" width="11.42578125" style="445"/>
    <col min="15385" max="15385" width="12.5703125" style="445" bestFit="1" customWidth="1"/>
    <col min="15386" max="15617" width="11.42578125" style="445"/>
    <col min="15618" max="15618" width="37.140625" style="445" bestFit="1" customWidth="1"/>
    <col min="15619" max="15619" width="11.42578125" style="445" bestFit="1" customWidth="1"/>
    <col min="15620" max="15620" width="6.28515625" style="445" bestFit="1" customWidth="1"/>
    <col min="15621" max="15621" width="11.42578125" style="445" bestFit="1" customWidth="1"/>
    <col min="15622" max="15622" width="8" style="445" bestFit="1" customWidth="1"/>
    <col min="15623" max="15623" width="11" style="445" bestFit="1" customWidth="1"/>
    <col min="15624" max="15624" width="6.28515625" style="445" customWidth="1"/>
    <col min="15625" max="15625" width="11.42578125" style="445" bestFit="1" customWidth="1"/>
    <col min="15626" max="15626" width="6.28515625" style="445" customWidth="1"/>
    <col min="15627" max="15627" width="12.42578125" style="445" bestFit="1" customWidth="1"/>
    <col min="15628" max="15628" width="6.28515625" style="445" customWidth="1"/>
    <col min="15629" max="15632" width="8.42578125" style="445" bestFit="1" customWidth="1"/>
    <col min="15633" max="15633" width="19.42578125" style="445" customWidth="1"/>
    <col min="15634" max="15634" width="11" style="445" bestFit="1" customWidth="1"/>
    <col min="15635" max="15635" width="13.85546875" style="445" bestFit="1" customWidth="1"/>
    <col min="15636" max="15636" width="11" style="445" bestFit="1" customWidth="1"/>
    <col min="15637" max="15637" width="12.5703125" style="445" bestFit="1" customWidth="1"/>
    <col min="15638" max="15638" width="11.42578125" style="445"/>
    <col min="15639" max="15639" width="12.5703125" style="445" bestFit="1" customWidth="1"/>
    <col min="15640" max="15640" width="11.42578125" style="445"/>
    <col min="15641" max="15641" width="12.5703125" style="445" bestFit="1" customWidth="1"/>
    <col min="15642" max="15873" width="11.42578125" style="445"/>
    <col min="15874" max="15874" width="37.140625" style="445" bestFit="1" customWidth="1"/>
    <col min="15875" max="15875" width="11.42578125" style="445" bestFit="1" customWidth="1"/>
    <col min="15876" max="15876" width="6.28515625" style="445" bestFit="1" customWidth="1"/>
    <col min="15877" max="15877" width="11.42578125" style="445" bestFit="1" customWidth="1"/>
    <col min="15878" max="15878" width="8" style="445" bestFit="1" customWidth="1"/>
    <col min="15879" max="15879" width="11" style="445" bestFit="1" customWidth="1"/>
    <col min="15880" max="15880" width="6.28515625" style="445" customWidth="1"/>
    <col min="15881" max="15881" width="11.42578125" style="445" bestFit="1" customWidth="1"/>
    <col min="15882" max="15882" width="6.28515625" style="445" customWidth="1"/>
    <col min="15883" max="15883" width="12.42578125" style="445" bestFit="1" customWidth="1"/>
    <col min="15884" max="15884" width="6.28515625" style="445" customWidth="1"/>
    <col min="15885" max="15888" width="8.42578125" style="445" bestFit="1" customWidth="1"/>
    <col min="15889" max="15889" width="19.42578125" style="445" customWidth="1"/>
    <col min="15890" max="15890" width="11" style="445" bestFit="1" customWidth="1"/>
    <col min="15891" max="15891" width="13.85546875" style="445" bestFit="1" customWidth="1"/>
    <col min="15892" max="15892" width="11" style="445" bestFit="1" customWidth="1"/>
    <col min="15893" max="15893" width="12.5703125" style="445" bestFit="1" customWidth="1"/>
    <col min="15894" max="15894" width="11.42578125" style="445"/>
    <col min="15895" max="15895" width="12.5703125" style="445" bestFit="1" customWidth="1"/>
    <col min="15896" max="15896" width="11.42578125" style="445"/>
    <col min="15897" max="15897" width="12.5703125" style="445" bestFit="1" customWidth="1"/>
    <col min="15898" max="16129" width="11.42578125" style="445"/>
    <col min="16130" max="16130" width="37.140625" style="445" bestFit="1" customWidth="1"/>
    <col min="16131" max="16131" width="11.42578125" style="445" bestFit="1" customWidth="1"/>
    <col min="16132" max="16132" width="6.28515625" style="445" bestFit="1" customWidth="1"/>
    <col min="16133" max="16133" width="11.42578125" style="445" bestFit="1" customWidth="1"/>
    <col min="16134" max="16134" width="8" style="445" bestFit="1" customWidth="1"/>
    <col min="16135" max="16135" width="11" style="445" bestFit="1" customWidth="1"/>
    <col min="16136" max="16136" width="6.28515625" style="445" customWidth="1"/>
    <col min="16137" max="16137" width="11.42578125" style="445" bestFit="1" customWidth="1"/>
    <col min="16138" max="16138" width="6.28515625" style="445" customWidth="1"/>
    <col min="16139" max="16139" width="12.42578125" style="445" bestFit="1" customWidth="1"/>
    <col min="16140" max="16140" width="6.28515625" style="445" customWidth="1"/>
    <col min="16141" max="16144" width="8.42578125" style="445" bestFit="1" customWidth="1"/>
    <col min="16145" max="16145" width="19.42578125" style="445" customWidth="1"/>
    <col min="16146" max="16146" width="11" style="445" bestFit="1" customWidth="1"/>
    <col min="16147" max="16147" width="13.85546875" style="445" bestFit="1" customWidth="1"/>
    <col min="16148" max="16148" width="11" style="445" bestFit="1" customWidth="1"/>
    <col min="16149" max="16149" width="12.5703125" style="445" bestFit="1" customWidth="1"/>
    <col min="16150" max="16150" width="11.42578125" style="445"/>
    <col min="16151" max="16151" width="12.5703125" style="445" bestFit="1" customWidth="1"/>
    <col min="16152" max="16152" width="11.42578125" style="445"/>
    <col min="16153" max="16153" width="12.5703125" style="445" bestFit="1" customWidth="1"/>
    <col min="16154" max="16384" width="11.42578125" style="445"/>
  </cols>
  <sheetData>
    <row r="1" spans="1:21" ht="12.75" customHeight="1" x14ac:dyDescent="0.2">
      <c r="A1" s="779" t="s">
        <v>1545</v>
      </c>
      <c r="B1" s="779"/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R1" s="447"/>
    </row>
    <row r="2" spans="1:21" ht="12.75" customHeight="1" x14ac:dyDescent="0.2">
      <c r="A2" s="780" t="s">
        <v>1546</v>
      </c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R2" s="447"/>
    </row>
    <row r="3" spans="1:21" ht="12.75" customHeight="1" x14ac:dyDescent="0.2">
      <c r="A3" s="780" t="s">
        <v>1547</v>
      </c>
      <c r="B3" s="780"/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R3" s="448"/>
    </row>
    <row r="4" spans="1:21" ht="11.25" x14ac:dyDescent="0.2">
      <c r="A4" s="449" t="s">
        <v>1548</v>
      </c>
      <c r="B4" s="450">
        <v>2022</v>
      </c>
      <c r="C4" s="451" t="s">
        <v>1549</v>
      </c>
      <c r="D4" s="452">
        <v>2023</v>
      </c>
      <c r="E4" s="451" t="s">
        <v>1550</v>
      </c>
      <c r="F4" s="452">
        <v>2024</v>
      </c>
      <c r="G4" s="451" t="s">
        <v>1551</v>
      </c>
      <c r="H4" s="452">
        <v>2025</v>
      </c>
      <c r="I4" s="451" t="s">
        <v>1552</v>
      </c>
      <c r="J4" s="452">
        <v>2026</v>
      </c>
      <c r="K4" s="451" t="s">
        <v>1553</v>
      </c>
      <c r="L4" s="554"/>
      <c r="M4" s="451" t="s">
        <v>1554</v>
      </c>
      <c r="N4" s="451" t="s">
        <v>1555</v>
      </c>
      <c r="O4" s="451" t="s">
        <v>1556</v>
      </c>
      <c r="P4" s="451" t="s">
        <v>1557</v>
      </c>
    </row>
    <row r="5" spans="1:21" ht="11.25" x14ac:dyDescent="0.2">
      <c r="A5" s="449" t="s">
        <v>1558</v>
      </c>
      <c r="B5" s="453"/>
      <c r="C5" s="454"/>
      <c r="E5" s="454"/>
      <c r="F5" s="456"/>
      <c r="G5" s="454"/>
      <c r="I5" s="454"/>
      <c r="K5" s="454"/>
      <c r="L5" s="456"/>
      <c r="M5" s="454"/>
      <c r="N5" s="454"/>
      <c r="O5" s="454"/>
      <c r="P5" s="454"/>
    </row>
    <row r="6" spans="1:21" ht="11.25" x14ac:dyDescent="0.2">
      <c r="A6" s="457" t="s">
        <v>1559</v>
      </c>
      <c r="B6" s="458">
        <f>+'Balance '!$E$54</f>
        <v>766089630.55734932</v>
      </c>
      <c r="C6" s="459">
        <f>B6/$B$22</f>
        <v>0.14128789629808858</v>
      </c>
      <c r="D6" s="460">
        <f>+'Balance '!$F$54</f>
        <v>1640825501.3207743</v>
      </c>
      <c r="E6" s="459">
        <f>D6/$D$22</f>
        <v>0.25894339155663282</v>
      </c>
      <c r="F6" s="461">
        <f>+'Balance '!$G$54</f>
        <v>2645850475.9384508</v>
      </c>
      <c r="G6" s="459">
        <f t="shared" ref="G6:G11" si="0">+F6/$F$22</f>
        <v>0.35723099750560477</v>
      </c>
      <c r="H6" s="461">
        <f>+'Balance '!$H$54</f>
        <v>4644338882.3699541</v>
      </c>
      <c r="I6" s="459">
        <f t="shared" ref="I6:I11" si="1">+H6/$H$22</f>
        <v>0.48964890027329278</v>
      </c>
      <c r="J6" s="461">
        <f>+'Balance '!$I$54</f>
        <v>6811884243.9822836</v>
      </c>
      <c r="K6" s="459">
        <f t="shared" ref="K6:K11" si="2">+J6/$J$22</f>
        <v>0.57993461370265287</v>
      </c>
      <c r="L6" s="472"/>
      <c r="M6" s="459">
        <f>((D6-B6)/B6)</f>
        <v>1.1418192282892967</v>
      </c>
      <c r="N6" s="459">
        <f t="shared" ref="N6:N11" si="3">+((F6-D6)/D6)</f>
        <v>0.61251179592752958</v>
      </c>
      <c r="O6" s="459">
        <f t="shared" ref="O6:O11" si="4">IF(ISERROR((H6-F6)/F6),0,(H6-F6)/F6)</f>
        <v>0.75532930700578005</v>
      </c>
      <c r="P6" s="459">
        <f t="shared" ref="P6:P11" si="5">IF(ISERROR((J6-H6)/H6),0,(J6-H6)/H6)</f>
        <v>0.46670697735696998</v>
      </c>
    </row>
    <row r="7" spans="1:21" ht="11.25" x14ac:dyDescent="0.2">
      <c r="A7" s="457" t="s">
        <v>1560</v>
      </c>
      <c r="B7" s="458">
        <v>0</v>
      </c>
      <c r="C7" s="459">
        <f t="shared" ref="C7:C22" si="6">B7/$B$22</f>
        <v>0</v>
      </c>
      <c r="D7" s="460">
        <v>0</v>
      </c>
      <c r="E7" s="459">
        <f t="shared" ref="E7:E22" si="7">D7/$D$22</f>
        <v>0</v>
      </c>
      <c r="F7" s="461">
        <v>0</v>
      </c>
      <c r="G7" s="459">
        <f t="shared" si="0"/>
        <v>0</v>
      </c>
      <c r="H7" s="461">
        <v>0</v>
      </c>
      <c r="I7" s="459">
        <f t="shared" si="1"/>
        <v>0</v>
      </c>
      <c r="J7" s="461">
        <v>0</v>
      </c>
      <c r="K7" s="459">
        <f t="shared" si="2"/>
        <v>0</v>
      </c>
      <c r="L7" s="472"/>
      <c r="M7" s="459">
        <v>0</v>
      </c>
      <c r="N7" s="459">
        <v>0</v>
      </c>
      <c r="O7" s="459">
        <f t="shared" si="4"/>
        <v>0</v>
      </c>
      <c r="P7" s="459">
        <f t="shared" si="5"/>
        <v>0</v>
      </c>
    </row>
    <row r="8" spans="1:21" ht="11.25" x14ac:dyDescent="0.2">
      <c r="A8" s="457" t="s">
        <v>865</v>
      </c>
      <c r="B8" s="458">
        <v>0</v>
      </c>
      <c r="C8" s="459">
        <f t="shared" si="6"/>
        <v>0</v>
      </c>
      <c r="D8" s="460">
        <v>0</v>
      </c>
      <c r="E8" s="459">
        <f t="shared" si="7"/>
        <v>0</v>
      </c>
      <c r="F8" s="461">
        <v>0</v>
      </c>
      <c r="G8" s="459">
        <f t="shared" si="0"/>
        <v>0</v>
      </c>
      <c r="H8" s="461">
        <v>0</v>
      </c>
      <c r="I8" s="459">
        <f t="shared" si="1"/>
        <v>0</v>
      </c>
      <c r="J8" s="461">
        <v>0</v>
      </c>
      <c r="K8" s="459">
        <f t="shared" si="2"/>
        <v>0</v>
      </c>
      <c r="L8" s="472"/>
      <c r="M8" s="459">
        <v>0</v>
      </c>
      <c r="N8" s="459">
        <v>0</v>
      </c>
      <c r="O8" s="459">
        <f t="shared" si="4"/>
        <v>0</v>
      </c>
      <c r="P8" s="459">
        <f t="shared" si="5"/>
        <v>0</v>
      </c>
    </row>
    <row r="9" spans="1:21" ht="11.25" x14ac:dyDescent="0.2">
      <c r="A9" s="457" t="s">
        <v>1538</v>
      </c>
      <c r="B9" s="458">
        <v>0</v>
      </c>
      <c r="C9" s="459">
        <f t="shared" si="6"/>
        <v>0</v>
      </c>
      <c r="D9" s="460">
        <v>0</v>
      </c>
      <c r="E9" s="459">
        <f t="shared" si="7"/>
        <v>0</v>
      </c>
      <c r="F9" s="461">
        <v>0</v>
      </c>
      <c r="G9" s="459">
        <f t="shared" si="0"/>
        <v>0</v>
      </c>
      <c r="H9" s="461">
        <v>0</v>
      </c>
      <c r="I9" s="459">
        <f t="shared" si="1"/>
        <v>0</v>
      </c>
      <c r="J9" s="461">
        <v>0</v>
      </c>
      <c r="K9" s="459">
        <f t="shared" si="2"/>
        <v>0</v>
      </c>
      <c r="L9" s="472"/>
      <c r="M9" s="459">
        <v>0</v>
      </c>
      <c r="N9" s="459">
        <v>0</v>
      </c>
      <c r="O9" s="459">
        <f t="shared" si="4"/>
        <v>0</v>
      </c>
      <c r="P9" s="459">
        <f t="shared" si="5"/>
        <v>0</v>
      </c>
      <c r="U9" s="457"/>
    </row>
    <row r="10" spans="1:21" ht="11.25" x14ac:dyDescent="0.2">
      <c r="A10" s="462" t="s">
        <v>1561</v>
      </c>
      <c r="B10" s="463">
        <v>0</v>
      </c>
      <c r="C10" s="464">
        <f t="shared" si="6"/>
        <v>0</v>
      </c>
      <c r="D10" s="465">
        <v>0</v>
      </c>
      <c r="E10" s="464">
        <f t="shared" si="7"/>
        <v>0</v>
      </c>
      <c r="F10" s="466">
        <v>0</v>
      </c>
      <c r="G10" s="464">
        <f t="shared" si="0"/>
        <v>0</v>
      </c>
      <c r="H10" s="466">
        <v>0</v>
      </c>
      <c r="I10" s="464">
        <f t="shared" si="1"/>
        <v>0</v>
      </c>
      <c r="J10" s="466">
        <v>0</v>
      </c>
      <c r="K10" s="464">
        <f t="shared" si="2"/>
        <v>0</v>
      </c>
      <c r="L10" s="555"/>
      <c r="M10" s="464">
        <v>0</v>
      </c>
      <c r="N10" s="464">
        <v>0</v>
      </c>
      <c r="O10" s="464">
        <f t="shared" si="4"/>
        <v>0</v>
      </c>
      <c r="P10" s="464">
        <f t="shared" si="5"/>
        <v>0</v>
      </c>
      <c r="U10" s="457"/>
    </row>
    <row r="11" spans="1:21" ht="12" thickBot="1" x14ac:dyDescent="0.25">
      <c r="A11" s="467" t="s">
        <v>1562</v>
      </c>
      <c r="B11" s="468">
        <f>SUM(B6:B10)</f>
        <v>766089630.55734932</v>
      </c>
      <c r="C11" s="469">
        <f t="shared" si="6"/>
        <v>0.14128789629808858</v>
      </c>
      <c r="D11" s="468">
        <f>SUM(D6:D10)</f>
        <v>1640825501.3207743</v>
      </c>
      <c r="E11" s="469">
        <f t="shared" si="7"/>
        <v>0.25894339155663282</v>
      </c>
      <c r="F11" s="468">
        <f>SUM(F6:F10)</f>
        <v>2645850475.9384508</v>
      </c>
      <c r="G11" s="469">
        <f t="shared" si="0"/>
        <v>0.35723099750560477</v>
      </c>
      <c r="H11" s="468">
        <f>SUM(H6:H10)</f>
        <v>4644338882.3699541</v>
      </c>
      <c r="I11" s="469">
        <f t="shared" si="1"/>
        <v>0.48964890027329278</v>
      </c>
      <c r="J11" s="468">
        <f>SUM(J6:J10)</f>
        <v>6811884243.9822836</v>
      </c>
      <c r="K11" s="469">
        <f t="shared" si="2"/>
        <v>0.57993461370265287</v>
      </c>
      <c r="L11" s="556"/>
      <c r="M11" s="469">
        <f t="shared" ref="M11:M22" si="8">((D11-B11)/B11)</f>
        <v>1.1418192282892967</v>
      </c>
      <c r="N11" s="469">
        <f t="shared" si="3"/>
        <v>0.61251179592752958</v>
      </c>
      <c r="O11" s="469">
        <f t="shared" si="4"/>
        <v>0.75532930700578005</v>
      </c>
      <c r="P11" s="469">
        <f t="shared" si="5"/>
        <v>0.46670697735696998</v>
      </c>
    </row>
    <row r="12" spans="1:21" ht="12" thickTop="1" x14ac:dyDescent="0.2">
      <c r="A12" s="470"/>
      <c r="B12" s="471"/>
      <c r="C12" s="459"/>
      <c r="E12" s="459"/>
      <c r="F12" s="472"/>
      <c r="G12" s="459"/>
      <c r="H12" s="472"/>
      <c r="I12" s="459"/>
      <c r="J12" s="472"/>
      <c r="K12" s="459"/>
      <c r="L12" s="472"/>
      <c r="M12" s="459"/>
      <c r="N12" s="459"/>
      <c r="O12" s="459"/>
      <c r="P12" s="459"/>
    </row>
    <row r="13" spans="1:21" ht="11.25" x14ac:dyDescent="0.2">
      <c r="A13" s="449" t="s">
        <v>1563</v>
      </c>
      <c r="B13" s="471"/>
      <c r="C13" s="459"/>
      <c r="E13" s="459"/>
      <c r="F13" s="472"/>
      <c r="G13" s="459"/>
      <c r="H13" s="472"/>
      <c r="I13" s="459"/>
      <c r="J13" s="472"/>
      <c r="K13" s="459"/>
      <c r="L13" s="472"/>
      <c r="M13" s="459"/>
      <c r="N13" s="459"/>
      <c r="O13" s="459"/>
      <c r="P13" s="459"/>
    </row>
    <row r="14" spans="1:21" ht="11.25" x14ac:dyDescent="0.2">
      <c r="A14" s="457" t="s">
        <v>865</v>
      </c>
      <c r="B14" s="458">
        <v>0</v>
      </c>
      <c r="C14" s="459">
        <f t="shared" si="6"/>
        <v>0</v>
      </c>
      <c r="D14" s="460">
        <v>0</v>
      </c>
      <c r="E14" s="459">
        <f t="shared" si="7"/>
        <v>0</v>
      </c>
      <c r="F14" s="461">
        <v>0</v>
      </c>
      <c r="G14" s="459">
        <f>+F14/$F$22</f>
        <v>0</v>
      </c>
      <c r="H14" s="461">
        <v>0</v>
      </c>
      <c r="I14" s="459">
        <f t="shared" ref="I14:I23" si="9">+H14/$H$22</f>
        <v>0</v>
      </c>
      <c r="J14" s="461">
        <v>0</v>
      </c>
      <c r="K14" s="459">
        <f t="shared" ref="K14:K22" si="10">+J14/$J$22</f>
        <v>0</v>
      </c>
      <c r="L14" s="472"/>
      <c r="M14" s="459">
        <v>0</v>
      </c>
      <c r="N14" s="459">
        <v>0</v>
      </c>
      <c r="O14" s="459">
        <f t="shared" ref="O14:O22" si="11">IF(ISERROR((H14-F14)/F14),0,(H14-F14)/F14)</f>
        <v>0</v>
      </c>
      <c r="P14" s="459">
        <f t="shared" ref="P14:P22" si="12">IF(ISERROR((J14-H14)/H14),0,(J14-H14)/H14)</f>
        <v>0</v>
      </c>
    </row>
    <row r="15" spans="1:21" ht="11.25" x14ac:dyDescent="0.2">
      <c r="A15" s="457" t="s">
        <v>1564</v>
      </c>
      <c r="B15" s="458">
        <v>0</v>
      </c>
      <c r="C15" s="459">
        <f t="shared" si="6"/>
        <v>0</v>
      </c>
      <c r="D15" s="460">
        <v>0</v>
      </c>
      <c r="E15" s="459">
        <f t="shared" si="7"/>
        <v>0</v>
      </c>
      <c r="F15" s="461">
        <v>0</v>
      </c>
      <c r="G15" s="459">
        <f t="shared" ref="G15:G22" si="13">+F15/$F$22</f>
        <v>0</v>
      </c>
      <c r="H15" s="461">
        <v>0</v>
      </c>
      <c r="I15" s="459">
        <f t="shared" si="9"/>
        <v>0</v>
      </c>
      <c r="J15" s="461">
        <v>0</v>
      </c>
      <c r="K15" s="459">
        <f t="shared" si="10"/>
        <v>0</v>
      </c>
      <c r="L15" s="472"/>
      <c r="M15" s="459">
        <v>0</v>
      </c>
      <c r="N15" s="459">
        <f t="shared" ref="N15" si="14">IF(ISERROR((G15-E15)/E15),0,(G15-E15)/E15)</f>
        <v>0</v>
      </c>
      <c r="O15" s="459">
        <f t="shared" ref="O15:O16" si="15">IF(ISERROR((H15-F15)/F15),0,(H15-F15)/F15)</f>
        <v>0</v>
      </c>
      <c r="P15" s="459">
        <f t="shared" si="12"/>
        <v>0</v>
      </c>
    </row>
    <row r="16" spans="1:21" ht="11.25" x14ac:dyDescent="0.2">
      <c r="A16" s="457" t="s">
        <v>1565</v>
      </c>
      <c r="B16" s="458">
        <f>+'Balance '!$E$60+'Balance '!$E$61+'Balance '!$E$62</f>
        <v>4488076707</v>
      </c>
      <c r="C16" s="459">
        <f>B16/$B$22</f>
        <v>0.8277241866531353</v>
      </c>
      <c r="D16" s="460">
        <f>+'Balance '!$F$60+'Balance '!$F$61+'Balance '!$F$62</f>
        <v>4488076707</v>
      </c>
      <c r="E16" s="459">
        <f t="shared" si="7"/>
        <v>0.70827629333005315</v>
      </c>
      <c r="F16" s="461">
        <f>+'Balance '!$G$60+'Balance '!$G$61+'Balance '!$G$62</f>
        <v>4488076707</v>
      </c>
      <c r="G16" s="459">
        <f t="shared" si="13"/>
        <v>0.60596021336187422</v>
      </c>
      <c r="H16" s="461">
        <f>+'Balance '!$H$60+'Balance '!$H$61+'Balance '!$H$62</f>
        <v>4488076707</v>
      </c>
      <c r="I16" s="459">
        <f t="shared" si="9"/>
        <v>0.47317430523143261</v>
      </c>
      <c r="J16" s="461">
        <f>+'Balance '!$I$60+'Balance '!$I$61+'Balance '!$I$62</f>
        <v>4488076707</v>
      </c>
      <c r="K16" s="459">
        <f t="shared" si="10"/>
        <v>0.38209560499229894</v>
      </c>
      <c r="L16" s="472"/>
      <c r="M16" s="459">
        <f t="shared" si="8"/>
        <v>0</v>
      </c>
      <c r="N16" s="459">
        <v>0</v>
      </c>
      <c r="O16" s="459">
        <f t="shared" si="15"/>
        <v>0</v>
      </c>
      <c r="P16" s="459">
        <f t="shared" si="12"/>
        <v>0</v>
      </c>
    </row>
    <row r="17" spans="1:27" ht="11.25" x14ac:dyDescent="0.2">
      <c r="A17" s="445" t="s">
        <v>1566</v>
      </c>
      <c r="B17" s="458">
        <v>0</v>
      </c>
      <c r="C17" s="459">
        <f t="shared" si="6"/>
        <v>0</v>
      </c>
      <c r="D17" s="460">
        <v>0</v>
      </c>
      <c r="E17" s="459">
        <f t="shared" si="7"/>
        <v>0</v>
      </c>
      <c r="F17" s="461">
        <v>0</v>
      </c>
      <c r="G17" s="459">
        <f t="shared" si="13"/>
        <v>0</v>
      </c>
      <c r="H17" s="461">
        <v>0</v>
      </c>
      <c r="I17" s="459">
        <f t="shared" si="9"/>
        <v>0</v>
      </c>
      <c r="J17" s="461">
        <v>0</v>
      </c>
      <c r="K17" s="459">
        <f t="shared" si="10"/>
        <v>0</v>
      </c>
      <c r="L17" s="472"/>
      <c r="M17" s="459">
        <v>0</v>
      </c>
      <c r="N17" s="459">
        <v>0</v>
      </c>
      <c r="O17" s="459">
        <f t="shared" si="11"/>
        <v>0</v>
      </c>
      <c r="P17" s="459">
        <f t="shared" si="12"/>
        <v>0</v>
      </c>
    </row>
    <row r="18" spans="1:27" ht="11.25" x14ac:dyDescent="0.2">
      <c r="A18" s="457" t="s">
        <v>1561</v>
      </c>
      <c r="B18" s="458">
        <v>0</v>
      </c>
      <c r="C18" s="459">
        <f t="shared" si="6"/>
        <v>0</v>
      </c>
      <c r="D18" s="460">
        <v>0</v>
      </c>
      <c r="E18" s="459">
        <f t="shared" si="7"/>
        <v>0</v>
      </c>
      <c r="F18" s="461">
        <v>0</v>
      </c>
      <c r="G18" s="459">
        <f t="shared" si="13"/>
        <v>0</v>
      </c>
      <c r="H18" s="461">
        <v>0</v>
      </c>
      <c r="I18" s="459">
        <f t="shared" si="9"/>
        <v>0</v>
      </c>
      <c r="J18" s="461">
        <v>0</v>
      </c>
      <c r="K18" s="459">
        <f t="shared" si="10"/>
        <v>0</v>
      </c>
      <c r="L18" s="472"/>
      <c r="M18" s="459">
        <v>0</v>
      </c>
      <c r="N18" s="459">
        <v>0</v>
      </c>
      <c r="O18" s="459">
        <f t="shared" si="11"/>
        <v>0</v>
      </c>
      <c r="P18" s="459">
        <f t="shared" si="12"/>
        <v>0</v>
      </c>
    </row>
    <row r="19" spans="1:27" ht="11.25" x14ac:dyDescent="0.2">
      <c r="A19" s="457" t="s">
        <v>1475</v>
      </c>
      <c r="B19" s="458">
        <f>+'Balance '!E64</f>
        <v>295391935.157924</v>
      </c>
      <c r="C19" s="459">
        <f t="shared" si="6"/>
        <v>5.4478357932505883E-2</v>
      </c>
      <c r="D19" s="460">
        <f>+'Balance '!F64</f>
        <v>462455558.03951001</v>
      </c>
      <c r="E19" s="459">
        <f t="shared" si="7"/>
        <v>7.2981441686866738E-2</v>
      </c>
      <c r="F19" s="461">
        <f>+'Balance '!G64</f>
        <v>654735071.28814006</v>
      </c>
      <c r="G19" s="459">
        <f t="shared" si="13"/>
        <v>8.8399425721594121E-2</v>
      </c>
      <c r="H19" s="461">
        <f>+'Balance '!H64</f>
        <v>862101752.8549</v>
      </c>
      <c r="I19" s="459">
        <f t="shared" si="9"/>
        <v>9.0890692066310425E-2</v>
      </c>
      <c r="J19" s="461">
        <f>+'Balance '!I64</f>
        <v>1082839247.8497701</v>
      </c>
      <c r="K19" s="459">
        <f t="shared" si="10"/>
        <v>9.2188290113501353E-2</v>
      </c>
      <c r="L19" s="472"/>
      <c r="M19" s="459">
        <f t="shared" si="8"/>
        <v>0.56556595829967249</v>
      </c>
      <c r="N19" s="459">
        <f t="shared" ref="N19:N22" si="16">+((F19-D19)/D19)</f>
        <v>0.41577944065319805</v>
      </c>
      <c r="O19" s="459">
        <f t="shared" si="11"/>
        <v>0.31671845706811186</v>
      </c>
      <c r="P19" s="459">
        <f t="shared" si="12"/>
        <v>0.25604575592600876</v>
      </c>
    </row>
    <row r="20" spans="1:27" ht="11.25" x14ac:dyDescent="0.2">
      <c r="A20" s="462" t="s">
        <v>1487</v>
      </c>
      <c r="B20" s="463">
        <f>+'Balance '!$E$63</f>
        <v>-127369602.41999999</v>
      </c>
      <c r="C20" s="464">
        <f t="shared" si="6"/>
        <v>-2.3490440883729688E-2</v>
      </c>
      <c r="D20" s="465">
        <f>+'Balance '!$F$63</f>
        <v>-254739204.83999997</v>
      </c>
      <c r="E20" s="464">
        <f t="shared" si="7"/>
        <v>-4.020112657355264E-2</v>
      </c>
      <c r="F20" s="466">
        <f>+'Balance '!$G$63</f>
        <v>-382108807.25999999</v>
      </c>
      <c r="G20" s="464">
        <f t="shared" si="13"/>
        <v>-5.1590636589073084E-2</v>
      </c>
      <c r="H20" s="466">
        <f>+'Balance '!$H$63</f>
        <v>-509478409.67999995</v>
      </c>
      <c r="I20" s="464">
        <f t="shared" si="9"/>
        <v>-5.3713897571035688E-2</v>
      </c>
      <c r="J20" s="466">
        <f>+'Balance '!$I$63</f>
        <v>-636848012.0999999</v>
      </c>
      <c r="K20" s="464">
        <f t="shared" si="10"/>
        <v>-5.4218508808453032E-2</v>
      </c>
      <c r="L20" s="555"/>
      <c r="M20" s="464">
        <f t="shared" si="8"/>
        <v>1</v>
      </c>
      <c r="N20" s="464">
        <f t="shared" si="16"/>
        <v>0.50000000000000011</v>
      </c>
      <c r="O20" s="464">
        <f t="shared" si="11"/>
        <v>0.3333333333333332</v>
      </c>
      <c r="P20" s="464">
        <f t="shared" si="12"/>
        <v>0.24999999999999994</v>
      </c>
    </row>
    <row r="21" spans="1:27" s="475" customFormat="1" ht="12" thickBot="1" x14ac:dyDescent="0.25">
      <c r="A21" s="467" t="s">
        <v>1567</v>
      </c>
      <c r="B21" s="468">
        <f>SUM(B14:B20)</f>
        <v>4656099039.7379236</v>
      </c>
      <c r="C21" s="469">
        <f t="shared" si="6"/>
        <v>0.85871210370191142</v>
      </c>
      <c r="D21" s="468">
        <f>SUM(D14:D20)</f>
        <v>4695793060.1995096</v>
      </c>
      <c r="E21" s="469">
        <f t="shared" si="7"/>
        <v>0.74105660844336718</v>
      </c>
      <c r="F21" s="473">
        <f>+SUM(F14:F20)</f>
        <v>4760702971.0281401</v>
      </c>
      <c r="G21" s="469">
        <f t="shared" si="13"/>
        <v>0.64276900249439517</v>
      </c>
      <c r="H21" s="473">
        <f>+SUM(H14:H20)</f>
        <v>4840700050.1749001</v>
      </c>
      <c r="I21" s="469">
        <f t="shared" si="9"/>
        <v>0.51035109972670734</v>
      </c>
      <c r="J21" s="473">
        <f>+SUM(J14:J20)</f>
        <v>4934067942.7497692</v>
      </c>
      <c r="K21" s="469">
        <f t="shared" si="10"/>
        <v>0.42006538629734719</v>
      </c>
      <c r="L21" s="556"/>
      <c r="M21" s="469">
        <f t="shared" si="8"/>
        <v>8.5251666948691542E-3</v>
      </c>
      <c r="N21" s="469">
        <f t="shared" si="16"/>
        <v>1.3822992196737185E-2</v>
      </c>
      <c r="O21" s="469">
        <f t="shared" si="11"/>
        <v>1.6803627454515083E-2</v>
      </c>
      <c r="P21" s="469">
        <f t="shared" si="12"/>
        <v>1.9288097094860415E-2</v>
      </c>
      <c r="Q21" s="474"/>
      <c r="R21" s="474"/>
      <c r="S21" s="474"/>
      <c r="T21" s="474"/>
    </row>
    <row r="22" spans="1:27" s="475" customFormat="1" thickTop="1" thickBot="1" x14ac:dyDescent="0.25">
      <c r="A22" s="476" t="s">
        <v>1568</v>
      </c>
      <c r="B22" s="477">
        <f>+B21+B11</f>
        <v>5422188670.2952728</v>
      </c>
      <c r="C22" s="478">
        <f t="shared" si="6"/>
        <v>1</v>
      </c>
      <c r="D22" s="477">
        <f>+D21+D11</f>
        <v>6336618561.5202837</v>
      </c>
      <c r="E22" s="478">
        <f t="shared" si="7"/>
        <v>1</v>
      </c>
      <c r="F22" s="479">
        <f>+F21+F11</f>
        <v>7406553446.9665909</v>
      </c>
      <c r="G22" s="478">
        <f t="shared" si="13"/>
        <v>1</v>
      </c>
      <c r="H22" s="479">
        <f>+H21+H11</f>
        <v>9485038932.5448532</v>
      </c>
      <c r="I22" s="478">
        <f t="shared" si="9"/>
        <v>1</v>
      </c>
      <c r="J22" s="479">
        <f>+J21+J11</f>
        <v>11745952186.732052</v>
      </c>
      <c r="K22" s="478">
        <f t="shared" si="10"/>
        <v>1</v>
      </c>
      <c r="L22" s="557"/>
      <c r="M22" s="478">
        <f t="shared" si="8"/>
        <v>0.16864590054466222</v>
      </c>
      <c r="N22" s="478">
        <f t="shared" si="16"/>
        <v>0.16884950152177189</v>
      </c>
      <c r="O22" s="478">
        <f t="shared" si="11"/>
        <v>0.28062789264411797</v>
      </c>
      <c r="P22" s="478">
        <f t="shared" si="12"/>
        <v>0.23836625977671042</v>
      </c>
      <c r="Q22" s="474"/>
      <c r="R22" s="474"/>
      <c r="S22" s="474"/>
      <c r="T22" s="474"/>
    </row>
    <row r="23" spans="1:27" ht="13.5" thickTop="1" x14ac:dyDescent="0.2">
      <c r="A23" s="470"/>
      <c r="B23" s="480"/>
      <c r="C23" s="481"/>
      <c r="F23" s="482"/>
      <c r="H23" s="483"/>
      <c r="I23" s="445">
        <f t="shared" si="9"/>
        <v>0</v>
      </c>
      <c r="J23" s="483"/>
      <c r="M23" s="484"/>
      <c r="O23" s="163"/>
      <c r="P23" s="163"/>
    </row>
    <row r="24" spans="1:27" x14ac:dyDescent="0.2">
      <c r="A24" s="449" t="str">
        <f>+A1</f>
        <v xml:space="preserve">HOTEL CAMPESTRE BALCONES VILLA DEL RIO </v>
      </c>
      <c r="B24" s="485"/>
      <c r="C24" s="485"/>
      <c r="F24" s="455"/>
      <c r="H24" s="455"/>
      <c r="J24" s="460"/>
      <c r="M24" s="486"/>
      <c r="O24" s="163"/>
      <c r="P24" s="163"/>
    </row>
    <row r="25" spans="1:27" x14ac:dyDescent="0.2">
      <c r="A25" s="487" t="s">
        <v>1546</v>
      </c>
      <c r="B25" s="488"/>
      <c r="C25" s="488"/>
      <c r="F25" s="455"/>
      <c r="H25" s="455"/>
      <c r="J25" s="455"/>
      <c r="M25" s="486"/>
    </row>
    <row r="26" spans="1:27" x14ac:dyDescent="0.2">
      <c r="A26" s="487" t="s">
        <v>1547</v>
      </c>
      <c r="B26" s="488"/>
      <c r="C26" s="488"/>
      <c r="F26" s="455"/>
      <c r="H26" s="455"/>
      <c r="J26" s="455"/>
      <c r="M26" s="486"/>
      <c r="T26" s="489"/>
    </row>
    <row r="27" spans="1:27" ht="11.25" x14ac:dyDescent="0.2">
      <c r="A27" s="450" t="s">
        <v>1569</v>
      </c>
      <c r="B27" s="450">
        <v>2022</v>
      </c>
      <c r="C27" s="490" t="s">
        <v>1549</v>
      </c>
      <c r="D27" s="452">
        <v>2023</v>
      </c>
      <c r="E27" s="490" t="s">
        <v>1550</v>
      </c>
      <c r="F27" s="452">
        <v>2024</v>
      </c>
      <c r="G27" s="451" t="s">
        <v>1551</v>
      </c>
      <c r="H27" s="452">
        <v>2025</v>
      </c>
      <c r="I27" s="451" t="s">
        <v>1552</v>
      </c>
      <c r="J27" s="452">
        <v>2026</v>
      </c>
      <c r="K27" s="451" t="s">
        <v>1553</v>
      </c>
      <c r="L27" s="554"/>
      <c r="M27" s="491" t="s">
        <v>1554</v>
      </c>
      <c r="N27" s="491" t="s">
        <v>1555</v>
      </c>
      <c r="O27" s="491" t="s">
        <v>1556</v>
      </c>
      <c r="P27" s="491" t="s">
        <v>1557</v>
      </c>
    </row>
    <row r="28" spans="1:27" x14ac:dyDescent="0.2">
      <c r="A28" s="450" t="s">
        <v>1570</v>
      </c>
      <c r="B28" s="453"/>
      <c r="C28" s="454"/>
      <c r="E28" s="492"/>
      <c r="F28" s="493"/>
      <c r="G28" s="492"/>
      <c r="H28" s="493"/>
      <c r="I28" s="492"/>
      <c r="J28" s="493"/>
      <c r="K28" s="492"/>
      <c r="M28" s="494"/>
      <c r="N28" s="495"/>
      <c r="O28" s="495"/>
      <c r="P28" s="495"/>
    </row>
    <row r="29" spans="1:27" x14ac:dyDescent="0.2">
      <c r="A29" s="450"/>
      <c r="B29" s="453"/>
      <c r="C29" s="454"/>
      <c r="E29" s="492"/>
      <c r="F29" s="493"/>
      <c r="G29" s="492"/>
      <c r="H29" s="493"/>
      <c r="I29" s="492"/>
      <c r="J29" s="493"/>
      <c r="K29" s="492"/>
      <c r="M29" s="494"/>
      <c r="N29" s="495"/>
      <c r="O29" s="495"/>
      <c r="P29" s="495"/>
    </row>
    <row r="30" spans="1:27" ht="11.25" x14ac:dyDescent="0.2">
      <c r="A30" s="496" t="s">
        <v>1571</v>
      </c>
      <c r="B30" s="458"/>
      <c r="C30" s="459">
        <f t="shared" ref="C30:C38" si="17">B30/$B$61</f>
        <v>0</v>
      </c>
      <c r="D30" s="461">
        <v>0</v>
      </c>
      <c r="E30" s="459">
        <f>D30/$D$61</f>
        <v>0</v>
      </c>
      <c r="F30" s="461">
        <v>0</v>
      </c>
      <c r="G30" s="459">
        <f>+F30/$F$61</f>
        <v>0</v>
      </c>
      <c r="H30" s="461">
        <v>0</v>
      </c>
      <c r="I30" s="459">
        <f t="shared" ref="I30:I38" si="18">+H30/$H$61</f>
        <v>0</v>
      </c>
      <c r="J30" s="461">
        <v>0</v>
      </c>
      <c r="K30" s="459">
        <f>+J30/$J$61</f>
        <v>0</v>
      </c>
      <c r="L30" s="472"/>
      <c r="M30" s="459">
        <v>0</v>
      </c>
      <c r="N30" s="459">
        <v>0</v>
      </c>
      <c r="O30" s="459">
        <f t="shared" ref="O30:O38" si="19">IF(ISERROR((H30-F30)/F30),0,(H30-F30)/F30)</f>
        <v>0</v>
      </c>
      <c r="P30" s="459">
        <f t="shared" ref="P30:P38" si="20">IF(ISERROR((J30-H30)/H30),0,(J30-H30)/H30)</f>
        <v>0</v>
      </c>
    </row>
    <row r="31" spans="1:27" ht="11.25" x14ac:dyDescent="0.2">
      <c r="A31" s="496" t="s">
        <v>1572</v>
      </c>
      <c r="B31" s="458"/>
      <c r="C31" s="459">
        <f t="shared" si="17"/>
        <v>0</v>
      </c>
      <c r="D31" s="461">
        <v>0</v>
      </c>
      <c r="E31" s="459">
        <f t="shared" ref="E31:E38" si="21">D31/$D$61</f>
        <v>0</v>
      </c>
      <c r="F31" s="461">
        <v>0</v>
      </c>
      <c r="G31" s="459">
        <f t="shared" ref="G31:G38" si="22">+F31/$F$61</f>
        <v>0</v>
      </c>
      <c r="H31" s="461">
        <v>0</v>
      </c>
      <c r="I31" s="459">
        <f t="shared" si="18"/>
        <v>0</v>
      </c>
      <c r="J31" s="461">
        <v>0</v>
      </c>
      <c r="K31" s="459">
        <f t="shared" ref="K31:K38" si="23">+J31/$J$61</f>
        <v>0</v>
      </c>
      <c r="L31" s="472"/>
      <c r="M31" s="459">
        <v>0</v>
      </c>
      <c r="N31" s="459">
        <v>0</v>
      </c>
      <c r="O31" s="459">
        <f t="shared" si="19"/>
        <v>0</v>
      </c>
      <c r="P31" s="459">
        <f t="shared" si="20"/>
        <v>0</v>
      </c>
      <c r="Q31" s="489"/>
      <c r="R31" s="489"/>
      <c r="S31" s="489"/>
      <c r="T31" s="489"/>
      <c r="U31" s="489"/>
      <c r="V31" s="489"/>
      <c r="W31" s="489"/>
      <c r="X31" s="489"/>
      <c r="Y31" s="489"/>
      <c r="Z31" s="489"/>
      <c r="AA31" s="489"/>
    </row>
    <row r="32" spans="1:27" ht="11.25" x14ac:dyDescent="0.2">
      <c r="A32" s="445" t="s">
        <v>1573</v>
      </c>
      <c r="B32" s="458"/>
      <c r="C32" s="459">
        <f t="shared" si="17"/>
        <v>0</v>
      </c>
      <c r="D32" s="461">
        <v>0</v>
      </c>
      <c r="E32" s="459">
        <f t="shared" si="21"/>
        <v>0</v>
      </c>
      <c r="F32" s="461">
        <v>0</v>
      </c>
      <c r="G32" s="459">
        <f t="shared" si="22"/>
        <v>0</v>
      </c>
      <c r="H32" s="461">
        <v>0</v>
      </c>
      <c r="I32" s="459">
        <f t="shared" si="18"/>
        <v>0</v>
      </c>
      <c r="J32" s="461">
        <v>0</v>
      </c>
      <c r="K32" s="459">
        <f t="shared" si="23"/>
        <v>0</v>
      </c>
      <c r="L32" s="472"/>
      <c r="M32" s="459">
        <v>0</v>
      </c>
      <c r="N32" s="459">
        <v>0</v>
      </c>
      <c r="O32" s="459">
        <f t="shared" si="19"/>
        <v>0</v>
      </c>
      <c r="P32" s="459">
        <f t="shared" si="20"/>
        <v>0</v>
      </c>
    </row>
    <row r="33" spans="1:20" ht="11.25" x14ac:dyDescent="0.2">
      <c r="A33" s="496" t="s">
        <v>1574</v>
      </c>
      <c r="B33" s="458">
        <f>+'Balance '!$E$70</f>
        <v>112789360.19073378</v>
      </c>
      <c r="C33" s="459">
        <f t="shared" si="17"/>
        <v>2.0801445143661199E-2</v>
      </c>
      <c r="D33" s="461">
        <f>+'Balance '!$F$70</f>
        <v>139153416.75850195</v>
      </c>
      <c r="E33" s="459">
        <f t="shared" si="21"/>
        <v>2.1960200919568424E-2</v>
      </c>
      <c r="F33" s="461">
        <f>+'Balance '!$G$70</f>
        <v>164800904.56841323</v>
      </c>
      <c r="G33" s="459">
        <f t="shared" si="22"/>
        <v>2.2250687279197715E-2</v>
      </c>
      <c r="H33" s="461">
        <f>+'Balance '!$H$70</f>
        <v>185055705.89124751</v>
      </c>
      <c r="I33" s="459">
        <f t="shared" si="18"/>
        <v>1.9510273727009298E-2</v>
      </c>
      <c r="J33" s="461">
        <f>+'Balance '!$I$70</f>
        <v>201775624.53550515</v>
      </c>
      <c r="K33" s="459">
        <f t="shared" si="23"/>
        <v>1.7178311415705503E-2</v>
      </c>
      <c r="L33" s="472"/>
      <c r="M33" s="459">
        <f t="shared" ref="M33:M61" si="24">((D33-B33)/B33)</f>
        <v>0.23374595372457938</v>
      </c>
      <c r="N33" s="459">
        <f t="shared" ref="N33:N38" si="25">+((F33-D33)/D33)</f>
        <v>0.18431087361959642</v>
      </c>
      <c r="O33" s="459">
        <f t="shared" si="19"/>
        <v>0.1229046732229918</v>
      </c>
      <c r="P33" s="459">
        <f t="shared" si="20"/>
        <v>9.0350732844106427E-2</v>
      </c>
    </row>
    <row r="34" spans="1:20" ht="11.25" x14ac:dyDescent="0.2">
      <c r="A34" s="445" t="s">
        <v>1575</v>
      </c>
      <c r="B34" s="458"/>
      <c r="C34" s="459">
        <f t="shared" si="17"/>
        <v>0</v>
      </c>
      <c r="D34" s="461">
        <v>0</v>
      </c>
      <c r="E34" s="459">
        <f t="shared" si="21"/>
        <v>0</v>
      </c>
      <c r="F34" s="461">
        <v>0</v>
      </c>
      <c r="G34" s="459">
        <f t="shared" si="22"/>
        <v>0</v>
      </c>
      <c r="H34" s="461">
        <v>0</v>
      </c>
      <c r="I34" s="459">
        <f t="shared" si="18"/>
        <v>0</v>
      </c>
      <c r="J34" s="461">
        <v>0</v>
      </c>
      <c r="K34" s="459">
        <f t="shared" si="23"/>
        <v>0</v>
      </c>
      <c r="L34" s="472"/>
      <c r="M34" s="459">
        <v>0</v>
      </c>
      <c r="N34" s="459">
        <v>0</v>
      </c>
      <c r="O34" s="459">
        <f t="shared" si="19"/>
        <v>0</v>
      </c>
      <c r="P34" s="459">
        <f t="shared" si="20"/>
        <v>0</v>
      </c>
    </row>
    <row r="35" spans="1:20" ht="11.25" x14ac:dyDescent="0.2">
      <c r="A35" s="445" t="s">
        <v>1576</v>
      </c>
      <c r="B35" s="458"/>
      <c r="C35" s="459">
        <f t="shared" si="17"/>
        <v>0</v>
      </c>
      <c r="D35" s="461">
        <v>0</v>
      </c>
      <c r="E35" s="459">
        <f t="shared" si="21"/>
        <v>0</v>
      </c>
      <c r="F35" s="461">
        <v>0</v>
      </c>
      <c r="G35" s="459">
        <f t="shared" si="22"/>
        <v>0</v>
      </c>
      <c r="H35" s="461">
        <v>0</v>
      </c>
      <c r="I35" s="459">
        <f t="shared" si="18"/>
        <v>0</v>
      </c>
      <c r="J35" s="461">
        <v>0</v>
      </c>
      <c r="K35" s="459">
        <f t="shared" si="23"/>
        <v>0</v>
      </c>
      <c r="L35" s="472"/>
      <c r="M35" s="459">
        <v>0</v>
      </c>
      <c r="N35" s="459">
        <v>0</v>
      </c>
      <c r="O35" s="459">
        <f t="shared" si="19"/>
        <v>0</v>
      </c>
      <c r="P35" s="459">
        <f t="shared" si="20"/>
        <v>0</v>
      </c>
    </row>
    <row r="36" spans="1:20" ht="11.25" x14ac:dyDescent="0.2">
      <c r="A36" s="445" t="s">
        <v>1577</v>
      </c>
      <c r="B36" s="458"/>
      <c r="C36" s="459">
        <f t="shared" si="17"/>
        <v>0</v>
      </c>
      <c r="D36" s="461">
        <v>0</v>
      </c>
      <c r="E36" s="459">
        <f t="shared" si="21"/>
        <v>0</v>
      </c>
      <c r="F36" s="461">
        <v>0</v>
      </c>
      <c r="G36" s="459">
        <f t="shared" si="22"/>
        <v>0</v>
      </c>
      <c r="H36" s="461">
        <v>0</v>
      </c>
      <c r="I36" s="459">
        <f t="shared" si="18"/>
        <v>0</v>
      </c>
      <c r="J36" s="461">
        <v>0</v>
      </c>
      <c r="K36" s="459">
        <f t="shared" si="23"/>
        <v>0</v>
      </c>
      <c r="L36" s="472"/>
      <c r="M36" s="459">
        <v>0</v>
      </c>
      <c r="N36" s="459">
        <v>0</v>
      </c>
      <c r="O36" s="459">
        <f t="shared" si="19"/>
        <v>0</v>
      </c>
      <c r="P36" s="459">
        <f t="shared" si="20"/>
        <v>0</v>
      </c>
    </row>
    <row r="37" spans="1:20" ht="11.25" x14ac:dyDescent="0.2">
      <c r="A37" s="462" t="s">
        <v>1578</v>
      </c>
      <c r="B37" s="463"/>
      <c r="C37" s="464">
        <f t="shared" si="17"/>
        <v>0</v>
      </c>
      <c r="D37" s="466">
        <v>0</v>
      </c>
      <c r="E37" s="464">
        <f t="shared" si="21"/>
        <v>0</v>
      </c>
      <c r="F37" s="461">
        <v>0</v>
      </c>
      <c r="G37" s="459">
        <f t="shared" si="22"/>
        <v>0</v>
      </c>
      <c r="H37" s="461">
        <v>0</v>
      </c>
      <c r="I37" s="459">
        <f t="shared" si="18"/>
        <v>0</v>
      </c>
      <c r="J37" s="461">
        <v>0</v>
      </c>
      <c r="K37" s="459">
        <f t="shared" si="23"/>
        <v>0</v>
      </c>
      <c r="L37" s="472"/>
      <c r="M37" s="464">
        <v>0</v>
      </c>
      <c r="N37" s="459">
        <v>0</v>
      </c>
      <c r="O37" s="459">
        <f t="shared" si="19"/>
        <v>0</v>
      </c>
      <c r="P37" s="459">
        <f t="shared" si="20"/>
        <v>0</v>
      </c>
    </row>
    <row r="38" spans="1:20" s="500" customFormat="1" ht="11.25" thickBot="1" x14ac:dyDescent="0.2">
      <c r="A38" s="497" t="s">
        <v>1579</v>
      </c>
      <c r="B38" s="468">
        <f>SUM(B30:B37)</f>
        <v>112789360.19073378</v>
      </c>
      <c r="C38" s="498">
        <f t="shared" si="17"/>
        <v>2.0801445143661199E-2</v>
      </c>
      <c r="D38" s="468">
        <f>SUM(D30:D37)</f>
        <v>139153416.75850195</v>
      </c>
      <c r="E38" s="498">
        <f t="shared" si="21"/>
        <v>2.1960200919568424E-2</v>
      </c>
      <c r="F38" s="473">
        <f>+SUM(F30:F37)</f>
        <v>164800904.56841323</v>
      </c>
      <c r="G38" s="498">
        <f t="shared" si="22"/>
        <v>2.2250687279197715E-2</v>
      </c>
      <c r="H38" s="473">
        <f>+SUM(H30:H37)</f>
        <v>185055705.89124751</v>
      </c>
      <c r="I38" s="498">
        <f t="shared" si="18"/>
        <v>1.9510273727009298E-2</v>
      </c>
      <c r="J38" s="473">
        <f>+SUM(J30:J37)</f>
        <v>201775624.53550515</v>
      </c>
      <c r="K38" s="498">
        <f t="shared" si="23"/>
        <v>1.7178311415705503E-2</v>
      </c>
      <c r="L38" s="558"/>
      <c r="M38" s="498">
        <f t="shared" si="24"/>
        <v>0.23374595372457938</v>
      </c>
      <c r="N38" s="498">
        <f t="shared" si="25"/>
        <v>0.18431087361959642</v>
      </c>
      <c r="O38" s="498">
        <f t="shared" si="19"/>
        <v>0.1229046732229918</v>
      </c>
      <c r="P38" s="498">
        <f t="shared" si="20"/>
        <v>9.0350732844106427E-2</v>
      </c>
      <c r="Q38" s="499"/>
      <c r="R38" s="499"/>
      <c r="S38" s="499"/>
      <c r="T38" s="499"/>
    </row>
    <row r="39" spans="1:20" ht="13.5" thickTop="1" x14ac:dyDescent="0.2">
      <c r="B39" s="471"/>
      <c r="C39" s="459"/>
      <c r="E39" s="459"/>
      <c r="F39" s="461"/>
      <c r="G39" s="459"/>
      <c r="H39" s="461"/>
      <c r="I39" s="459"/>
      <c r="J39" s="461"/>
      <c r="K39" s="459"/>
      <c r="L39" s="472"/>
      <c r="M39" s="459"/>
      <c r="N39" s="495"/>
      <c r="O39" s="495"/>
      <c r="P39" s="495"/>
    </row>
    <row r="40" spans="1:20" x14ac:dyDescent="0.2">
      <c r="A40" s="450" t="s">
        <v>1580</v>
      </c>
      <c r="B40" s="471"/>
      <c r="C40" s="459"/>
      <c r="E40" s="459"/>
      <c r="F40" s="461"/>
      <c r="G40" s="459"/>
      <c r="H40" s="461"/>
      <c r="I40" s="459"/>
      <c r="J40" s="461"/>
      <c r="K40" s="459"/>
      <c r="L40" s="472"/>
      <c r="M40" s="459"/>
      <c r="N40" s="495"/>
      <c r="O40" s="495"/>
      <c r="P40" s="495"/>
    </row>
    <row r="41" spans="1:20" ht="11.25" x14ac:dyDescent="0.2">
      <c r="A41" s="445" t="s">
        <v>1571</v>
      </c>
      <c r="B41" s="458">
        <f>+'Balance '!$E$74</f>
        <v>1448294275.0977077</v>
      </c>
      <c r="C41" s="459">
        <f t="shared" ref="C41:C49" si="26">B41/$B$61</f>
        <v>0.26710510516574937</v>
      </c>
      <c r="D41" s="461">
        <f>+'Balance '!$F$74</f>
        <v>788664885.10516834</v>
      </c>
      <c r="E41" s="459">
        <f t="shared" ref="E41:E50" si="27">D41/$D$61</f>
        <v>0.12446147380753896</v>
      </c>
      <c r="F41" s="461">
        <f>+'Balance '!$G$74</f>
        <v>0</v>
      </c>
      <c r="G41" s="459">
        <f>+F41/$F$61</f>
        <v>0</v>
      </c>
      <c r="H41" s="461">
        <v>0</v>
      </c>
      <c r="I41" s="459">
        <f t="shared" ref="I41:I50" si="28">+H41/$H$61</f>
        <v>0</v>
      </c>
      <c r="J41" s="461">
        <v>0</v>
      </c>
      <c r="K41" s="459">
        <f t="shared" ref="K41:K50" si="29">+J41/$J$61</f>
        <v>0</v>
      </c>
      <c r="L41" s="472"/>
      <c r="M41" s="459">
        <f t="shared" si="24"/>
        <v>-0.45545259781409975</v>
      </c>
      <c r="N41" s="459">
        <f>+((F41-D41)/D41)</f>
        <v>-1</v>
      </c>
      <c r="O41" s="459">
        <f t="shared" ref="O41:O50" si="30">IF(ISERROR((H41-F41)/F41),0,(H41-F41)/F41)</f>
        <v>0</v>
      </c>
      <c r="P41" s="459">
        <f t="shared" ref="P41:P50" si="31">IF(ISERROR((J41-H41)/H41),0,(J41-H41)/H41)</f>
        <v>0</v>
      </c>
    </row>
    <row r="42" spans="1:20" ht="11.25" x14ac:dyDescent="0.2">
      <c r="A42" s="496" t="s">
        <v>1581</v>
      </c>
      <c r="B42" s="458">
        <v>0</v>
      </c>
      <c r="C42" s="459">
        <f t="shared" si="26"/>
        <v>0</v>
      </c>
      <c r="D42" s="461">
        <v>0</v>
      </c>
      <c r="E42" s="459">
        <f t="shared" si="27"/>
        <v>0</v>
      </c>
      <c r="F42" s="461">
        <v>0</v>
      </c>
      <c r="G42" s="459">
        <f t="shared" ref="G42:G50" si="32">+F42/$F$61</f>
        <v>0</v>
      </c>
      <c r="H42" s="461">
        <v>0</v>
      </c>
      <c r="I42" s="459">
        <f t="shared" si="28"/>
        <v>0</v>
      </c>
      <c r="J42" s="461">
        <v>0</v>
      </c>
      <c r="K42" s="459">
        <f t="shared" si="29"/>
        <v>0</v>
      </c>
      <c r="L42" s="472"/>
      <c r="M42" s="459">
        <v>0</v>
      </c>
      <c r="N42" s="459">
        <v>0</v>
      </c>
      <c r="O42" s="459">
        <f t="shared" si="30"/>
        <v>0</v>
      </c>
      <c r="P42" s="459">
        <f t="shared" si="31"/>
        <v>0</v>
      </c>
    </row>
    <row r="43" spans="1:20" ht="11.25" x14ac:dyDescent="0.2">
      <c r="A43" s="496" t="s">
        <v>1573</v>
      </c>
      <c r="B43" s="458">
        <v>0</v>
      </c>
      <c r="C43" s="459">
        <f t="shared" si="26"/>
        <v>0</v>
      </c>
      <c r="D43" s="461">
        <v>0</v>
      </c>
      <c r="E43" s="459">
        <f t="shared" si="27"/>
        <v>0</v>
      </c>
      <c r="F43" s="461">
        <v>0</v>
      </c>
      <c r="G43" s="459">
        <f t="shared" si="32"/>
        <v>0</v>
      </c>
      <c r="H43" s="461">
        <v>0</v>
      </c>
      <c r="I43" s="459">
        <f t="shared" si="28"/>
        <v>0</v>
      </c>
      <c r="J43" s="461">
        <v>0</v>
      </c>
      <c r="K43" s="459">
        <f t="shared" si="29"/>
        <v>0</v>
      </c>
      <c r="L43" s="472"/>
      <c r="M43" s="459">
        <v>0</v>
      </c>
      <c r="N43" s="459">
        <v>0</v>
      </c>
      <c r="O43" s="459">
        <f t="shared" si="30"/>
        <v>0</v>
      </c>
      <c r="P43" s="459">
        <f t="shared" si="31"/>
        <v>0</v>
      </c>
    </row>
    <row r="44" spans="1:20" ht="11.25" x14ac:dyDescent="0.2">
      <c r="A44" s="445" t="s">
        <v>1575</v>
      </c>
      <c r="B44" s="458">
        <v>0</v>
      </c>
      <c r="C44" s="459">
        <f t="shared" si="26"/>
        <v>0</v>
      </c>
      <c r="D44" s="461">
        <v>0</v>
      </c>
      <c r="E44" s="459">
        <f t="shared" si="27"/>
        <v>0</v>
      </c>
      <c r="F44" s="461">
        <v>0</v>
      </c>
      <c r="G44" s="459">
        <f t="shared" si="32"/>
        <v>0</v>
      </c>
      <c r="H44" s="461">
        <v>0</v>
      </c>
      <c r="I44" s="459">
        <f t="shared" si="28"/>
        <v>0</v>
      </c>
      <c r="J44" s="461">
        <v>0</v>
      </c>
      <c r="K44" s="459">
        <f t="shared" si="29"/>
        <v>0</v>
      </c>
      <c r="L44" s="472"/>
      <c r="M44" s="459">
        <v>0</v>
      </c>
      <c r="N44" s="459">
        <v>0</v>
      </c>
      <c r="O44" s="459">
        <f t="shared" si="30"/>
        <v>0</v>
      </c>
      <c r="P44" s="459">
        <f t="shared" si="31"/>
        <v>0</v>
      </c>
    </row>
    <row r="45" spans="1:20" ht="11.25" x14ac:dyDescent="0.2">
      <c r="A45" s="496" t="s">
        <v>1574</v>
      </c>
      <c r="B45" s="458"/>
      <c r="C45" s="459">
        <f t="shared" si="26"/>
        <v>0</v>
      </c>
      <c r="D45" s="461">
        <v>0</v>
      </c>
      <c r="E45" s="459">
        <f t="shared" si="27"/>
        <v>0</v>
      </c>
      <c r="F45" s="461">
        <v>0</v>
      </c>
      <c r="G45" s="459">
        <f t="shared" si="32"/>
        <v>0</v>
      </c>
      <c r="H45" s="461">
        <v>0</v>
      </c>
      <c r="I45" s="459">
        <f t="shared" si="28"/>
        <v>0</v>
      </c>
      <c r="J45" s="461">
        <v>0</v>
      </c>
      <c r="K45" s="459">
        <f t="shared" si="29"/>
        <v>0</v>
      </c>
      <c r="L45" s="472"/>
      <c r="M45" s="459">
        <v>0</v>
      </c>
      <c r="N45" s="459">
        <v>0</v>
      </c>
      <c r="O45" s="459">
        <f t="shared" si="30"/>
        <v>0</v>
      </c>
      <c r="P45" s="459">
        <f t="shared" si="31"/>
        <v>0</v>
      </c>
    </row>
    <row r="46" spans="1:20" ht="11.25" x14ac:dyDescent="0.2">
      <c r="A46" s="445" t="s">
        <v>1582</v>
      </c>
      <c r="B46" s="458">
        <v>0</v>
      </c>
      <c r="C46" s="459">
        <f t="shared" si="26"/>
        <v>0</v>
      </c>
      <c r="D46" s="461">
        <v>0</v>
      </c>
      <c r="E46" s="459">
        <f t="shared" si="27"/>
        <v>0</v>
      </c>
      <c r="F46" s="461">
        <v>0</v>
      </c>
      <c r="G46" s="459">
        <f t="shared" si="32"/>
        <v>0</v>
      </c>
      <c r="H46" s="461">
        <v>0</v>
      </c>
      <c r="I46" s="459">
        <f t="shared" si="28"/>
        <v>0</v>
      </c>
      <c r="J46" s="461">
        <v>0</v>
      </c>
      <c r="K46" s="459">
        <f t="shared" si="29"/>
        <v>0</v>
      </c>
      <c r="L46" s="472"/>
      <c r="M46" s="459">
        <v>0</v>
      </c>
      <c r="N46" s="459">
        <v>0</v>
      </c>
      <c r="O46" s="459">
        <f t="shared" si="30"/>
        <v>0</v>
      </c>
      <c r="P46" s="459">
        <f t="shared" si="31"/>
        <v>0</v>
      </c>
    </row>
    <row r="47" spans="1:20" ht="11.25" x14ac:dyDescent="0.2">
      <c r="A47" s="445" t="s">
        <v>1583</v>
      </c>
      <c r="B47" s="458">
        <v>0</v>
      </c>
      <c r="C47" s="459">
        <f t="shared" si="26"/>
        <v>0</v>
      </c>
      <c r="D47" s="461">
        <v>0</v>
      </c>
      <c r="E47" s="459">
        <f t="shared" si="27"/>
        <v>0</v>
      </c>
      <c r="F47" s="461">
        <v>0</v>
      </c>
      <c r="G47" s="459">
        <f t="shared" si="32"/>
        <v>0</v>
      </c>
      <c r="H47" s="461">
        <v>0</v>
      </c>
      <c r="I47" s="459">
        <f t="shared" si="28"/>
        <v>0</v>
      </c>
      <c r="J47" s="461">
        <v>0</v>
      </c>
      <c r="K47" s="459">
        <f t="shared" si="29"/>
        <v>0</v>
      </c>
      <c r="L47" s="472"/>
      <c r="M47" s="459">
        <v>0</v>
      </c>
      <c r="N47" s="459">
        <v>0</v>
      </c>
      <c r="O47" s="459">
        <f t="shared" si="30"/>
        <v>0</v>
      </c>
      <c r="P47" s="459">
        <f t="shared" si="31"/>
        <v>0</v>
      </c>
    </row>
    <row r="48" spans="1:20" ht="11.25" x14ac:dyDescent="0.2">
      <c r="A48" s="462" t="s">
        <v>1584</v>
      </c>
      <c r="B48" s="463">
        <v>0</v>
      </c>
      <c r="C48" s="464">
        <f t="shared" si="26"/>
        <v>0</v>
      </c>
      <c r="D48" s="466">
        <v>0</v>
      </c>
      <c r="E48" s="464">
        <f t="shared" si="27"/>
        <v>0</v>
      </c>
      <c r="F48" s="466">
        <v>0</v>
      </c>
      <c r="G48" s="459">
        <f t="shared" si="32"/>
        <v>0</v>
      </c>
      <c r="H48" s="461">
        <v>0</v>
      </c>
      <c r="I48" s="459">
        <f t="shared" si="28"/>
        <v>0</v>
      </c>
      <c r="J48" s="461">
        <v>0</v>
      </c>
      <c r="K48" s="459">
        <f t="shared" si="29"/>
        <v>0</v>
      </c>
      <c r="L48" s="472"/>
      <c r="M48" s="464">
        <v>0</v>
      </c>
      <c r="N48" s="459">
        <v>0</v>
      </c>
      <c r="O48" s="459">
        <f t="shared" si="30"/>
        <v>0</v>
      </c>
      <c r="P48" s="459">
        <f t="shared" si="31"/>
        <v>0</v>
      </c>
    </row>
    <row r="49" spans="1:20" s="500" customFormat="1" ht="10.5" x14ac:dyDescent="0.15">
      <c r="A49" s="501" t="s">
        <v>1585</v>
      </c>
      <c r="B49" s="501">
        <f>SUM(B41:B48)</f>
        <v>1448294275.0977077</v>
      </c>
      <c r="C49" s="502">
        <f t="shared" si="26"/>
        <v>0.26710510516574937</v>
      </c>
      <c r="D49" s="501">
        <f>SUM(D41:D48)</f>
        <v>788664885.10516834</v>
      </c>
      <c r="E49" s="502">
        <f t="shared" si="27"/>
        <v>0.12446147380753896</v>
      </c>
      <c r="F49" s="503">
        <f>+SUM(F41:F48)</f>
        <v>0</v>
      </c>
      <c r="G49" s="502">
        <f t="shared" si="32"/>
        <v>0</v>
      </c>
      <c r="H49" s="503">
        <f>+SUM(H41:H48)</f>
        <v>0</v>
      </c>
      <c r="I49" s="502">
        <f t="shared" si="28"/>
        <v>0</v>
      </c>
      <c r="J49" s="503">
        <f>+SUM(J41:J48)</f>
        <v>0</v>
      </c>
      <c r="K49" s="502">
        <f t="shared" si="29"/>
        <v>0</v>
      </c>
      <c r="L49" s="559"/>
      <c r="M49" s="502">
        <f t="shared" si="24"/>
        <v>-0.45545259781409975</v>
      </c>
      <c r="N49" s="502">
        <f t="shared" ref="N49:N61" si="33">+((F49-D49)/D49)</f>
        <v>-1</v>
      </c>
      <c r="O49" s="502">
        <f t="shared" si="30"/>
        <v>0</v>
      </c>
      <c r="P49" s="502">
        <f t="shared" si="31"/>
        <v>0</v>
      </c>
      <c r="Q49" s="499"/>
      <c r="R49" s="499"/>
      <c r="S49" s="499"/>
      <c r="T49" s="499"/>
    </row>
    <row r="50" spans="1:20" s="500" customFormat="1" ht="11.25" thickBot="1" x14ac:dyDescent="0.2">
      <c r="A50" s="497" t="s">
        <v>1586</v>
      </c>
      <c r="B50" s="468">
        <f>+B38+B49</f>
        <v>1561083635.2884414</v>
      </c>
      <c r="C50" s="498">
        <f>B50/$B$61</f>
        <v>0.28790655030941054</v>
      </c>
      <c r="D50" s="468">
        <f>+D38+D49</f>
        <v>927818301.86367035</v>
      </c>
      <c r="E50" s="498">
        <f t="shared" si="27"/>
        <v>0.14642167472710738</v>
      </c>
      <c r="F50" s="473">
        <f>+F49+F38</f>
        <v>164800904.56841323</v>
      </c>
      <c r="G50" s="498">
        <f t="shared" si="32"/>
        <v>2.2250687279197715E-2</v>
      </c>
      <c r="H50" s="473">
        <f>+H49+H38</f>
        <v>185055705.89124751</v>
      </c>
      <c r="I50" s="498">
        <f t="shared" si="28"/>
        <v>1.9510273727009298E-2</v>
      </c>
      <c r="J50" s="473">
        <f>+J49+J38</f>
        <v>201775624.53550515</v>
      </c>
      <c r="K50" s="498">
        <f t="shared" si="29"/>
        <v>1.7178311415705503E-2</v>
      </c>
      <c r="L50" s="558"/>
      <c r="M50" s="498">
        <f t="shared" si="24"/>
        <v>-0.40565753115960546</v>
      </c>
      <c r="N50" s="498">
        <f t="shared" si="33"/>
        <v>-0.82237804078946874</v>
      </c>
      <c r="O50" s="498">
        <f t="shared" si="30"/>
        <v>0.1229046732229918</v>
      </c>
      <c r="P50" s="498">
        <f t="shared" si="31"/>
        <v>9.0350732844106427E-2</v>
      </c>
      <c r="Q50" s="499"/>
      <c r="R50" s="499"/>
      <c r="S50" s="499"/>
      <c r="T50" s="499"/>
    </row>
    <row r="51" spans="1:20" ht="13.5" thickTop="1" x14ac:dyDescent="0.2">
      <c r="C51" s="459"/>
      <c r="E51" s="459"/>
      <c r="F51" s="455"/>
      <c r="G51" s="459"/>
      <c r="H51" s="455"/>
      <c r="I51" s="459"/>
      <c r="J51" s="455"/>
      <c r="K51" s="459"/>
      <c r="L51" s="472"/>
      <c r="M51" s="459"/>
      <c r="N51" s="495"/>
      <c r="O51" s="495"/>
      <c r="P51" s="495"/>
    </row>
    <row r="52" spans="1:20" x14ac:dyDescent="0.2">
      <c r="A52" s="450" t="s">
        <v>875</v>
      </c>
      <c r="B52" s="471"/>
      <c r="C52" s="459"/>
      <c r="E52" s="459"/>
      <c r="F52" s="461"/>
      <c r="G52" s="459"/>
      <c r="H52" s="461"/>
      <c r="I52" s="459"/>
      <c r="J52" s="461"/>
      <c r="K52" s="459"/>
      <c r="L52" s="472"/>
      <c r="M52" s="459"/>
      <c r="N52" s="495"/>
      <c r="O52" s="495"/>
      <c r="P52" s="495"/>
    </row>
    <row r="53" spans="1:20" s="455" customFormat="1" ht="11.25" x14ac:dyDescent="0.2">
      <c r="A53" s="504" t="s">
        <v>1587</v>
      </c>
      <c r="B53" s="461">
        <f>+'Balance '!$E$79</f>
        <v>2606636707</v>
      </c>
      <c r="C53" s="459">
        <f t="shared" ref="C53:C61" si="34">B53/$B$61</f>
        <v>0.48073515425942426</v>
      </c>
      <c r="D53" s="461">
        <f>+'Balance '!$F$79</f>
        <v>2606636707</v>
      </c>
      <c r="E53" s="459">
        <f t="shared" ref="E53:E61" si="35">D53/$D$61</f>
        <v>0.41136083571260812</v>
      </c>
      <c r="F53" s="461">
        <f>+'Balance '!$G$79</f>
        <v>2606636707</v>
      </c>
      <c r="G53" s="459">
        <f>+F53/$F$61</f>
        <v>0.35193652832079941</v>
      </c>
      <c r="H53" s="461">
        <f>+'Balance '!$H$79</f>
        <v>2606636707</v>
      </c>
      <c r="I53" s="459">
        <f t="shared" ref="I53:I61" si="36">+H53/$H$61</f>
        <v>0.27481560439064234</v>
      </c>
      <c r="J53" s="461">
        <f>+'Balance '!$I$79</f>
        <v>2606636707</v>
      </c>
      <c r="K53" s="459">
        <f t="shared" ref="K53:K61" si="37">+J53/$J$61</f>
        <v>0.2219178714155132</v>
      </c>
      <c r="L53" s="472"/>
      <c r="M53" s="459">
        <f t="shared" si="24"/>
        <v>0</v>
      </c>
      <c r="N53" s="459">
        <f t="shared" si="33"/>
        <v>0</v>
      </c>
      <c r="O53" s="459">
        <f t="shared" ref="O53:O61" si="38">IF(ISERROR((H53-F53)/F53),0,(H53-F53)/F53)</f>
        <v>0</v>
      </c>
      <c r="P53" s="459">
        <f t="shared" ref="P53:P61" si="39">IF(ISERROR((J53-H53)/H53),0,(J53-H53)/H53)</f>
        <v>0</v>
      </c>
      <c r="Q53" s="505"/>
      <c r="R53" s="505"/>
      <c r="S53" s="505"/>
      <c r="T53" s="505"/>
    </row>
    <row r="54" spans="1:20" s="455" customFormat="1" ht="11.25" x14ac:dyDescent="0.2">
      <c r="A54" s="504" t="s">
        <v>1588</v>
      </c>
      <c r="B54" s="461">
        <v>0</v>
      </c>
      <c r="C54" s="459">
        <f t="shared" si="34"/>
        <v>0</v>
      </c>
      <c r="D54" s="461">
        <v>0</v>
      </c>
      <c r="E54" s="459">
        <f t="shared" si="35"/>
        <v>0</v>
      </c>
      <c r="F54" s="461">
        <v>0</v>
      </c>
      <c r="G54" s="459">
        <f t="shared" ref="G54:G61" si="40">+F54/$F$61</f>
        <v>0</v>
      </c>
      <c r="H54" s="461">
        <v>0</v>
      </c>
      <c r="I54" s="459">
        <f t="shared" si="36"/>
        <v>0</v>
      </c>
      <c r="J54" s="461">
        <v>0</v>
      </c>
      <c r="K54" s="459">
        <f t="shared" si="37"/>
        <v>0</v>
      </c>
      <c r="L54" s="472"/>
      <c r="M54" s="459">
        <v>0</v>
      </c>
      <c r="N54" s="459">
        <v>0</v>
      </c>
      <c r="O54" s="459">
        <f t="shared" si="38"/>
        <v>0</v>
      </c>
      <c r="P54" s="459">
        <f t="shared" si="39"/>
        <v>0</v>
      </c>
      <c r="Q54" s="505"/>
      <c r="R54" s="505"/>
      <c r="S54" s="505"/>
      <c r="T54" s="505"/>
    </row>
    <row r="55" spans="1:20" s="455" customFormat="1" ht="11.25" x14ac:dyDescent="0.2">
      <c r="A55" s="504" t="s">
        <v>1589</v>
      </c>
      <c r="B55" s="461">
        <f>+'Balance '!$E$81</f>
        <v>114042575.30396417</v>
      </c>
      <c r="C55" s="459">
        <f t="shared" si="34"/>
        <v>2.1032572311924104E-2</v>
      </c>
      <c r="D55" s="461">
        <f>+'Balance '!$F$81</f>
        <v>254742141.13756061</v>
      </c>
      <c r="E55" s="459">
        <f t="shared" si="35"/>
        <v>4.0201589960025867E-2</v>
      </c>
      <c r="F55" s="461">
        <f>+'Balance '!$G$81</f>
        <v>421374166.86784506</v>
      </c>
      <c r="G55" s="459">
        <f t="shared" si="40"/>
        <v>5.6892071309091179E-2</v>
      </c>
      <c r="H55" s="461">
        <f>+'Balance '!$H$81</f>
        <v>608486047.26899529</v>
      </c>
      <c r="I55" s="459">
        <f t="shared" si="36"/>
        <v>6.4152192898395299E-2</v>
      </c>
      <c r="J55" s="461">
        <f>+'Balance '!$I$81</f>
        <v>812503623.18822837</v>
      </c>
      <c r="K55" s="459">
        <f t="shared" si="37"/>
        <v>6.917307428807104E-2</v>
      </c>
      <c r="L55" s="472"/>
      <c r="M55" s="459">
        <f t="shared" si="24"/>
        <v>1.2337459537245794</v>
      </c>
      <c r="N55" s="459">
        <f t="shared" si="33"/>
        <v>0.65412037830169312</v>
      </c>
      <c r="O55" s="459">
        <f t="shared" si="38"/>
        <v>0.44405161757301997</v>
      </c>
      <c r="P55" s="459">
        <f t="shared" si="39"/>
        <v>0.33528718831747084</v>
      </c>
      <c r="Q55" s="505"/>
      <c r="R55" s="505"/>
      <c r="S55" s="505"/>
      <c r="T55" s="505"/>
    </row>
    <row r="56" spans="1:20" s="455" customFormat="1" ht="11.25" x14ac:dyDescent="0.2">
      <c r="A56" s="504" t="s">
        <v>1590</v>
      </c>
      <c r="B56" s="461">
        <f>+'Balance '!$E$82</f>
        <v>1140425753.0396416</v>
      </c>
      <c r="C56" s="459">
        <f t="shared" si="34"/>
        <v>0.21032572311924103</v>
      </c>
      <c r="D56" s="461">
        <f>+'Balance '!$F$82</f>
        <v>1406995658.3359642</v>
      </c>
      <c r="E56" s="459">
        <f t="shared" si="35"/>
        <v>0.22204203152008073</v>
      </c>
      <c r="F56" s="461">
        <f>+'Balance '!$G$82</f>
        <v>1666320257.3028448</v>
      </c>
      <c r="G56" s="459">
        <f t="shared" si="40"/>
        <v>0.22497917137855467</v>
      </c>
      <c r="H56" s="461">
        <f>+'Balance '!$H$82</f>
        <v>1871118804.0115027</v>
      </c>
      <c r="I56" s="459">
        <f t="shared" si="36"/>
        <v>0.19727054546198292</v>
      </c>
      <c r="J56" s="461">
        <f>+'Balance '!$I$82</f>
        <v>2040175759.1923301</v>
      </c>
      <c r="K56" s="459">
        <f t="shared" si="37"/>
        <v>0.17369181542546677</v>
      </c>
      <c r="L56" s="472"/>
      <c r="M56" s="459">
        <f t="shared" si="24"/>
        <v>0.23374595372457932</v>
      </c>
      <c r="N56" s="459">
        <f t="shared" si="33"/>
        <v>0.18431087361959628</v>
      </c>
      <c r="O56" s="459">
        <f t="shared" si="38"/>
        <v>0.12290467322299194</v>
      </c>
      <c r="P56" s="459">
        <f t="shared" si="39"/>
        <v>9.035073284410651E-2</v>
      </c>
      <c r="Q56" s="505"/>
      <c r="R56" s="505"/>
      <c r="S56" s="505"/>
      <c r="T56" s="505"/>
    </row>
    <row r="57" spans="1:20" s="455" customFormat="1" ht="11.25" x14ac:dyDescent="0.2">
      <c r="A57" s="504" t="s">
        <v>1591</v>
      </c>
      <c r="B57" s="461">
        <v>0</v>
      </c>
      <c r="C57" s="459">
        <f t="shared" si="34"/>
        <v>0</v>
      </c>
      <c r="D57" s="461">
        <f>+'Balance '!$F$83</f>
        <v>1140425753.0396416</v>
      </c>
      <c r="E57" s="459">
        <f t="shared" si="35"/>
        <v>0.17997386808017793</v>
      </c>
      <c r="F57" s="461">
        <f>+'Balance '!$G$83</f>
        <v>2547421411.3756056</v>
      </c>
      <c r="G57" s="459">
        <f t="shared" si="40"/>
        <v>0.34394154171235708</v>
      </c>
      <c r="H57" s="461">
        <f>+'Balance '!$H$83</f>
        <v>4213741668.6784506</v>
      </c>
      <c r="I57" s="459">
        <f t="shared" si="36"/>
        <v>0.44425138352197008</v>
      </c>
      <c r="J57" s="461">
        <f>+'Balance '!$I$83</f>
        <v>6084860472.6899529</v>
      </c>
      <c r="K57" s="459">
        <f t="shared" si="37"/>
        <v>0.51803892745524349</v>
      </c>
      <c r="L57" s="472"/>
      <c r="M57" s="459">
        <v>0</v>
      </c>
      <c r="N57" s="459">
        <f t="shared" si="33"/>
        <v>1.2337459537245792</v>
      </c>
      <c r="O57" s="459">
        <f t="shared" si="38"/>
        <v>0.65412037830169345</v>
      </c>
      <c r="P57" s="459">
        <f t="shared" si="39"/>
        <v>0.44405161757301997</v>
      </c>
      <c r="Q57" s="505"/>
      <c r="R57" s="505"/>
      <c r="S57" s="505"/>
      <c r="T57" s="505"/>
    </row>
    <row r="58" spans="1:20" s="455" customFormat="1" ht="11.25" x14ac:dyDescent="0.2">
      <c r="A58" s="504" t="s">
        <v>1592</v>
      </c>
      <c r="B58" s="461">
        <v>0</v>
      </c>
      <c r="C58" s="459">
        <f t="shared" si="34"/>
        <v>0</v>
      </c>
      <c r="D58" s="461">
        <v>0</v>
      </c>
      <c r="E58" s="459">
        <f t="shared" si="35"/>
        <v>0</v>
      </c>
      <c r="F58" s="461">
        <v>0</v>
      </c>
      <c r="G58" s="459">
        <f t="shared" si="40"/>
        <v>0</v>
      </c>
      <c r="H58" s="461">
        <v>0</v>
      </c>
      <c r="I58" s="459">
        <f t="shared" si="36"/>
        <v>0</v>
      </c>
      <c r="J58" s="461">
        <v>0</v>
      </c>
      <c r="K58" s="459">
        <f t="shared" si="37"/>
        <v>0</v>
      </c>
      <c r="L58" s="472"/>
      <c r="M58" s="459">
        <v>0</v>
      </c>
      <c r="N58" s="459">
        <v>0</v>
      </c>
      <c r="O58" s="459">
        <f t="shared" si="38"/>
        <v>0</v>
      </c>
      <c r="P58" s="459">
        <f t="shared" si="39"/>
        <v>0</v>
      </c>
      <c r="Q58" s="505"/>
      <c r="R58" s="505"/>
      <c r="S58" s="505"/>
      <c r="T58" s="505"/>
    </row>
    <row r="59" spans="1:20" s="455" customFormat="1" ht="11.25" x14ac:dyDescent="0.2">
      <c r="A59" s="506" t="s">
        <v>1593</v>
      </c>
      <c r="B59" s="466">
        <v>0</v>
      </c>
      <c r="C59" s="464">
        <f t="shared" si="34"/>
        <v>0</v>
      </c>
      <c r="D59" s="466">
        <v>0</v>
      </c>
      <c r="E59" s="464">
        <f t="shared" si="35"/>
        <v>0</v>
      </c>
      <c r="F59" s="466">
        <v>0</v>
      </c>
      <c r="G59" s="464">
        <f t="shared" si="40"/>
        <v>0</v>
      </c>
      <c r="H59" s="466">
        <v>0</v>
      </c>
      <c r="I59" s="464">
        <f t="shared" si="36"/>
        <v>0</v>
      </c>
      <c r="J59" s="466">
        <v>0</v>
      </c>
      <c r="K59" s="464">
        <f t="shared" si="37"/>
        <v>0</v>
      </c>
      <c r="L59" s="555"/>
      <c r="M59" s="464">
        <v>0</v>
      </c>
      <c r="N59" s="464">
        <v>0</v>
      </c>
      <c r="O59" s="464">
        <f t="shared" si="38"/>
        <v>0</v>
      </c>
      <c r="P59" s="464">
        <f t="shared" si="39"/>
        <v>0</v>
      </c>
      <c r="Q59" s="505"/>
      <c r="R59" s="505"/>
      <c r="S59" s="505"/>
      <c r="T59" s="505"/>
    </row>
    <row r="60" spans="1:20" s="510" customFormat="1" ht="11.25" thickBot="1" x14ac:dyDescent="0.2">
      <c r="A60" s="507" t="s">
        <v>881</v>
      </c>
      <c r="B60" s="479">
        <f>SUM(B53:B59)</f>
        <v>3861105035.343606</v>
      </c>
      <c r="C60" s="508">
        <f t="shared" si="34"/>
        <v>0.71209344969058941</v>
      </c>
      <c r="D60" s="479">
        <f>SUM(D53:D59)</f>
        <v>5408800259.5131664</v>
      </c>
      <c r="E60" s="508">
        <f t="shared" si="35"/>
        <v>0.85357832527289257</v>
      </c>
      <c r="F60" s="479">
        <f>+SUM(F53:F59)</f>
        <v>7241752542.5462952</v>
      </c>
      <c r="G60" s="508">
        <f t="shared" si="40"/>
        <v>0.97774931272080234</v>
      </c>
      <c r="H60" s="479">
        <f>+SUM(H53:H59)</f>
        <v>9299983226.95895</v>
      </c>
      <c r="I60" s="508">
        <f t="shared" si="36"/>
        <v>0.9804897262729908</v>
      </c>
      <c r="J60" s="479">
        <f>+SUM(J53:J59)</f>
        <v>11544176562.070511</v>
      </c>
      <c r="K60" s="508">
        <f t="shared" si="37"/>
        <v>0.98282168858429453</v>
      </c>
      <c r="L60" s="560"/>
      <c r="M60" s="508">
        <f t="shared" si="24"/>
        <v>0.40084255931976442</v>
      </c>
      <c r="N60" s="508">
        <f t="shared" si="33"/>
        <v>0.3388833373555023</v>
      </c>
      <c r="O60" s="508">
        <f t="shared" si="38"/>
        <v>0.28421720741219281</v>
      </c>
      <c r="P60" s="508">
        <f t="shared" si="39"/>
        <v>0.24131154652043402</v>
      </c>
      <c r="Q60" s="509"/>
      <c r="R60" s="509"/>
      <c r="S60" s="509"/>
      <c r="T60" s="509"/>
    </row>
    <row r="61" spans="1:20" s="510" customFormat="1" ht="12" thickTop="1" thickBot="1" x14ac:dyDescent="0.2">
      <c r="A61" s="507" t="s">
        <v>1594</v>
      </c>
      <c r="B61" s="479">
        <f>B60+B50</f>
        <v>5422188670.6320477</v>
      </c>
      <c r="C61" s="508">
        <f t="shared" si="34"/>
        <v>1</v>
      </c>
      <c r="D61" s="479">
        <f>D60+D50</f>
        <v>6336618561.3768368</v>
      </c>
      <c r="E61" s="508">
        <f t="shared" si="35"/>
        <v>1</v>
      </c>
      <c r="F61" s="479">
        <f>+F60+F50</f>
        <v>7406553447.1147079</v>
      </c>
      <c r="G61" s="508">
        <f t="shared" si="40"/>
        <v>1</v>
      </c>
      <c r="H61" s="479">
        <f>+H60+H50</f>
        <v>9485038932.8501968</v>
      </c>
      <c r="I61" s="508">
        <f t="shared" si="36"/>
        <v>1</v>
      </c>
      <c r="J61" s="479">
        <f>+J60+J50</f>
        <v>11745952186.606016</v>
      </c>
      <c r="K61" s="508">
        <f t="shared" si="37"/>
        <v>1</v>
      </c>
      <c r="L61" s="560"/>
      <c r="M61" s="508">
        <f t="shared" si="24"/>
        <v>0.1686459004456215</v>
      </c>
      <c r="N61" s="508">
        <f t="shared" si="33"/>
        <v>0.16884950157160683</v>
      </c>
      <c r="O61" s="508">
        <f t="shared" si="38"/>
        <v>0.28062789265973398</v>
      </c>
      <c r="P61" s="508">
        <f t="shared" si="39"/>
        <v>0.23836625972355693</v>
      </c>
      <c r="Q61" s="509"/>
      <c r="R61" s="509"/>
      <c r="S61" s="509"/>
      <c r="T61" s="509"/>
    </row>
    <row r="62" spans="1:20" s="455" customFormat="1" ht="13.5" thickTop="1" x14ac:dyDescent="0.2">
      <c r="B62" s="505"/>
      <c r="C62" s="505"/>
      <c r="F62" s="505"/>
      <c r="H62" s="511"/>
      <c r="J62" s="512"/>
      <c r="M62" s="505"/>
      <c r="N62" s="208"/>
      <c r="Q62" s="505"/>
      <c r="R62" s="505"/>
      <c r="S62" s="505"/>
      <c r="T62" s="505"/>
    </row>
    <row r="63" spans="1:20" s="455" customFormat="1" x14ac:dyDescent="0.2">
      <c r="B63" s="505"/>
      <c r="C63" s="505"/>
      <c r="F63" s="505"/>
      <c r="H63" s="505"/>
      <c r="M63" s="505"/>
      <c r="N63" s="208"/>
      <c r="Q63" s="505"/>
      <c r="R63" s="505"/>
      <c r="S63" s="505"/>
      <c r="T63" s="505"/>
    </row>
    <row r="64" spans="1:20" s="455" customFormat="1" x14ac:dyDescent="0.2">
      <c r="B64" s="505"/>
      <c r="C64" s="505"/>
      <c r="F64" s="505"/>
      <c r="H64" s="505"/>
      <c r="M64" s="505"/>
      <c r="N64" s="208"/>
      <c r="Q64" s="505"/>
      <c r="R64" s="505"/>
      <c r="S64" s="505"/>
      <c r="T64" s="505"/>
    </row>
    <row r="65" spans="8:8" x14ac:dyDescent="0.2">
      <c r="H65" s="505"/>
    </row>
    <row r="66" spans="8:8" x14ac:dyDescent="0.2">
      <c r="H66" s="505"/>
    </row>
    <row r="67" spans="8:8" x14ac:dyDescent="0.2">
      <c r="H67" s="505"/>
    </row>
    <row r="68" spans="8:8" x14ac:dyDescent="0.2">
      <c r="H68" s="505"/>
    </row>
  </sheetData>
  <mergeCells count="3">
    <mergeCell ref="A1:N1"/>
    <mergeCell ref="A2:N2"/>
    <mergeCell ref="A3:N3"/>
  </mergeCells>
  <printOptions horizontalCentered="1" verticalCentered="1"/>
  <pageMargins left="0.19685039370078741" right="0.19685039370078741" top="0.39370078740157483" bottom="0.19685039370078741" header="0" footer="0"/>
  <pageSetup orientation="portrait" horizontalDpi="300" verticalDpi="300" r:id="rId1"/>
  <headerFooter alignWithMargins="0">
    <oddHeader>&amp;L&amp;"Arial,Negrita"Universidad EAFIT
Departamento de Contaduría Pública&amp;R&amp;"Arial,Negrita"Diplomado en Finanzas Básicas
Profesor: Leonardo Sánchez Garrido</oddHead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A1:BG51"/>
  <sheetViews>
    <sheetView showGridLines="0" topLeftCell="A3" zoomScaleNormal="100" workbookViewId="0">
      <pane xSplit="1" ySplit="6" topLeftCell="B9" activePane="bottomRight" state="frozen"/>
      <selection activeCell="A3" sqref="A3"/>
      <selection pane="topRight" activeCell="B3" sqref="B3"/>
      <selection pane="bottomLeft" activeCell="A7" sqref="A7"/>
      <selection pane="bottomRight" activeCell="H18" sqref="H18"/>
    </sheetView>
  </sheetViews>
  <sheetFormatPr baseColWidth="10" defaultRowHeight="11.25" x14ac:dyDescent="0.2"/>
  <cols>
    <col min="1" max="1" width="39.28515625" style="445" bestFit="1" customWidth="1"/>
    <col min="2" max="2" width="11.42578125" style="446" bestFit="1" customWidth="1"/>
    <col min="3" max="3" width="6.28515625" style="446" bestFit="1" customWidth="1"/>
    <col min="4" max="4" width="11.5703125" style="505" bestFit="1" customWidth="1"/>
    <col min="5" max="5" width="6.5703125" style="446" bestFit="1" customWidth="1"/>
    <col min="6" max="6" width="11.42578125" style="505" bestFit="1" customWidth="1"/>
    <col min="7" max="7" width="6.85546875" style="446" customWidth="1"/>
    <col min="8" max="8" width="11.42578125" style="446" bestFit="1" customWidth="1"/>
    <col min="9" max="9" width="6.28515625" style="446" customWidth="1"/>
    <col min="10" max="10" width="11.42578125" style="446" bestFit="1" customWidth="1"/>
    <col min="11" max="11" width="6.28515625" style="446" customWidth="1"/>
    <col min="12" max="12" width="6.28515625" style="505" customWidth="1"/>
    <col min="13" max="13" width="8.28515625" style="446" bestFit="1" customWidth="1"/>
    <col min="14" max="14" width="8" style="446" bestFit="1" customWidth="1"/>
    <col min="15" max="16" width="11.42578125" style="445"/>
    <col min="17" max="59" width="11.42578125" style="457"/>
    <col min="60" max="257" width="11.42578125" style="445"/>
    <col min="258" max="258" width="39.28515625" style="445" bestFit="1" customWidth="1"/>
    <col min="259" max="259" width="11.42578125" style="445" bestFit="1" customWidth="1"/>
    <col min="260" max="260" width="6.28515625" style="445" bestFit="1" customWidth="1"/>
    <col min="261" max="261" width="11.5703125" style="445" bestFit="1" customWidth="1"/>
    <col min="262" max="262" width="6.5703125" style="445" bestFit="1" customWidth="1"/>
    <col min="263" max="263" width="11.42578125" style="445" bestFit="1" customWidth="1"/>
    <col min="264" max="264" width="6.85546875" style="445" customWidth="1"/>
    <col min="265" max="265" width="11.42578125" style="445" bestFit="1" customWidth="1"/>
    <col min="266" max="266" width="6.28515625" style="445" customWidth="1"/>
    <col min="267" max="267" width="11.42578125" style="445" bestFit="1" customWidth="1"/>
    <col min="268" max="268" width="6.28515625" style="445" customWidth="1"/>
    <col min="269" max="269" width="8.28515625" style="445" bestFit="1" customWidth="1"/>
    <col min="270" max="270" width="8" style="445" bestFit="1" customWidth="1"/>
    <col min="271" max="513" width="11.42578125" style="445"/>
    <col min="514" max="514" width="39.28515625" style="445" bestFit="1" customWidth="1"/>
    <col min="515" max="515" width="11.42578125" style="445" bestFit="1" customWidth="1"/>
    <col min="516" max="516" width="6.28515625" style="445" bestFit="1" customWidth="1"/>
    <col min="517" max="517" width="11.5703125" style="445" bestFit="1" customWidth="1"/>
    <col min="518" max="518" width="6.5703125" style="445" bestFit="1" customWidth="1"/>
    <col min="519" max="519" width="11.42578125" style="445" bestFit="1" customWidth="1"/>
    <col min="520" max="520" width="6.85546875" style="445" customWidth="1"/>
    <col min="521" max="521" width="11.42578125" style="445" bestFit="1" customWidth="1"/>
    <col min="522" max="522" width="6.28515625" style="445" customWidth="1"/>
    <col min="523" max="523" width="11.42578125" style="445" bestFit="1" customWidth="1"/>
    <col min="524" max="524" width="6.28515625" style="445" customWidth="1"/>
    <col min="525" max="525" width="8.28515625" style="445" bestFit="1" customWidth="1"/>
    <col min="526" max="526" width="8" style="445" bestFit="1" customWidth="1"/>
    <col min="527" max="769" width="11.42578125" style="445"/>
    <col min="770" max="770" width="39.28515625" style="445" bestFit="1" customWidth="1"/>
    <col min="771" max="771" width="11.42578125" style="445" bestFit="1" customWidth="1"/>
    <col min="772" max="772" width="6.28515625" style="445" bestFit="1" customWidth="1"/>
    <col min="773" max="773" width="11.5703125" style="445" bestFit="1" customWidth="1"/>
    <col min="774" max="774" width="6.5703125" style="445" bestFit="1" customWidth="1"/>
    <col min="775" max="775" width="11.42578125" style="445" bestFit="1" customWidth="1"/>
    <col min="776" max="776" width="6.85546875" style="445" customWidth="1"/>
    <col min="777" max="777" width="11.42578125" style="445" bestFit="1" customWidth="1"/>
    <col min="778" max="778" width="6.28515625" style="445" customWidth="1"/>
    <col min="779" max="779" width="11.42578125" style="445" bestFit="1" customWidth="1"/>
    <col min="780" max="780" width="6.28515625" style="445" customWidth="1"/>
    <col min="781" max="781" width="8.28515625" style="445" bestFit="1" customWidth="1"/>
    <col min="782" max="782" width="8" style="445" bestFit="1" customWidth="1"/>
    <col min="783" max="1025" width="11.42578125" style="445"/>
    <col min="1026" max="1026" width="39.28515625" style="445" bestFit="1" customWidth="1"/>
    <col min="1027" max="1027" width="11.42578125" style="445" bestFit="1" customWidth="1"/>
    <col min="1028" max="1028" width="6.28515625" style="445" bestFit="1" customWidth="1"/>
    <col min="1029" max="1029" width="11.5703125" style="445" bestFit="1" customWidth="1"/>
    <col min="1030" max="1030" width="6.5703125" style="445" bestFit="1" customWidth="1"/>
    <col min="1031" max="1031" width="11.42578125" style="445" bestFit="1" customWidth="1"/>
    <col min="1032" max="1032" width="6.85546875" style="445" customWidth="1"/>
    <col min="1033" max="1033" width="11.42578125" style="445" bestFit="1" customWidth="1"/>
    <col min="1034" max="1034" width="6.28515625" style="445" customWidth="1"/>
    <col min="1035" max="1035" width="11.42578125" style="445" bestFit="1" customWidth="1"/>
    <col min="1036" max="1036" width="6.28515625" style="445" customWidth="1"/>
    <col min="1037" max="1037" width="8.28515625" style="445" bestFit="1" customWidth="1"/>
    <col min="1038" max="1038" width="8" style="445" bestFit="1" customWidth="1"/>
    <col min="1039" max="1281" width="11.42578125" style="445"/>
    <col min="1282" max="1282" width="39.28515625" style="445" bestFit="1" customWidth="1"/>
    <col min="1283" max="1283" width="11.42578125" style="445" bestFit="1" customWidth="1"/>
    <col min="1284" max="1284" width="6.28515625" style="445" bestFit="1" customWidth="1"/>
    <col min="1285" max="1285" width="11.5703125" style="445" bestFit="1" customWidth="1"/>
    <col min="1286" max="1286" width="6.5703125" style="445" bestFit="1" customWidth="1"/>
    <col min="1287" max="1287" width="11.42578125" style="445" bestFit="1" customWidth="1"/>
    <col min="1288" max="1288" width="6.85546875" style="445" customWidth="1"/>
    <col min="1289" max="1289" width="11.42578125" style="445" bestFit="1" customWidth="1"/>
    <col min="1290" max="1290" width="6.28515625" style="445" customWidth="1"/>
    <col min="1291" max="1291" width="11.42578125" style="445" bestFit="1" customWidth="1"/>
    <col min="1292" max="1292" width="6.28515625" style="445" customWidth="1"/>
    <col min="1293" max="1293" width="8.28515625" style="445" bestFit="1" customWidth="1"/>
    <col min="1294" max="1294" width="8" style="445" bestFit="1" customWidth="1"/>
    <col min="1295" max="1537" width="11.42578125" style="445"/>
    <col min="1538" max="1538" width="39.28515625" style="445" bestFit="1" customWidth="1"/>
    <col min="1539" max="1539" width="11.42578125" style="445" bestFit="1" customWidth="1"/>
    <col min="1540" max="1540" width="6.28515625" style="445" bestFit="1" customWidth="1"/>
    <col min="1541" max="1541" width="11.5703125" style="445" bestFit="1" customWidth="1"/>
    <col min="1542" max="1542" width="6.5703125" style="445" bestFit="1" customWidth="1"/>
    <col min="1543" max="1543" width="11.42578125" style="445" bestFit="1" customWidth="1"/>
    <col min="1544" max="1544" width="6.85546875" style="445" customWidth="1"/>
    <col min="1545" max="1545" width="11.42578125" style="445" bestFit="1" customWidth="1"/>
    <col min="1546" max="1546" width="6.28515625" style="445" customWidth="1"/>
    <col min="1547" max="1547" width="11.42578125" style="445" bestFit="1" customWidth="1"/>
    <col min="1548" max="1548" width="6.28515625" style="445" customWidth="1"/>
    <col min="1549" max="1549" width="8.28515625" style="445" bestFit="1" customWidth="1"/>
    <col min="1550" max="1550" width="8" style="445" bestFit="1" customWidth="1"/>
    <col min="1551" max="1793" width="11.42578125" style="445"/>
    <col min="1794" max="1794" width="39.28515625" style="445" bestFit="1" customWidth="1"/>
    <col min="1795" max="1795" width="11.42578125" style="445" bestFit="1" customWidth="1"/>
    <col min="1796" max="1796" width="6.28515625" style="445" bestFit="1" customWidth="1"/>
    <col min="1797" max="1797" width="11.5703125" style="445" bestFit="1" customWidth="1"/>
    <col min="1798" max="1798" width="6.5703125" style="445" bestFit="1" customWidth="1"/>
    <col min="1799" max="1799" width="11.42578125" style="445" bestFit="1" customWidth="1"/>
    <col min="1800" max="1800" width="6.85546875" style="445" customWidth="1"/>
    <col min="1801" max="1801" width="11.42578125" style="445" bestFit="1" customWidth="1"/>
    <col min="1802" max="1802" width="6.28515625" style="445" customWidth="1"/>
    <col min="1803" max="1803" width="11.42578125" style="445" bestFit="1" customWidth="1"/>
    <col min="1804" max="1804" width="6.28515625" style="445" customWidth="1"/>
    <col min="1805" max="1805" width="8.28515625" style="445" bestFit="1" customWidth="1"/>
    <col min="1806" max="1806" width="8" style="445" bestFit="1" customWidth="1"/>
    <col min="1807" max="2049" width="11.42578125" style="445"/>
    <col min="2050" max="2050" width="39.28515625" style="445" bestFit="1" customWidth="1"/>
    <col min="2051" max="2051" width="11.42578125" style="445" bestFit="1" customWidth="1"/>
    <col min="2052" max="2052" width="6.28515625" style="445" bestFit="1" customWidth="1"/>
    <col min="2053" max="2053" width="11.5703125" style="445" bestFit="1" customWidth="1"/>
    <col min="2054" max="2054" width="6.5703125" style="445" bestFit="1" customWidth="1"/>
    <col min="2055" max="2055" width="11.42578125" style="445" bestFit="1" customWidth="1"/>
    <col min="2056" max="2056" width="6.85546875" style="445" customWidth="1"/>
    <col min="2057" max="2057" width="11.42578125" style="445" bestFit="1" customWidth="1"/>
    <col min="2058" max="2058" width="6.28515625" style="445" customWidth="1"/>
    <col min="2059" max="2059" width="11.42578125" style="445" bestFit="1" customWidth="1"/>
    <col min="2060" max="2060" width="6.28515625" style="445" customWidth="1"/>
    <col min="2061" max="2061" width="8.28515625" style="445" bestFit="1" customWidth="1"/>
    <col min="2062" max="2062" width="8" style="445" bestFit="1" customWidth="1"/>
    <col min="2063" max="2305" width="11.42578125" style="445"/>
    <col min="2306" max="2306" width="39.28515625" style="445" bestFit="1" customWidth="1"/>
    <col min="2307" max="2307" width="11.42578125" style="445" bestFit="1" customWidth="1"/>
    <col min="2308" max="2308" width="6.28515625" style="445" bestFit="1" customWidth="1"/>
    <col min="2309" max="2309" width="11.5703125" style="445" bestFit="1" customWidth="1"/>
    <col min="2310" max="2310" width="6.5703125" style="445" bestFit="1" customWidth="1"/>
    <col min="2311" max="2311" width="11.42578125" style="445" bestFit="1" customWidth="1"/>
    <col min="2312" max="2312" width="6.85546875" style="445" customWidth="1"/>
    <col min="2313" max="2313" width="11.42578125" style="445" bestFit="1" customWidth="1"/>
    <col min="2314" max="2314" width="6.28515625" style="445" customWidth="1"/>
    <col min="2315" max="2315" width="11.42578125" style="445" bestFit="1" customWidth="1"/>
    <col min="2316" max="2316" width="6.28515625" style="445" customWidth="1"/>
    <col min="2317" max="2317" width="8.28515625" style="445" bestFit="1" customWidth="1"/>
    <col min="2318" max="2318" width="8" style="445" bestFit="1" customWidth="1"/>
    <col min="2319" max="2561" width="11.42578125" style="445"/>
    <col min="2562" max="2562" width="39.28515625" style="445" bestFit="1" customWidth="1"/>
    <col min="2563" max="2563" width="11.42578125" style="445" bestFit="1" customWidth="1"/>
    <col min="2564" max="2564" width="6.28515625" style="445" bestFit="1" customWidth="1"/>
    <col min="2565" max="2565" width="11.5703125" style="445" bestFit="1" customWidth="1"/>
    <col min="2566" max="2566" width="6.5703125" style="445" bestFit="1" customWidth="1"/>
    <col min="2567" max="2567" width="11.42578125" style="445" bestFit="1" customWidth="1"/>
    <col min="2568" max="2568" width="6.85546875" style="445" customWidth="1"/>
    <col min="2569" max="2569" width="11.42578125" style="445" bestFit="1" customWidth="1"/>
    <col min="2570" max="2570" width="6.28515625" style="445" customWidth="1"/>
    <col min="2571" max="2571" width="11.42578125" style="445" bestFit="1" customWidth="1"/>
    <col min="2572" max="2572" width="6.28515625" style="445" customWidth="1"/>
    <col min="2573" max="2573" width="8.28515625" style="445" bestFit="1" customWidth="1"/>
    <col min="2574" max="2574" width="8" style="445" bestFit="1" customWidth="1"/>
    <col min="2575" max="2817" width="11.42578125" style="445"/>
    <col min="2818" max="2818" width="39.28515625" style="445" bestFit="1" customWidth="1"/>
    <col min="2819" max="2819" width="11.42578125" style="445" bestFit="1" customWidth="1"/>
    <col min="2820" max="2820" width="6.28515625" style="445" bestFit="1" customWidth="1"/>
    <col min="2821" max="2821" width="11.5703125" style="445" bestFit="1" customWidth="1"/>
    <col min="2822" max="2822" width="6.5703125" style="445" bestFit="1" customWidth="1"/>
    <col min="2823" max="2823" width="11.42578125" style="445" bestFit="1" customWidth="1"/>
    <col min="2824" max="2824" width="6.85546875" style="445" customWidth="1"/>
    <col min="2825" max="2825" width="11.42578125" style="445" bestFit="1" customWidth="1"/>
    <col min="2826" max="2826" width="6.28515625" style="445" customWidth="1"/>
    <col min="2827" max="2827" width="11.42578125" style="445" bestFit="1" customWidth="1"/>
    <col min="2828" max="2828" width="6.28515625" style="445" customWidth="1"/>
    <col min="2829" max="2829" width="8.28515625" style="445" bestFit="1" customWidth="1"/>
    <col min="2830" max="2830" width="8" style="445" bestFit="1" customWidth="1"/>
    <col min="2831" max="3073" width="11.42578125" style="445"/>
    <col min="3074" max="3074" width="39.28515625" style="445" bestFit="1" customWidth="1"/>
    <col min="3075" max="3075" width="11.42578125" style="445" bestFit="1" customWidth="1"/>
    <col min="3076" max="3076" width="6.28515625" style="445" bestFit="1" customWidth="1"/>
    <col min="3077" max="3077" width="11.5703125" style="445" bestFit="1" customWidth="1"/>
    <col min="3078" max="3078" width="6.5703125" style="445" bestFit="1" customWidth="1"/>
    <col min="3079" max="3079" width="11.42578125" style="445" bestFit="1" customWidth="1"/>
    <col min="3080" max="3080" width="6.85546875" style="445" customWidth="1"/>
    <col min="3081" max="3081" width="11.42578125" style="445" bestFit="1" customWidth="1"/>
    <col min="3082" max="3082" width="6.28515625" style="445" customWidth="1"/>
    <col min="3083" max="3083" width="11.42578125" style="445" bestFit="1" customWidth="1"/>
    <col min="3084" max="3084" width="6.28515625" style="445" customWidth="1"/>
    <col min="3085" max="3085" width="8.28515625" style="445" bestFit="1" customWidth="1"/>
    <col min="3086" max="3086" width="8" style="445" bestFit="1" customWidth="1"/>
    <col min="3087" max="3329" width="11.42578125" style="445"/>
    <col min="3330" max="3330" width="39.28515625" style="445" bestFit="1" customWidth="1"/>
    <col min="3331" max="3331" width="11.42578125" style="445" bestFit="1" customWidth="1"/>
    <col min="3332" max="3332" width="6.28515625" style="445" bestFit="1" customWidth="1"/>
    <col min="3333" max="3333" width="11.5703125" style="445" bestFit="1" customWidth="1"/>
    <col min="3334" max="3334" width="6.5703125" style="445" bestFit="1" customWidth="1"/>
    <col min="3335" max="3335" width="11.42578125" style="445" bestFit="1" customWidth="1"/>
    <col min="3336" max="3336" width="6.85546875" style="445" customWidth="1"/>
    <col min="3337" max="3337" width="11.42578125" style="445" bestFit="1" customWidth="1"/>
    <col min="3338" max="3338" width="6.28515625" style="445" customWidth="1"/>
    <col min="3339" max="3339" width="11.42578125" style="445" bestFit="1" customWidth="1"/>
    <col min="3340" max="3340" width="6.28515625" style="445" customWidth="1"/>
    <col min="3341" max="3341" width="8.28515625" style="445" bestFit="1" customWidth="1"/>
    <col min="3342" max="3342" width="8" style="445" bestFit="1" customWidth="1"/>
    <col min="3343" max="3585" width="11.42578125" style="445"/>
    <col min="3586" max="3586" width="39.28515625" style="445" bestFit="1" customWidth="1"/>
    <col min="3587" max="3587" width="11.42578125" style="445" bestFit="1" customWidth="1"/>
    <col min="3588" max="3588" width="6.28515625" style="445" bestFit="1" customWidth="1"/>
    <col min="3589" max="3589" width="11.5703125" style="445" bestFit="1" customWidth="1"/>
    <col min="3590" max="3590" width="6.5703125" style="445" bestFit="1" customWidth="1"/>
    <col min="3591" max="3591" width="11.42578125" style="445" bestFit="1" customWidth="1"/>
    <col min="3592" max="3592" width="6.85546875" style="445" customWidth="1"/>
    <col min="3593" max="3593" width="11.42578125" style="445" bestFit="1" customWidth="1"/>
    <col min="3594" max="3594" width="6.28515625" style="445" customWidth="1"/>
    <col min="3595" max="3595" width="11.42578125" style="445" bestFit="1" customWidth="1"/>
    <col min="3596" max="3596" width="6.28515625" style="445" customWidth="1"/>
    <col min="3597" max="3597" width="8.28515625" style="445" bestFit="1" customWidth="1"/>
    <col min="3598" max="3598" width="8" style="445" bestFit="1" customWidth="1"/>
    <col min="3599" max="3841" width="11.42578125" style="445"/>
    <col min="3842" max="3842" width="39.28515625" style="445" bestFit="1" customWidth="1"/>
    <col min="3843" max="3843" width="11.42578125" style="445" bestFit="1" customWidth="1"/>
    <col min="3844" max="3844" width="6.28515625" style="445" bestFit="1" customWidth="1"/>
    <col min="3845" max="3845" width="11.5703125" style="445" bestFit="1" customWidth="1"/>
    <col min="3846" max="3846" width="6.5703125" style="445" bestFit="1" customWidth="1"/>
    <col min="3847" max="3847" width="11.42578125" style="445" bestFit="1" customWidth="1"/>
    <col min="3848" max="3848" width="6.85546875" style="445" customWidth="1"/>
    <col min="3849" max="3849" width="11.42578125" style="445" bestFit="1" customWidth="1"/>
    <col min="3850" max="3850" width="6.28515625" style="445" customWidth="1"/>
    <col min="3851" max="3851" width="11.42578125" style="445" bestFit="1" customWidth="1"/>
    <col min="3852" max="3852" width="6.28515625" style="445" customWidth="1"/>
    <col min="3853" max="3853" width="8.28515625" style="445" bestFit="1" customWidth="1"/>
    <col min="3854" max="3854" width="8" style="445" bestFit="1" customWidth="1"/>
    <col min="3855" max="4097" width="11.42578125" style="445"/>
    <col min="4098" max="4098" width="39.28515625" style="445" bestFit="1" customWidth="1"/>
    <col min="4099" max="4099" width="11.42578125" style="445" bestFit="1" customWidth="1"/>
    <col min="4100" max="4100" width="6.28515625" style="445" bestFit="1" customWidth="1"/>
    <col min="4101" max="4101" width="11.5703125" style="445" bestFit="1" customWidth="1"/>
    <col min="4102" max="4102" width="6.5703125" style="445" bestFit="1" customWidth="1"/>
    <col min="4103" max="4103" width="11.42578125" style="445" bestFit="1" customWidth="1"/>
    <col min="4104" max="4104" width="6.85546875" style="445" customWidth="1"/>
    <col min="4105" max="4105" width="11.42578125" style="445" bestFit="1" customWidth="1"/>
    <col min="4106" max="4106" width="6.28515625" style="445" customWidth="1"/>
    <col min="4107" max="4107" width="11.42578125" style="445" bestFit="1" customWidth="1"/>
    <col min="4108" max="4108" width="6.28515625" style="445" customWidth="1"/>
    <col min="4109" max="4109" width="8.28515625" style="445" bestFit="1" customWidth="1"/>
    <col min="4110" max="4110" width="8" style="445" bestFit="1" customWidth="1"/>
    <col min="4111" max="4353" width="11.42578125" style="445"/>
    <col min="4354" max="4354" width="39.28515625" style="445" bestFit="1" customWidth="1"/>
    <col min="4355" max="4355" width="11.42578125" style="445" bestFit="1" customWidth="1"/>
    <col min="4356" max="4356" width="6.28515625" style="445" bestFit="1" customWidth="1"/>
    <col min="4357" max="4357" width="11.5703125" style="445" bestFit="1" customWidth="1"/>
    <col min="4358" max="4358" width="6.5703125" style="445" bestFit="1" customWidth="1"/>
    <col min="4359" max="4359" width="11.42578125" style="445" bestFit="1" customWidth="1"/>
    <col min="4360" max="4360" width="6.85546875" style="445" customWidth="1"/>
    <col min="4361" max="4361" width="11.42578125" style="445" bestFit="1" customWidth="1"/>
    <col min="4362" max="4362" width="6.28515625" style="445" customWidth="1"/>
    <col min="4363" max="4363" width="11.42578125" style="445" bestFit="1" customWidth="1"/>
    <col min="4364" max="4364" width="6.28515625" style="445" customWidth="1"/>
    <col min="4365" max="4365" width="8.28515625" style="445" bestFit="1" customWidth="1"/>
    <col min="4366" max="4366" width="8" style="445" bestFit="1" customWidth="1"/>
    <col min="4367" max="4609" width="11.42578125" style="445"/>
    <col min="4610" max="4610" width="39.28515625" style="445" bestFit="1" customWidth="1"/>
    <col min="4611" max="4611" width="11.42578125" style="445" bestFit="1" customWidth="1"/>
    <col min="4612" max="4612" width="6.28515625" style="445" bestFit="1" customWidth="1"/>
    <col min="4613" max="4613" width="11.5703125" style="445" bestFit="1" customWidth="1"/>
    <col min="4614" max="4614" width="6.5703125" style="445" bestFit="1" customWidth="1"/>
    <col min="4615" max="4615" width="11.42578125" style="445" bestFit="1" customWidth="1"/>
    <col min="4616" max="4616" width="6.85546875" style="445" customWidth="1"/>
    <col min="4617" max="4617" width="11.42578125" style="445" bestFit="1" customWidth="1"/>
    <col min="4618" max="4618" width="6.28515625" style="445" customWidth="1"/>
    <col min="4619" max="4619" width="11.42578125" style="445" bestFit="1" customWidth="1"/>
    <col min="4620" max="4620" width="6.28515625" style="445" customWidth="1"/>
    <col min="4621" max="4621" width="8.28515625" style="445" bestFit="1" customWidth="1"/>
    <col min="4622" max="4622" width="8" style="445" bestFit="1" customWidth="1"/>
    <col min="4623" max="4865" width="11.42578125" style="445"/>
    <col min="4866" max="4866" width="39.28515625" style="445" bestFit="1" customWidth="1"/>
    <col min="4867" max="4867" width="11.42578125" style="445" bestFit="1" customWidth="1"/>
    <col min="4868" max="4868" width="6.28515625" style="445" bestFit="1" customWidth="1"/>
    <col min="4869" max="4869" width="11.5703125" style="445" bestFit="1" customWidth="1"/>
    <col min="4870" max="4870" width="6.5703125" style="445" bestFit="1" customWidth="1"/>
    <col min="4871" max="4871" width="11.42578125" style="445" bestFit="1" customWidth="1"/>
    <col min="4872" max="4872" width="6.85546875" style="445" customWidth="1"/>
    <col min="4873" max="4873" width="11.42578125" style="445" bestFit="1" customWidth="1"/>
    <col min="4874" max="4874" width="6.28515625" style="445" customWidth="1"/>
    <col min="4875" max="4875" width="11.42578125" style="445" bestFit="1" customWidth="1"/>
    <col min="4876" max="4876" width="6.28515625" style="445" customWidth="1"/>
    <col min="4877" max="4877" width="8.28515625" style="445" bestFit="1" customWidth="1"/>
    <col min="4878" max="4878" width="8" style="445" bestFit="1" customWidth="1"/>
    <col min="4879" max="5121" width="11.42578125" style="445"/>
    <col min="5122" max="5122" width="39.28515625" style="445" bestFit="1" customWidth="1"/>
    <col min="5123" max="5123" width="11.42578125" style="445" bestFit="1" customWidth="1"/>
    <col min="5124" max="5124" width="6.28515625" style="445" bestFit="1" customWidth="1"/>
    <col min="5125" max="5125" width="11.5703125" style="445" bestFit="1" customWidth="1"/>
    <col min="5126" max="5126" width="6.5703125" style="445" bestFit="1" customWidth="1"/>
    <col min="5127" max="5127" width="11.42578125" style="445" bestFit="1" customWidth="1"/>
    <col min="5128" max="5128" width="6.85546875" style="445" customWidth="1"/>
    <col min="5129" max="5129" width="11.42578125" style="445" bestFit="1" customWidth="1"/>
    <col min="5130" max="5130" width="6.28515625" style="445" customWidth="1"/>
    <col min="5131" max="5131" width="11.42578125" style="445" bestFit="1" customWidth="1"/>
    <col min="5132" max="5132" width="6.28515625" style="445" customWidth="1"/>
    <col min="5133" max="5133" width="8.28515625" style="445" bestFit="1" customWidth="1"/>
    <col min="5134" max="5134" width="8" style="445" bestFit="1" customWidth="1"/>
    <col min="5135" max="5377" width="11.42578125" style="445"/>
    <col min="5378" max="5378" width="39.28515625" style="445" bestFit="1" customWidth="1"/>
    <col min="5379" max="5379" width="11.42578125" style="445" bestFit="1" customWidth="1"/>
    <col min="5380" max="5380" width="6.28515625" style="445" bestFit="1" customWidth="1"/>
    <col min="5381" max="5381" width="11.5703125" style="445" bestFit="1" customWidth="1"/>
    <col min="5382" max="5382" width="6.5703125" style="445" bestFit="1" customWidth="1"/>
    <col min="5383" max="5383" width="11.42578125" style="445" bestFit="1" customWidth="1"/>
    <col min="5384" max="5384" width="6.85546875" style="445" customWidth="1"/>
    <col min="5385" max="5385" width="11.42578125" style="445" bestFit="1" customWidth="1"/>
    <col min="5386" max="5386" width="6.28515625" style="445" customWidth="1"/>
    <col min="5387" max="5387" width="11.42578125" style="445" bestFit="1" customWidth="1"/>
    <col min="5388" max="5388" width="6.28515625" style="445" customWidth="1"/>
    <col min="5389" max="5389" width="8.28515625" style="445" bestFit="1" customWidth="1"/>
    <col min="5390" max="5390" width="8" style="445" bestFit="1" customWidth="1"/>
    <col min="5391" max="5633" width="11.42578125" style="445"/>
    <col min="5634" max="5634" width="39.28515625" style="445" bestFit="1" customWidth="1"/>
    <col min="5635" max="5635" width="11.42578125" style="445" bestFit="1" customWidth="1"/>
    <col min="5636" max="5636" width="6.28515625" style="445" bestFit="1" customWidth="1"/>
    <col min="5637" max="5637" width="11.5703125" style="445" bestFit="1" customWidth="1"/>
    <col min="5638" max="5638" width="6.5703125" style="445" bestFit="1" customWidth="1"/>
    <col min="5639" max="5639" width="11.42578125" style="445" bestFit="1" customWidth="1"/>
    <col min="5640" max="5640" width="6.85546875" style="445" customWidth="1"/>
    <col min="5641" max="5641" width="11.42578125" style="445" bestFit="1" customWidth="1"/>
    <col min="5642" max="5642" width="6.28515625" style="445" customWidth="1"/>
    <col min="5643" max="5643" width="11.42578125" style="445" bestFit="1" customWidth="1"/>
    <col min="5644" max="5644" width="6.28515625" style="445" customWidth="1"/>
    <col min="5645" max="5645" width="8.28515625" style="445" bestFit="1" customWidth="1"/>
    <col min="5646" max="5646" width="8" style="445" bestFit="1" customWidth="1"/>
    <col min="5647" max="5889" width="11.42578125" style="445"/>
    <col min="5890" max="5890" width="39.28515625" style="445" bestFit="1" customWidth="1"/>
    <col min="5891" max="5891" width="11.42578125" style="445" bestFit="1" customWidth="1"/>
    <col min="5892" max="5892" width="6.28515625" style="445" bestFit="1" customWidth="1"/>
    <col min="5893" max="5893" width="11.5703125" style="445" bestFit="1" customWidth="1"/>
    <col min="5894" max="5894" width="6.5703125" style="445" bestFit="1" customWidth="1"/>
    <col min="5895" max="5895" width="11.42578125" style="445" bestFit="1" customWidth="1"/>
    <col min="5896" max="5896" width="6.85546875" style="445" customWidth="1"/>
    <col min="5897" max="5897" width="11.42578125" style="445" bestFit="1" customWidth="1"/>
    <col min="5898" max="5898" width="6.28515625" style="445" customWidth="1"/>
    <col min="5899" max="5899" width="11.42578125" style="445" bestFit="1" customWidth="1"/>
    <col min="5900" max="5900" width="6.28515625" style="445" customWidth="1"/>
    <col min="5901" max="5901" width="8.28515625" style="445" bestFit="1" customWidth="1"/>
    <col min="5902" max="5902" width="8" style="445" bestFit="1" customWidth="1"/>
    <col min="5903" max="6145" width="11.42578125" style="445"/>
    <col min="6146" max="6146" width="39.28515625" style="445" bestFit="1" customWidth="1"/>
    <col min="6147" max="6147" width="11.42578125" style="445" bestFit="1" customWidth="1"/>
    <col min="6148" max="6148" width="6.28515625" style="445" bestFit="1" customWidth="1"/>
    <col min="6149" max="6149" width="11.5703125" style="445" bestFit="1" customWidth="1"/>
    <col min="6150" max="6150" width="6.5703125" style="445" bestFit="1" customWidth="1"/>
    <col min="6151" max="6151" width="11.42578125" style="445" bestFit="1" customWidth="1"/>
    <col min="6152" max="6152" width="6.85546875" style="445" customWidth="1"/>
    <col min="6153" max="6153" width="11.42578125" style="445" bestFit="1" customWidth="1"/>
    <col min="6154" max="6154" width="6.28515625" style="445" customWidth="1"/>
    <col min="6155" max="6155" width="11.42578125" style="445" bestFit="1" customWidth="1"/>
    <col min="6156" max="6156" width="6.28515625" style="445" customWidth="1"/>
    <col min="6157" max="6157" width="8.28515625" style="445" bestFit="1" customWidth="1"/>
    <col min="6158" max="6158" width="8" style="445" bestFit="1" customWidth="1"/>
    <col min="6159" max="6401" width="11.42578125" style="445"/>
    <col min="6402" max="6402" width="39.28515625" style="445" bestFit="1" customWidth="1"/>
    <col min="6403" max="6403" width="11.42578125" style="445" bestFit="1" customWidth="1"/>
    <col min="6404" max="6404" width="6.28515625" style="445" bestFit="1" customWidth="1"/>
    <col min="6405" max="6405" width="11.5703125" style="445" bestFit="1" customWidth="1"/>
    <col min="6406" max="6406" width="6.5703125" style="445" bestFit="1" customWidth="1"/>
    <col min="6407" max="6407" width="11.42578125" style="445" bestFit="1" customWidth="1"/>
    <col min="6408" max="6408" width="6.85546875" style="445" customWidth="1"/>
    <col min="6409" max="6409" width="11.42578125" style="445" bestFit="1" customWidth="1"/>
    <col min="6410" max="6410" width="6.28515625" style="445" customWidth="1"/>
    <col min="6411" max="6411" width="11.42578125" style="445" bestFit="1" customWidth="1"/>
    <col min="6412" max="6412" width="6.28515625" style="445" customWidth="1"/>
    <col min="6413" max="6413" width="8.28515625" style="445" bestFit="1" customWidth="1"/>
    <col min="6414" max="6414" width="8" style="445" bestFit="1" customWidth="1"/>
    <col min="6415" max="6657" width="11.42578125" style="445"/>
    <col min="6658" max="6658" width="39.28515625" style="445" bestFit="1" customWidth="1"/>
    <col min="6659" max="6659" width="11.42578125" style="445" bestFit="1" customWidth="1"/>
    <col min="6660" max="6660" width="6.28515625" style="445" bestFit="1" customWidth="1"/>
    <col min="6661" max="6661" width="11.5703125" style="445" bestFit="1" customWidth="1"/>
    <col min="6662" max="6662" width="6.5703125" style="445" bestFit="1" customWidth="1"/>
    <col min="6663" max="6663" width="11.42578125" style="445" bestFit="1" customWidth="1"/>
    <col min="6664" max="6664" width="6.85546875" style="445" customWidth="1"/>
    <col min="6665" max="6665" width="11.42578125" style="445" bestFit="1" customWidth="1"/>
    <col min="6666" max="6666" width="6.28515625" style="445" customWidth="1"/>
    <col min="6667" max="6667" width="11.42578125" style="445" bestFit="1" customWidth="1"/>
    <col min="6668" max="6668" width="6.28515625" style="445" customWidth="1"/>
    <col min="6669" max="6669" width="8.28515625" style="445" bestFit="1" customWidth="1"/>
    <col min="6670" max="6670" width="8" style="445" bestFit="1" customWidth="1"/>
    <col min="6671" max="6913" width="11.42578125" style="445"/>
    <col min="6914" max="6914" width="39.28515625" style="445" bestFit="1" customWidth="1"/>
    <col min="6915" max="6915" width="11.42578125" style="445" bestFit="1" customWidth="1"/>
    <col min="6916" max="6916" width="6.28515625" style="445" bestFit="1" customWidth="1"/>
    <col min="6917" max="6917" width="11.5703125" style="445" bestFit="1" customWidth="1"/>
    <col min="6918" max="6918" width="6.5703125" style="445" bestFit="1" customWidth="1"/>
    <col min="6919" max="6919" width="11.42578125" style="445" bestFit="1" customWidth="1"/>
    <col min="6920" max="6920" width="6.85546875" style="445" customWidth="1"/>
    <col min="6921" max="6921" width="11.42578125" style="445" bestFit="1" customWidth="1"/>
    <col min="6922" max="6922" width="6.28515625" style="445" customWidth="1"/>
    <col min="6923" max="6923" width="11.42578125" style="445" bestFit="1" customWidth="1"/>
    <col min="6924" max="6924" width="6.28515625" style="445" customWidth="1"/>
    <col min="6925" max="6925" width="8.28515625" style="445" bestFit="1" customWidth="1"/>
    <col min="6926" max="6926" width="8" style="445" bestFit="1" customWidth="1"/>
    <col min="6927" max="7169" width="11.42578125" style="445"/>
    <col min="7170" max="7170" width="39.28515625" style="445" bestFit="1" customWidth="1"/>
    <col min="7171" max="7171" width="11.42578125" style="445" bestFit="1" customWidth="1"/>
    <col min="7172" max="7172" width="6.28515625" style="445" bestFit="1" customWidth="1"/>
    <col min="7173" max="7173" width="11.5703125" style="445" bestFit="1" customWidth="1"/>
    <col min="7174" max="7174" width="6.5703125" style="445" bestFit="1" customWidth="1"/>
    <col min="7175" max="7175" width="11.42578125" style="445" bestFit="1" customWidth="1"/>
    <col min="7176" max="7176" width="6.85546875" style="445" customWidth="1"/>
    <col min="7177" max="7177" width="11.42578125" style="445" bestFit="1" customWidth="1"/>
    <col min="7178" max="7178" width="6.28515625" style="445" customWidth="1"/>
    <col min="7179" max="7179" width="11.42578125" style="445" bestFit="1" customWidth="1"/>
    <col min="7180" max="7180" width="6.28515625" style="445" customWidth="1"/>
    <col min="7181" max="7181" width="8.28515625" style="445" bestFit="1" customWidth="1"/>
    <col min="7182" max="7182" width="8" style="445" bestFit="1" customWidth="1"/>
    <col min="7183" max="7425" width="11.42578125" style="445"/>
    <col min="7426" max="7426" width="39.28515625" style="445" bestFit="1" customWidth="1"/>
    <col min="7427" max="7427" width="11.42578125" style="445" bestFit="1" customWidth="1"/>
    <col min="7428" max="7428" width="6.28515625" style="445" bestFit="1" customWidth="1"/>
    <col min="7429" max="7429" width="11.5703125" style="445" bestFit="1" customWidth="1"/>
    <col min="7430" max="7430" width="6.5703125" style="445" bestFit="1" customWidth="1"/>
    <col min="7431" max="7431" width="11.42578125" style="445" bestFit="1" customWidth="1"/>
    <col min="7432" max="7432" width="6.85546875" style="445" customWidth="1"/>
    <col min="7433" max="7433" width="11.42578125" style="445" bestFit="1" customWidth="1"/>
    <col min="7434" max="7434" width="6.28515625" style="445" customWidth="1"/>
    <col min="7435" max="7435" width="11.42578125" style="445" bestFit="1" customWidth="1"/>
    <col min="7436" max="7436" width="6.28515625" style="445" customWidth="1"/>
    <col min="7437" max="7437" width="8.28515625" style="445" bestFit="1" customWidth="1"/>
    <col min="7438" max="7438" width="8" style="445" bestFit="1" customWidth="1"/>
    <col min="7439" max="7681" width="11.42578125" style="445"/>
    <col min="7682" max="7682" width="39.28515625" style="445" bestFit="1" customWidth="1"/>
    <col min="7683" max="7683" width="11.42578125" style="445" bestFit="1" customWidth="1"/>
    <col min="7684" max="7684" width="6.28515625" style="445" bestFit="1" customWidth="1"/>
    <col min="7685" max="7685" width="11.5703125" style="445" bestFit="1" customWidth="1"/>
    <col min="7686" max="7686" width="6.5703125" style="445" bestFit="1" customWidth="1"/>
    <col min="7687" max="7687" width="11.42578125" style="445" bestFit="1" customWidth="1"/>
    <col min="7688" max="7688" width="6.85546875" style="445" customWidth="1"/>
    <col min="7689" max="7689" width="11.42578125" style="445" bestFit="1" customWidth="1"/>
    <col min="7690" max="7690" width="6.28515625" style="445" customWidth="1"/>
    <col min="7691" max="7691" width="11.42578125" style="445" bestFit="1" customWidth="1"/>
    <col min="7692" max="7692" width="6.28515625" style="445" customWidth="1"/>
    <col min="7693" max="7693" width="8.28515625" style="445" bestFit="1" customWidth="1"/>
    <col min="7694" max="7694" width="8" style="445" bestFit="1" customWidth="1"/>
    <col min="7695" max="7937" width="11.42578125" style="445"/>
    <col min="7938" max="7938" width="39.28515625" style="445" bestFit="1" customWidth="1"/>
    <col min="7939" max="7939" width="11.42578125" style="445" bestFit="1" customWidth="1"/>
    <col min="7940" max="7940" width="6.28515625" style="445" bestFit="1" customWidth="1"/>
    <col min="7941" max="7941" width="11.5703125" style="445" bestFit="1" customWidth="1"/>
    <col min="7942" max="7942" width="6.5703125" style="445" bestFit="1" customWidth="1"/>
    <col min="7943" max="7943" width="11.42578125" style="445" bestFit="1" customWidth="1"/>
    <col min="7944" max="7944" width="6.85546875" style="445" customWidth="1"/>
    <col min="7945" max="7945" width="11.42578125" style="445" bestFit="1" customWidth="1"/>
    <col min="7946" max="7946" width="6.28515625" style="445" customWidth="1"/>
    <col min="7947" max="7947" width="11.42578125" style="445" bestFit="1" customWidth="1"/>
    <col min="7948" max="7948" width="6.28515625" style="445" customWidth="1"/>
    <col min="7949" max="7949" width="8.28515625" style="445" bestFit="1" customWidth="1"/>
    <col min="7950" max="7950" width="8" style="445" bestFit="1" customWidth="1"/>
    <col min="7951" max="8193" width="11.42578125" style="445"/>
    <col min="8194" max="8194" width="39.28515625" style="445" bestFit="1" customWidth="1"/>
    <col min="8195" max="8195" width="11.42578125" style="445" bestFit="1" customWidth="1"/>
    <col min="8196" max="8196" width="6.28515625" style="445" bestFit="1" customWidth="1"/>
    <col min="8197" max="8197" width="11.5703125" style="445" bestFit="1" customWidth="1"/>
    <col min="8198" max="8198" width="6.5703125" style="445" bestFit="1" customWidth="1"/>
    <col min="8199" max="8199" width="11.42578125" style="445" bestFit="1" customWidth="1"/>
    <col min="8200" max="8200" width="6.85546875" style="445" customWidth="1"/>
    <col min="8201" max="8201" width="11.42578125" style="445" bestFit="1" customWidth="1"/>
    <col min="8202" max="8202" width="6.28515625" style="445" customWidth="1"/>
    <col min="8203" max="8203" width="11.42578125" style="445" bestFit="1" customWidth="1"/>
    <col min="8204" max="8204" width="6.28515625" style="445" customWidth="1"/>
    <col min="8205" max="8205" width="8.28515625" style="445" bestFit="1" customWidth="1"/>
    <col min="8206" max="8206" width="8" style="445" bestFit="1" customWidth="1"/>
    <col min="8207" max="8449" width="11.42578125" style="445"/>
    <col min="8450" max="8450" width="39.28515625" style="445" bestFit="1" customWidth="1"/>
    <col min="8451" max="8451" width="11.42578125" style="445" bestFit="1" customWidth="1"/>
    <col min="8452" max="8452" width="6.28515625" style="445" bestFit="1" customWidth="1"/>
    <col min="8453" max="8453" width="11.5703125" style="445" bestFit="1" customWidth="1"/>
    <col min="8454" max="8454" width="6.5703125" style="445" bestFit="1" customWidth="1"/>
    <col min="8455" max="8455" width="11.42578125" style="445" bestFit="1" customWidth="1"/>
    <col min="8456" max="8456" width="6.85546875" style="445" customWidth="1"/>
    <col min="8457" max="8457" width="11.42578125" style="445" bestFit="1" customWidth="1"/>
    <col min="8458" max="8458" width="6.28515625" style="445" customWidth="1"/>
    <col min="8459" max="8459" width="11.42578125" style="445" bestFit="1" customWidth="1"/>
    <col min="8460" max="8460" width="6.28515625" style="445" customWidth="1"/>
    <col min="8461" max="8461" width="8.28515625" style="445" bestFit="1" customWidth="1"/>
    <col min="8462" max="8462" width="8" style="445" bestFit="1" customWidth="1"/>
    <col min="8463" max="8705" width="11.42578125" style="445"/>
    <col min="8706" max="8706" width="39.28515625" style="445" bestFit="1" customWidth="1"/>
    <col min="8707" max="8707" width="11.42578125" style="445" bestFit="1" customWidth="1"/>
    <col min="8708" max="8708" width="6.28515625" style="445" bestFit="1" customWidth="1"/>
    <col min="8709" max="8709" width="11.5703125" style="445" bestFit="1" customWidth="1"/>
    <col min="8710" max="8710" width="6.5703125" style="445" bestFit="1" customWidth="1"/>
    <col min="8711" max="8711" width="11.42578125" style="445" bestFit="1" customWidth="1"/>
    <col min="8712" max="8712" width="6.85546875" style="445" customWidth="1"/>
    <col min="8713" max="8713" width="11.42578125" style="445" bestFit="1" customWidth="1"/>
    <col min="8714" max="8714" width="6.28515625" style="445" customWidth="1"/>
    <col min="8715" max="8715" width="11.42578125" style="445" bestFit="1" customWidth="1"/>
    <col min="8716" max="8716" width="6.28515625" style="445" customWidth="1"/>
    <col min="8717" max="8717" width="8.28515625" style="445" bestFit="1" customWidth="1"/>
    <col min="8718" max="8718" width="8" style="445" bestFit="1" customWidth="1"/>
    <col min="8719" max="8961" width="11.42578125" style="445"/>
    <col min="8962" max="8962" width="39.28515625" style="445" bestFit="1" customWidth="1"/>
    <col min="8963" max="8963" width="11.42578125" style="445" bestFit="1" customWidth="1"/>
    <col min="8964" max="8964" width="6.28515625" style="445" bestFit="1" customWidth="1"/>
    <col min="8965" max="8965" width="11.5703125" style="445" bestFit="1" customWidth="1"/>
    <col min="8966" max="8966" width="6.5703125" style="445" bestFit="1" customWidth="1"/>
    <col min="8967" max="8967" width="11.42578125" style="445" bestFit="1" customWidth="1"/>
    <col min="8968" max="8968" width="6.85546875" style="445" customWidth="1"/>
    <col min="8969" max="8969" width="11.42578125" style="445" bestFit="1" customWidth="1"/>
    <col min="8970" max="8970" width="6.28515625" style="445" customWidth="1"/>
    <col min="8971" max="8971" width="11.42578125" style="445" bestFit="1" customWidth="1"/>
    <col min="8972" max="8972" width="6.28515625" style="445" customWidth="1"/>
    <col min="8973" max="8973" width="8.28515625" style="445" bestFit="1" customWidth="1"/>
    <col min="8974" max="8974" width="8" style="445" bestFit="1" customWidth="1"/>
    <col min="8975" max="9217" width="11.42578125" style="445"/>
    <col min="9218" max="9218" width="39.28515625" style="445" bestFit="1" customWidth="1"/>
    <col min="9219" max="9219" width="11.42578125" style="445" bestFit="1" customWidth="1"/>
    <col min="9220" max="9220" width="6.28515625" style="445" bestFit="1" customWidth="1"/>
    <col min="9221" max="9221" width="11.5703125" style="445" bestFit="1" customWidth="1"/>
    <col min="9222" max="9222" width="6.5703125" style="445" bestFit="1" customWidth="1"/>
    <col min="9223" max="9223" width="11.42578125" style="445" bestFit="1" customWidth="1"/>
    <col min="9224" max="9224" width="6.85546875" style="445" customWidth="1"/>
    <col min="9225" max="9225" width="11.42578125" style="445" bestFit="1" customWidth="1"/>
    <col min="9226" max="9226" width="6.28515625" style="445" customWidth="1"/>
    <col min="9227" max="9227" width="11.42578125" style="445" bestFit="1" customWidth="1"/>
    <col min="9228" max="9228" width="6.28515625" style="445" customWidth="1"/>
    <col min="9229" max="9229" width="8.28515625" style="445" bestFit="1" customWidth="1"/>
    <col min="9230" max="9230" width="8" style="445" bestFit="1" customWidth="1"/>
    <col min="9231" max="9473" width="11.42578125" style="445"/>
    <col min="9474" max="9474" width="39.28515625" style="445" bestFit="1" customWidth="1"/>
    <col min="9475" max="9475" width="11.42578125" style="445" bestFit="1" customWidth="1"/>
    <col min="9476" max="9476" width="6.28515625" style="445" bestFit="1" customWidth="1"/>
    <col min="9477" max="9477" width="11.5703125" style="445" bestFit="1" customWidth="1"/>
    <col min="9478" max="9478" width="6.5703125" style="445" bestFit="1" customWidth="1"/>
    <col min="9479" max="9479" width="11.42578125" style="445" bestFit="1" customWidth="1"/>
    <col min="9480" max="9480" width="6.85546875" style="445" customWidth="1"/>
    <col min="9481" max="9481" width="11.42578125" style="445" bestFit="1" customWidth="1"/>
    <col min="9482" max="9482" width="6.28515625" style="445" customWidth="1"/>
    <col min="9483" max="9483" width="11.42578125" style="445" bestFit="1" customWidth="1"/>
    <col min="9484" max="9484" width="6.28515625" style="445" customWidth="1"/>
    <col min="9485" max="9485" width="8.28515625" style="445" bestFit="1" customWidth="1"/>
    <col min="9486" max="9486" width="8" style="445" bestFit="1" customWidth="1"/>
    <col min="9487" max="9729" width="11.42578125" style="445"/>
    <col min="9730" max="9730" width="39.28515625" style="445" bestFit="1" customWidth="1"/>
    <col min="9731" max="9731" width="11.42578125" style="445" bestFit="1" customWidth="1"/>
    <col min="9732" max="9732" width="6.28515625" style="445" bestFit="1" customWidth="1"/>
    <col min="9733" max="9733" width="11.5703125" style="445" bestFit="1" customWidth="1"/>
    <col min="9734" max="9734" width="6.5703125" style="445" bestFit="1" customWidth="1"/>
    <col min="9735" max="9735" width="11.42578125" style="445" bestFit="1" customWidth="1"/>
    <col min="9736" max="9736" width="6.85546875" style="445" customWidth="1"/>
    <col min="9737" max="9737" width="11.42578125" style="445" bestFit="1" customWidth="1"/>
    <col min="9738" max="9738" width="6.28515625" style="445" customWidth="1"/>
    <col min="9739" max="9739" width="11.42578125" style="445" bestFit="1" customWidth="1"/>
    <col min="9740" max="9740" width="6.28515625" style="445" customWidth="1"/>
    <col min="9741" max="9741" width="8.28515625" style="445" bestFit="1" customWidth="1"/>
    <col min="9742" max="9742" width="8" style="445" bestFit="1" customWidth="1"/>
    <col min="9743" max="9985" width="11.42578125" style="445"/>
    <col min="9986" max="9986" width="39.28515625" style="445" bestFit="1" customWidth="1"/>
    <col min="9987" max="9987" width="11.42578125" style="445" bestFit="1" customWidth="1"/>
    <col min="9988" max="9988" width="6.28515625" style="445" bestFit="1" customWidth="1"/>
    <col min="9989" max="9989" width="11.5703125" style="445" bestFit="1" customWidth="1"/>
    <col min="9990" max="9990" width="6.5703125" style="445" bestFit="1" customWidth="1"/>
    <col min="9991" max="9991" width="11.42578125" style="445" bestFit="1" customWidth="1"/>
    <col min="9992" max="9992" width="6.85546875" style="445" customWidth="1"/>
    <col min="9993" max="9993" width="11.42578125" style="445" bestFit="1" customWidth="1"/>
    <col min="9994" max="9994" width="6.28515625" style="445" customWidth="1"/>
    <col min="9995" max="9995" width="11.42578125" style="445" bestFit="1" customWidth="1"/>
    <col min="9996" max="9996" width="6.28515625" style="445" customWidth="1"/>
    <col min="9997" max="9997" width="8.28515625" style="445" bestFit="1" customWidth="1"/>
    <col min="9998" max="9998" width="8" style="445" bestFit="1" customWidth="1"/>
    <col min="9999" max="10241" width="11.42578125" style="445"/>
    <col min="10242" max="10242" width="39.28515625" style="445" bestFit="1" customWidth="1"/>
    <col min="10243" max="10243" width="11.42578125" style="445" bestFit="1" customWidth="1"/>
    <col min="10244" max="10244" width="6.28515625" style="445" bestFit="1" customWidth="1"/>
    <col min="10245" max="10245" width="11.5703125" style="445" bestFit="1" customWidth="1"/>
    <col min="10246" max="10246" width="6.5703125" style="445" bestFit="1" customWidth="1"/>
    <col min="10247" max="10247" width="11.42578125" style="445" bestFit="1" customWidth="1"/>
    <col min="10248" max="10248" width="6.85546875" style="445" customWidth="1"/>
    <col min="10249" max="10249" width="11.42578125" style="445" bestFit="1" customWidth="1"/>
    <col min="10250" max="10250" width="6.28515625" style="445" customWidth="1"/>
    <col min="10251" max="10251" width="11.42578125" style="445" bestFit="1" customWidth="1"/>
    <col min="10252" max="10252" width="6.28515625" style="445" customWidth="1"/>
    <col min="10253" max="10253" width="8.28515625" style="445" bestFit="1" customWidth="1"/>
    <col min="10254" max="10254" width="8" style="445" bestFit="1" customWidth="1"/>
    <col min="10255" max="10497" width="11.42578125" style="445"/>
    <col min="10498" max="10498" width="39.28515625" style="445" bestFit="1" customWidth="1"/>
    <col min="10499" max="10499" width="11.42578125" style="445" bestFit="1" customWidth="1"/>
    <col min="10500" max="10500" width="6.28515625" style="445" bestFit="1" customWidth="1"/>
    <col min="10501" max="10501" width="11.5703125" style="445" bestFit="1" customWidth="1"/>
    <col min="10502" max="10502" width="6.5703125" style="445" bestFit="1" customWidth="1"/>
    <col min="10503" max="10503" width="11.42578125" style="445" bestFit="1" customWidth="1"/>
    <col min="10504" max="10504" width="6.85546875" style="445" customWidth="1"/>
    <col min="10505" max="10505" width="11.42578125" style="445" bestFit="1" customWidth="1"/>
    <col min="10506" max="10506" width="6.28515625" style="445" customWidth="1"/>
    <col min="10507" max="10507" width="11.42578125" style="445" bestFit="1" customWidth="1"/>
    <col min="10508" max="10508" width="6.28515625" style="445" customWidth="1"/>
    <col min="10509" max="10509" width="8.28515625" style="445" bestFit="1" customWidth="1"/>
    <col min="10510" max="10510" width="8" style="445" bestFit="1" customWidth="1"/>
    <col min="10511" max="10753" width="11.42578125" style="445"/>
    <col min="10754" max="10754" width="39.28515625" style="445" bestFit="1" customWidth="1"/>
    <col min="10755" max="10755" width="11.42578125" style="445" bestFit="1" customWidth="1"/>
    <col min="10756" max="10756" width="6.28515625" style="445" bestFit="1" customWidth="1"/>
    <col min="10757" max="10757" width="11.5703125" style="445" bestFit="1" customWidth="1"/>
    <col min="10758" max="10758" width="6.5703125" style="445" bestFit="1" customWidth="1"/>
    <col min="10759" max="10759" width="11.42578125" style="445" bestFit="1" customWidth="1"/>
    <col min="10760" max="10760" width="6.85546875" style="445" customWidth="1"/>
    <col min="10761" max="10761" width="11.42578125" style="445" bestFit="1" customWidth="1"/>
    <col min="10762" max="10762" width="6.28515625" style="445" customWidth="1"/>
    <col min="10763" max="10763" width="11.42578125" style="445" bestFit="1" customWidth="1"/>
    <col min="10764" max="10764" width="6.28515625" style="445" customWidth="1"/>
    <col min="10765" max="10765" width="8.28515625" style="445" bestFit="1" customWidth="1"/>
    <col min="10766" max="10766" width="8" style="445" bestFit="1" customWidth="1"/>
    <col min="10767" max="11009" width="11.42578125" style="445"/>
    <col min="11010" max="11010" width="39.28515625" style="445" bestFit="1" customWidth="1"/>
    <col min="11011" max="11011" width="11.42578125" style="445" bestFit="1" customWidth="1"/>
    <col min="11012" max="11012" width="6.28515625" style="445" bestFit="1" customWidth="1"/>
    <col min="11013" max="11013" width="11.5703125" style="445" bestFit="1" customWidth="1"/>
    <col min="11014" max="11014" width="6.5703125" style="445" bestFit="1" customWidth="1"/>
    <col min="11015" max="11015" width="11.42578125" style="445" bestFit="1" customWidth="1"/>
    <col min="11016" max="11016" width="6.85546875" style="445" customWidth="1"/>
    <col min="11017" max="11017" width="11.42578125" style="445" bestFit="1" customWidth="1"/>
    <col min="11018" max="11018" width="6.28515625" style="445" customWidth="1"/>
    <col min="11019" max="11019" width="11.42578125" style="445" bestFit="1" customWidth="1"/>
    <col min="11020" max="11020" width="6.28515625" style="445" customWidth="1"/>
    <col min="11021" max="11021" width="8.28515625" style="445" bestFit="1" customWidth="1"/>
    <col min="11022" max="11022" width="8" style="445" bestFit="1" customWidth="1"/>
    <col min="11023" max="11265" width="11.42578125" style="445"/>
    <col min="11266" max="11266" width="39.28515625" style="445" bestFit="1" customWidth="1"/>
    <col min="11267" max="11267" width="11.42578125" style="445" bestFit="1" customWidth="1"/>
    <col min="11268" max="11268" width="6.28515625" style="445" bestFit="1" customWidth="1"/>
    <col min="11269" max="11269" width="11.5703125" style="445" bestFit="1" customWidth="1"/>
    <col min="11270" max="11270" width="6.5703125" style="445" bestFit="1" customWidth="1"/>
    <col min="11271" max="11271" width="11.42578125" style="445" bestFit="1" customWidth="1"/>
    <col min="11272" max="11272" width="6.85546875" style="445" customWidth="1"/>
    <col min="11273" max="11273" width="11.42578125" style="445" bestFit="1" customWidth="1"/>
    <col min="11274" max="11274" width="6.28515625" style="445" customWidth="1"/>
    <col min="11275" max="11275" width="11.42578125" style="445" bestFit="1" customWidth="1"/>
    <col min="11276" max="11276" width="6.28515625" style="445" customWidth="1"/>
    <col min="11277" max="11277" width="8.28515625" style="445" bestFit="1" customWidth="1"/>
    <col min="11278" max="11278" width="8" style="445" bestFit="1" customWidth="1"/>
    <col min="11279" max="11521" width="11.42578125" style="445"/>
    <col min="11522" max="11522" width="39.28515625" style="445" bestFit="1" customWidth="1"/>
    <col min="11523" max="11523" width="11.42578125" style="445" bestFit="1" customWidth="1"/>
    <col min="11524" max="11524" width="6.28515625" style="445" bestFit="1" customWidth="1"/>
    <col min="11525" max="11525" width="11.5703125" style="445" bestFit="1" customWidth="1"/>
    <col min="11526" max="11526" width="6.5703125" style="445" bestFit="1" customWidth="1"/>
    <col min="11527" max="11527" width="11.42578125" style="445" bestFit="1" customWidth="1"/>
    <col min="11528" max="11528" width="6.85546875" style="445" customWidth="1"/>
    <col min="11529" max="11529" width="11.42578125" style="445" bestFit="1" customWidth="1"/>
    <col min="11530" max="11530" width="6.28515625" style="445" customWidth="1"/>
    <col min="11531" max="11531" width="11.42578125" style="445" bestFit="1" customWidth="1"/>
    <col min="11532" max="11532" width="6.28515625" style="445" customWidth="1"/>
    <col min="11533" max="11533" width="8.28515625" style="445" bestFit="1" customWidth="1"/>
    <col min="11534" max="11534" width="8" style="445" bestFit="1" customWidth="1"/>
    <col min="11535" max="11777" width="11.42578125" style="445"/>
    <col min="11778" max="11778" width="39.28515625" style="445" bestFit="1" customWidth="1"/>
    <col min="11779" max="11779" width="11.42578125" style="445" bestFit="1" customWidth="1"/>
    <col min="11780" max="11780" width="6.28515625" style="445" bestFit="1" customWidth="1"/>
    <col min="11781" max="11781" width="11.5703125" style="445" bestFit="1" customWidth="1"/>
    <col min="11782" max="11782" width="6.5703125" style="445" bestFit="1" customWidth="1"/>
    <col min="11783" max="11783" width="11.42578125" style="445" bestFit="1" customWidth="1"/>
    <col min="11784" max="11784" width="6.85546875" style="445" customWidth="1"/>
    <col min="11785" max="11785" width="11.42578125" style="445" bestFit="1" customWidth="1"/>
    <col min="11786" max="11786" width="6.28515625" style="445" customWidth="1"/>
    <col min="11787" max="11787" width="11.42578125" style="445" bestFit="1" customWidth="1"/>
    <col min="11788" max="11788" width="6.28515625" style="445" customWidth="1"/>
    <col min="11789" max="11789" width="8.28515625" style="445" bestFit="1" customWidth="1"/>
    <col min="11790" max="11790" width="8" style="445" bestFit="1" customWidth="1"/>
    <col min="11791" max="12033" width="11.42578125" style="445"/>
    <col min="12034" max="12034" width="39.28515625" style="445" bestFit="1" customWidth="1"/>
    <col min="12035" max="12035" width="11.42578125" style="445" bestFit="1" customWidth="1"/>
    <col min="12036" max="12036" width="6.28515625" style="445" bestFit="1" customWidth="1"/>
    <col min="12037" max="12037" width="11.5703125" style="445" bestFit="1" customWidth="1"/>
    <col min="12038" max="12038" width="6.5703125" style="445" bestFit="1" customWidth="1"/>
    <col min="12039" max="12039" width="11.42578125" style="445" bestFit="1" customWidth="1"/>
    <col min="12040" max="12040" width="6.85546875" style="445" customWidth="1"/>
    <col min="12041" max="12041" width="11.42578125" style="445" bestFit="1" customWidth="1"/>
    <col min="12042" max="12042" width="6.28515625" style="445" customWidth="1"/>
    <col min="12043" max="12043" width="11.42578125" style="445" bestFit="1" customWidth="1"/>
    <col min="12044" max="12044" width="6.28515625" style="445" customWidth="1"/>
    <col min="12045" max="12045" width="8.28515625" style="445" bestFit="1" customWidth="1"/>
    <col min="12046" max="12046" width="8" style="445" bestFit="1" customWidth="1"/>
    <col min="12047" max="12289" width="11.42578125" style="445"/>
    <col min="12290" max="12290" width="39.28515625" style="445" bestFit="1" customWidth="1"/>
    <col min="12291" max="12291" width="11.42578125" style="445" bestFit="1" customWidth="1"/>
    <col min="12292" max="12292" width="6.28515625" style="445" bestFit="1" customWidth="1"/>
    <col min="12293" max="12293" width="11.5703125" style="445" bestFit="1" customWidth="1"/>
    <col min="12294" max="12294" width="6.5703125" style="445" bestFit="1" customWidth="1"/>
    <col min="12295" max="12295" width="11.42578125" style="445" bestFit="1" customWidth="1"/>
    <col min="12296" max="12296" width="6.85546875" style="445" customWidth="1"/>
    <col min="12297" max="12297" width="11.42578125" style="445" bestFit="1" customWidth="1"/>
    <col min="12298" max="12298" width="6.28515625" style="445" customWidth="1"/>
    <col min="12299" max="12299" width="11.42578125" style="445" bestFit="1" customWidth="1"/>
    <col min="12300" max="12300" width="6.28515625" style="445" customWidth="1"/>
    <col min="12301" max="12301" width="8.28515625" style="445" bestFit="1" customWidth="1"/>
    <col min="12302" max="12302" width="8" style="445" bestFit="1" customWidth="1"/>
    <col min="12303" max="12545" width="11.42578125" style="445"/>
    <col min="12546" max="12546" width="39.28515625" style="445" bestFit="1" customWidth="1"/>
    <col min="12547" max="12547" width="11.42578125" style="445" bestFit="1" customWidth="1"/>
    <col min="12548" max="12548" width="6.28515625" style="445" bestFit="1" customWidth="1"/>
    <col min="12549" max="12549" width="11.5703125" style="445" bestFit="1" customWidth="1"/>
    <col min="12550" max="12550" width="6.5703125" style="445" bestFit="1" customWidth="1"/>
    <col min="12551" max="12551" width="11.42578125" style="445" bestFit="1" customWidth="1"/>
    <col min="12552" max="12552" width="6.85546875" style="445" customWidth="1"/>
    <col min="12553" max="12553" width="11.42578125" style="445" bestFit="1" customWidth="1"/>
    <col min="12554" max="12554" width="6.28515625" style="445" customWidth="1"/>
    <col min="12555" max="12555" width="11.42578125" style="445" bestFit="1" customWidth="1"/>
    <col min="12556" max="12556" width="6.28515625" style="445" customWidth="1"/>
    <col min="12557" max="12557" width="8.28515625" style="445" bestFit="1" customWidth="1"/>
    <col min="12558" max="12558" width="8" style="445" bestFit="1" customWidth="1"/>
    <col min="12559" max="12801" width="11.42578125" style="445"/>
    <col min="12802" max="12802" width="39.28515625" style="445" bestFit="1" customWidth="1"/>
    <col min="12803" max="12803" width="11.42578125" style="445" bestFit="1" customWidth="1"/>
    <col min="12804" max="12804" width="6.28515625" style="445" bestFit="1" customWidth="1"/>
    <col min="12805" max="12805" width="11.5703125" style="445" bestFit="1" customWidth="1"/>
    <col min="12806" max="12806" width="6.5703125" style="445" bestFit="1" customWidth="1"/>
    <col min="12807" max="12807" width="11.42578125" style="445" bestFit="1" customWidth="1"/>
    <col min="12808" max="12808" width="6.85546875" style="445" customWidth="1"/>
    <col min="12809" max="12809" width="11.42578125" style="445" bestFit="1" customWidth="1"/>
    <col min="12810" max="12810" width="6.28515625" style="445" customWidth="1"/>
    <col min="12811" max="12811" width="11.42578125" style="445" bestFit="1" customWidth="1"/>
    <col min="12812" max="12812" width="6.28515625" style="445" customWidth="1"/>
    <col min="12813" max="12813" width="8.28515625" style="445" bestFit="1" customWidth="1"/>
    <col min="12814" max="12814" width="8" style="445" bestFit="1" customWidth="1"/>
    <col min="12815" max="13057" width="11.42578125" style="445"/>
    <col min="13058" max="13058" width="39.28515625" style="445" bestFit="1" customWidth="1"/>
    <col min="13059" max="13059" width="11.42578125" style="445" bestFit="1" customWidth="1"/>
    <col min="13060" max="13060" width="6.28515625" style="445" bestFit="1" customWidth="1"/>
    <col min="13061" max="13061" width="11.5703125" style="445" bestFit="1" customWidth="1"/>
    <col min="13062" max="13062" width="6.5703125" style="445" bestFit="1" customWidth="1"/>
    <col min="13063" max="13063" width="11.42578125" style="445" bestFit="1" customWidth="1"/>
    <col min="13064" max="13064" width="6.85546875" style="445" customWidth="1"/>
    <col min="13065" max="13065" width="11.42578125" style="445" bestFit="1" customWidth="1"/>
    <col min="13066" max="13066" width="6.28515625" style="445" customWidth="1"/>
    <col min="13067" max="13067" width="11.42578125" style="445" bestFit="1" customWidth="1"/>
    <col min="13068" max="13068" width="6.28515625" style="445" customWidth="1"/>
    <col min="13069" max="13069" width="8.28515625" style="445" bestFit="1" customWidth="1"/>
    <col min="13070" max="13070" width="8" style="445" bestFit="1" customWidth="1"/>
    <col min="13071" max="13313" width="11.42578125" style="445"/>
    <col min="13314" max="13314" width="39.28515625" style="445" bestFit="1" customWidth="1"/>
    <col min="13315" max="13315" width="11.42578125" style="445" bestFit="1" customWidth="1"/>
    <col min="13316" max="13316" width="6.28515625" style="445" bestFit="1" customWidth="1"/>
    <col min="13317" max="13317" width="11.5703125" style="445" bestFit="1" customWidth="1"/>
    <col min="13318" max="13318" width="6.5703125" style="445" bestFit="1" customWidth="1"/>
    <col min="13319" max="13319" width="11.42578125" style="445" bestFit="1" customWidth="1"/>
    <col min="13320" max="13320" width="6.85546875" style="445" customWidth="1"/>
    <col min="13321" max="13321" width="11.42578125" style="445" bestFit="1" customWidth="1"/>
    <col min="13322" max="13322" width="6.28515625" style="445" customWidth="1"/>
    <col min="13323" max="13323" width="11.42578125" style="445" bestFit="1" customWidth="1"/>
    <col min="13324" max="13324" width="6.28515625" style="445" customWidth="1"/>
    <col min="13325" max="13325" width="8.28515625" style="445" bestFit="1" customWidth="1"/>
    <col min="13326" max="13326" width="8" style="445" bestFit="1" customWidth="1"/>
    <col min="13327" max="13569" width="11.42578125" style="445"/>
    <col min="13570" max="13570" width="39.28515625" style="445" bestFit="1" customWidth="1"/>
    <col min="13571" max="13571" width="11.42578125" style="445" bestFit="1" customWidth="1"/>
    <col min="13572" max="13572" width="6.28515625" style="445" bestFit="1" customWidth="1"/>
    <col min="13573" max="13573" width="11.5703125" style="445" bestFit="1" customWidth="1"/>
    <col min="13574" max="13574" width="6.5703125" style="445" bestFit="1" customWidth="1"/>
    <col min="13575" max="13575" width="11.42578125" style="445" bestFit="1" customWidth="1"/>
    <col min="13576" max="13576" width="6.85546875" style="445" customWidth="1"/>
    <col min="13577" max="13577" width="11.42578125" style="445" bestFit="1" customWidth="1"/>
    <col min="13578" max="13578" width="6.28515625" style="445" customWidth="1"/>
    <col min="13579" max="13579" width="11.42578125" style="445" bestFit="1" customWidth="1"/>
    <col min="13580" max="13580" width="6.28515625" style="445" customWidth="1"/>
    <col min="13581" max="13581" width="8.28515625" style="445" bestFit="1" customWidth="1"/>
    <col min="13582" max="13582" width="8" style="445" bestFit="1" customWidth="1"/>
    <col min="13583" max="13825" width="11.42578125" style="445"/>
    <col min="13826" max="13826" width="39.28515625" style="445" bestFit="1" customWidth="1"/>
    <col min="13827" max="13827" width="11.42578125" style="445" bestFit="1" customWidth="1"/>
    <col min="13828" max="13828" width="6.28515625" style="445" bestFit="1" customWidth="1"/>
    <col min="13829" max="13829" width="11.5703125" style="445" bestFit="1" customWidth="1"/>
    <col min="13830" max="13830" width="6.5703125" style="445" bestFit="1" customWidth="1"/>
    <col min="13831" max="13831" width="11.42578125" style="445" bestFit="1" customWidth="1"/>
    <col min="13832" max="13832" width="6.85546875" style="445" customWidth="1"/>
    <col min="13833" max="13833" width="11.42578125" style="445" bestFit="1" customWidth="1"/>
    <col min="13834" max="13834" width="6.28515625" style="445" customWidth="1"/>
    <col min="13835" max="13835" width="11.42578125" style="445" bestFit="1" customWidth="1"/>
    <col min="13836" max="13836" width="6.28515625" style="445" customWidth="1"/>
    <col min="13837" max="13837" width="8.28515625" style="445" bestFit="1" customWidth="1"/>
    <col min="13838" max="13838" width="8" style="445" bestFit="1" customWidth="1"/>
    <col min="13839" max="14081" width="11.42578125" style="445"/>
    <col min="14082" max="14082" width="39.28515625" style="445" bestFit="1" customWidth="1"/>
    <col min="14083" max="14083" width="11.42578125" style="445" bestFit="1" customWidth="1"/>
    <col min="14084" max="14084" width="6.28515625" style="445" bestFit="1" customWidth="1"/>
    <col min="14085" max="14085" width="11.5703125" style="445" bestFit="1" customWidth="1"/>
    <col min="14086" max="14086" width="6.5703125" style="445" bestFit="1" customWidth="1"/>
    <col min="14087" max="14087" width="11.42578125" style="445" bestFit="1" customWidth="1"/>
    <col min="14088" max="14088" width="6.85546875" style="445" customWidth="1"/>
    <col min="14089" max="14089" width="11.42578125" style="445" bestFit="1" customWidth="1"/>
    <col min="14090" max="14090" width="6.28515625" style="445" customWidth="1"/>
    <col min="14091" max="14091" width="11.42578125" style="445" bestFit="1" customWidth="1"/>
    <col min="14092" max="14092" width="6.28515625" style="445" customWidth="1"/>
    <col min="14093" max="14093" width="8.28515625" style="445" bestFit="1" customWidth="1"/>
    <col min="14094" max="14094" width="8" style="445" bestFit="1" customWidth="1"/>
    <col min="14095" max="14337" width="11.42578125" style="445"/>
    <col min="14338" max="14338" width="39.28515625" style="445" bestFit="1" customWidth="1"/>
    <col min="14339" max="14339" width="11.42578125" style="445" bestFit="1" customWidth="1"/>
    <col min="14340" max="14340" width="6.28515625" style="445" bestFit="1" customWidth="1"/>
    <col min="14341" max="14341" width="11.5703125" style="445" bestFit="1" customWidth="1"/>
    <col min="14342" max="14342" width="6.5703125" style="445" bestFit="1" customWidth="1"/>
    <col min="14343" max="14343" width="11.42578125" style="445" bestFit="1" customWidth="1"/>
    <col min="14344" max="14344" width="6.85546875" style="445" customWidth="1"/>
    <col min="14345" max="14345" width="11.42578125" style="445" bestFit="1" customWidth="1"/>
    <col min="14346" max="14346" width="6.28515625" style="445" customWidth="1"/>
    <col min="14347" max="14347" width="11.42578125" style="445" bestFit="1" customWidth="1"/>
    <col min="14348" max="14348" width="6.28515625" style="445" customWidth="1"/>
    <col min="14349" max="14349" width="8.28515625" style="445" bestFit="1" customWidth="1"/>
    <col min="14350" max="14350" width="8" style="445" bestFit="1" customWidth="1"/>
    <col min="14351" max="14593" width="11.42578125" style="445"/>
    <col min="14594" max="14594" width="39.28515625" style="445" bestFit="1" customWidth="1"/>
    <col min="14595" max="14595" width="11.42578125" style="445" bestFit="1" customWidth="1"/>
    <col min="14596" max="14596" width="6.28515625" style="445" bestFit="1" customWidth="1"/>
    <col min="14597" max="14597" width="11.5703125" style="445" bestFit="1" customWidth="1"/>
    <col min="14598" max="14598" width="6.5703125" style="445" bestFit="1" customWidth="1"/>
    <col min="14599" max="14599" width="11.42578125" style="445" bestFit="1" customWidth="1"/>
    <col min="14600" max="14600" width="6.85546875" style="445" customWidth="1"/>
    <col min="14601" max="14601" width="11.42578125" style="445" bestFit="1" customWidth="1"/>
    <col min="14602" max="14602" width="6.28515625" style="445" customWidth="1"/>
    <col min="14603" max="14603" width="11.42578125" style="445" bestFit="1" customWidth="1"/>
    <col min="14604" max="14604" width="6.28515625" style="445" customWidth="1"/>
    <col min="14605" max="14605" width="8.28515625" style="445" bestFit="1" customWidth="1"/>
    <col min="14606" max="14606" width="8" style="445" bestFit="1" customWidth="1"/>
    <col min="14607" max="14849" width="11.42578125" style="445"/>
    <col min="14850" max="14850" width="39.28515625" style="445" bestFit="1" customWidth="1"/>
    <col min="14851" max="14851" width="11.42578125" style="445" bestFit="1" customWidth="1"/>
    <col min="14852" max="14852" width="6.28515625" style="445" bestFit="1" customWidth="1"/>
    <col min="14853" max="14853" width="11.5703125" style="445" bestFit="1" customWidth="1"/>
    <col min="14854" max="14854" width="6.5703125" style="445" bestFit="1" customWidth="1"/>
    <col min="14855" max="14855" width="11.42578125" style="445" bestFit="1" customWidth="1"/>
    <col min="14856" max="14856" width="6.85546875" style="445" customWidth="1"/>
    <col min="14857" max="14857" width="11.42578125" style="445" bestFit="1" customWidth="1"/>
    <col min="14858" max="14858" width="6.28515625" style="445" customWidth="1"/>
    <col min="14859" max="14859" width="11.42578125" style="445" bestFit="1" customWidth="1"/>
    <col min="14860" max="14860" width="6.28515625" style="445" customWidth="1"/>
    <col min="14861" max="14861" width="8.28515625" style="445" bestFit="1" customWidth="1"/>
    <col min="14862" max="14862" width="8" style="445" bestFit="1" customWidth="1"/>
    <col min="14863" max="15105" width="11.42578125" style="445"/>
    <col min="15106" max="15106" width="39.28515625" style="445" bestFit="1" customWidth="1"/>
    <col min="15107" max="15107" width="11.42578125" style="445" bestFit="1" customWidth="1"/>
    <col min="15108" max="15108" width="6.28515625" style="445" bestFit="1" customWidth="1"/>
    <col min="15109" max="15109" width="11.5703125" style="445" bestFit="1" customWidth="1"/>
    <col min="15110" max="15110" width="6.5703125" style="445" bestFit="1" customWidth="1"/>
    <col min="15111" max="15111" width="11.42578125" style="445" bestFit="1" customWidth="1"/>
    <col min="15112" max="15112" width="6.85546875" style="445" customWidth="1"/>
    <col min="15113" max="15113" width="11.42578125" style="445" bestFit="1" customWidth="1"/>
    <col min="15114" max="15114" width="6.28515625" style="445" customWidth="1"/>
    <col min="15115" max="15115" width="11.42578125" style="445" bestFit="1" customWidth="1"/>
    <col min="15116" max="15116" width="6.28515625" style="445" customWidth="1"/>
    <col min="15117" max="15117" width="8.28515625" style="445" bestFit="1" customWidth="1"/>
    <col min="15118" max="15118" width="8" style="445" bestFit="1" customWidth="1"/>
    <col min="15119" max="15361" width="11.42578125" style="445"/>
    <col min="15362" max="15362" width="39.28515625" style="445" bestFit="1" customWidth="1"/>
    <col min="15363" max="15363" width="11.42578125" style="445" bestFit="1" customWidth="1"/>
    <col min="15364" max="15364" width="6.28515625" style="445" bestFit="1" customWidth="1"/>
    <col min="15365" max="15365" width="11.5703125" style="445" bestFit="1" customWidth="1"/>
    <col min="15366" max="15366" width="6.5703125" style="445" bestFit="1" customWidth="1"/>
    <col min="15367" max="15367" width="11.42578125" style="445" bestFit="1" customWidth="1"/>
    <col min="15368" max="15368" width="6.85546875" style="445" customWidth="1"/>
    <col min="15369" max="15369" width="11.42578125" style="445" bestFit="1" customWidth="1"/>
    <col min="15370" max="15370" width="6.28515625" style="445" customWidth="1"/>
    <col min="15371" max="15371" width="11.42578125" style="445" bestFit="1" customWidth="1"/>
    <col min="15372" max="15372" width="6.28515625" style="445" customWidth="1"/>
    <col min="15373" max="15373" width="8.28515625" style="445" bestFit="1" customWidth="1"/>
    <col min="15374" max="15374" width="8" style="445" bestFit="1" customWidth="1"/>
    <col min="15375" max="15617" width="11.42578125" style="445"/>
    <col min="15618" max="15618" width="39.28515625" style="445" bestFit="1" customWidth="1"/>
    <col min="15619" max="15619" width="11.42578125" style="445" bestFit="1" customWidth="1"/>
    <col min="15620" max="15620" width="6.28515625" style="445" bestFit="1" customWidth="1"/>
    <col min="15621" max="15621" width="11.5703125" style="445" bestFit="1" customWidth="1"/>
    <col min="15622" max="15622" width="6.5703125" style="445" bestFit="1" customWidth="1"/>
    <col min="15623" max="15623" width="11.42578125" style="445" bestFit="1" customWidth="1"/>
    <col min="15624" max="15624" width="6.85546875" style="445" customWidth="1"/>
    <col min="15625" max="15625" width="11.42578125" style="445" bestFit="1" customWidth="1"/>
    <col min="15626" max="15626" width="6.28515625" style="445" customWidth="1"/>
    <col min="15627" max="15627" width="11.42578125" style="445" bestFit="1" customWidth="1"/>
    <col min="15628" max="15628" width="6.28515625" style="445" customWidth="1"/>
    <col min="15629" max="15629" width="8.28515625" style="445" bestFit="1" customWidth="1"/>
    <col min="15630" max="15630" width="8" style="445" bestFit="1" customWidth="1"/>
    <col min="15631" max="15873" width="11.42578125" style="445"/>
    <col min="15874" max="15874" width="39.28515625" style="445" bestFit="1" customWidth="1"/>
    <col min="15875" max="15875" width="11.42578125" style="445" bestFit="1" customWidth="1"/>
    <col min="15876" max="15876" width="6.28515625" style="445" bestFit="1" customWidth="1"/>
    <col min="15877" max="15877" width="11.5703125" style="445" bestFit="1" customWidth="1"/>
    <col min="15878" max="15878" width="6.5703125" style="445" bestFit="1" customWidth="1"/>
    <col min="15879" max="15879" width="11.42578125" style="445" bestFit="1" customWidth="1"/>
    <col min="15880" max="15880" width="6.85546875" style="445" customWidth="1"/>
    <col min="15881" max="15881" width="11.42578125" style="445" bestFit="1" customWidth="1"/>
    <col min="15882" max="15882" width="6.28515625" style="445" customWidth="1"/>
    <col min="15883" max="15883" width="11.42578125" style="445" bestFit="1" customWidth="1"/>
    <col min="15884" max="15884" width="6.28515625" style="445" customWidth="1"/>
    <col min="15885" max="15885" width="8.28515625" style="445" bestFit="1" customWidth="1"/>
    <col min="15886" max="15886" width="8" style="445" bestFit="1" customWidth="1"/>
    <col min="15887" max="16129" width="11.42578125" style="445"/>
    <col min="16130" max="16130" width="39.28515625" style="445" bestFit="1" customWidth="1"/>
    <col min="16131" max="16131" width="11.42578125" style="445" bestFit="1" customWidth="1"/>
    <col min="16132" max="16132" width="6.28515625" style="445" bestFit="1" customWidth="1"/>
    <col min="16133" max="16133" width="11.5703125" style="445" bestFit="1" customWidth="1"/>
    <col min="16134" max="16134" width="6.5703125" style="445" bestFit="1" customWidth="1"/>
    <col min="16135" max="16135" width="11.42578125" style="445" bestFit="1" customWidth="1"/>
    <col min="16136" max="16136" width="6.85546875" style="445" customWidth="1"/>
    <col min="16137" max="16137" width="11.42578125" style="445" bestFit="1" customWidth="1"/>
    <col min="16138" max="16138" width="6.28515625" style="445" customWidth="1"/>
    <col min="16139" max="16139" width="11.42578125" style="445" bestFit="1" customWidth="1"/>
    <col min="16140" max="16140" width="6.28515625" style="445" customWidth="1"/>
    <col min="16141" max="16141" width="8.28515625" style="445" bestFit="1" customWidth="1"/>
    <col min="16142" max="16142" width="8" style="445" bestFit="1" customWidth="1"/>
    <col min="16143" max="16384" width="11.42578125" style="445"/>
  </cols>
  <sheetData>
    <row r="1" spans="1:59" x14ac:dyDescent="0.2">
      <c r="A1" s="781" t="s">
        <v>1595</v>
      </c>
      <c r="B1" s="781"/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</row>
    <row r="2" spans="1:59" x14ac:dyDescent="0.2">
      <c r="A2" s="782" t="s">
        <v>1596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</row>
    <row r="3" spans="1:59" x14ac:dyDescent="0.2">
      <c r="A3" s="779" t="s">
        <v>1545</v>
      </c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</row>
    <row r="4" spans="1:59" x14ac:dyDescent="0.2">
      <c r="A4" s="780" t="s">
        <v>1632</v>
      </c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</row>
    <row r="5" spans="1:59" x14ac:dyDescent="0.2">
      <c r="A5" s="782" t="s">
        <v>1597</v>
      </c>
      <c r="B5" s="782"/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  <c r="N5" s="782"/>
    </row>
    <row r="6" spans="1:59" x14ac:dyDescent="0.2">
      <c r="A6" s="782" t="s">
        <v>1547</v>
      </c>
      <c r="B6" s="782"/>
      <c r="C6" s="782"/>
      <c r="D6" s="782"/>
      <c r="E6" s="782"/>
      <c r="F6" s="782"/>
      <c r="G6" s="782"/>
      <c r="H6" s="782"/>
      <c r="I6" s="782"/>
      <c r="J6" s="782"/>
      <c r="K6" s="782"/>
      <c r="L6" s="782"/>
      <c r="M6" s="782"/>
      <c r="N6" s="782"/>
    </row>
    <row r="7" spans="1:59" s="475" customFormat="1" x14ac:dyDescent="0.2">
      <c r="A7" s="513"/>
      <c r="B7" s="446"/>
      <c r="C7" s="446"/>
      <c r="D7" s="505"/>
      <c r="E7" s="446"/>
      <c r="F7" s="505"/>
      <c r="G7" s="446"/>
      <c r="H7" s="446"/>
      <c r="I7" s="446"/>
      <c r="J7" s="446"/>
      <c r="K7" s="446"/>
      <c r="L7" s="505"/>
      <c r="M7" s="446"/>
      <c r="N7" s="446"/>
      <c r="O7" s="445"/>
      <c r="P7" s="445"/>
      <c r="Q7" s="514"/>
      <c r="R7" s="514"/>
      <c r="S7" s="514"/>
      <c r="T7" s="514"/>
      <c r="U7" s="514"/>
      <c r="V7" s="514"/>
      <c r="W7" s="514"/>
      <c r="X7" s="514"/>
      <c r="Y7" s="514"/>
      <c r="Z7" s="514"/>
      <c r="AA7" s="514"/>
      <c r="AB7" s="514"/>
      <c r="AC7" s="514"/>
      <c r="AD7" s="514"/>
      <c r="AE7" s="514"/>
      <c r="AF7" s="514"/>
      <c r="AG7" s="514"/>
      <c r="AH7" s="514"/>
      <c r="AI7" s="514"/>
      <c r="AJ7" s="514"/>
      <c r="AK7" s="514"/>
      <c r="AL7" s="514"/>
      <c r="AM7" s="514"/>
      <c r="AN7" s="514"/>
      <c r="AO7" s="514"/>
      <c r="AP7" s="514"/>
      <c r="AQ7" s="514"/>
      <c r="AR7" s="514"/>
      <c r="AS7" s="514"/>
      <c r="AT7" s="514"/>
      <c r="AU7" s="514"/>
      <c r="AV7" s="514"/>
      <c r="AW7" s="514"/>
      <c r="AX7" s="514"/>
      <c r="AY7" s="514"/>
      <c r="AZ7" s="514"/>
      <c r="BA7" s="514"/>
      <c r="BB7" s="514"/>
      <c r="BC7" s="514"/>
      <c r="BD7" s="514"/>
      <c r="BE7" s="514"/>
      <c r="BF7" s="514"/>
      <c r="BG7" s="514"/>
    </row>
    <row r="8" spans="1:59" x14ac:dyDescent="0.2">
      <c r="A8" s="475" t="s">
        <v>1598</v>
      </c>
      <c r="B8" s="515">
        <v>2022</v>
      </c>
      <c r="C8" s="491" t="s">
        <v>1549</v>
      </c>
      <c r="D8" s="516">
        <v>2023</v>
      </c>
      <c r="E8" s="491" t="s">
        <v>1550</v>
      </c>
      <c r="F8" s="516">
        <v>2024</v>
      </c>
      <c r="G8" s="491" t="s">
        <v>1551</v>
      </c>
      <c r="H8" s="516">
        <v>2025</v>
      </c>
      <c r="I8" s="491" t="s">
        <v>1552</v>
      </c>
      <c r="J8" s="516">
        <v>2026</v>
      </c>
      <c r="K8" s="491" t="s">
        <v>1553</v>
      </c>
      <c r="L8" s="546"/>
      <c r="M8" s="491" t="s">
        <v>1599</v>
      </c>
      <c r="N8" s="491" t="s">
        <v>1600</v>
      </c>
      <c r="O8" s="491" t="s">
        <v>1601</v>
      </c>
      <c r="P8" s="491" t="s">
        <v>1602</v>
      </c>
      <c r="Q8" s="474"/>
      <c r="R8" s="474"/>
      <c r="S8" s="474"/>
      <c r="T8" s="474"/>
      <c r="U8" s="474"/>
    </row>
    <row r="9" spans="1:59" x14ac:dyDescent="0.2">
      <c r="A9" s="445" t="s">
        <v>1603</v>
      </c>
      <c r="B9" s="517">
        <f>+'Estados de resultados'!$C$8</f>
        <v>2715435369.6096067</v>
      </c>
      <c r="C9" s="518">
        <f>+B9/$B$11</f>
        <v>0.85633824375026202</v>
      </c>
      <c r="D9" s="519">
        <f>+'Estados de resultados'!$D$8</f>
        <v>2907998218.2337193</v>
      </c>
      <c r="E9" s="518">
        <f>D9/$D$11</f>
        <v>0.85723419756562524</v>
      </c>
      <c r="F9" s="519">
        <f>+'Estados de resultados'!$E$8</f>
        <v>3092055765.2903166</v>
      </c>
      <c r="G9" s="518">
        <f>+F9/$F$11</f>
        <v>0.85740123957025549</v>
      </c>
      <c r="H9" s="519">
        <f>+'Estados de resultados'!$F$8</f>
        <v>3246930867.1467767</v>
      </c>
      <c r="I9" s="518">
        <f>+H9/$H$11</f>
        <v>0.85629506418333245</v>
      </c>
      <c r="J9" s="519">
        <f>+'Estados de resultados'!$G$8</f>
        <v>3461578717.4236364</v>
      </c>
      <c r="K9" s="518">
        <f>+J9/$J$11</f>
        <v>0.85673321629321175</v>
      </c>
      <c r="L9" s="547"/>
      <c r="M9" s="520">
        <f>((D9-B9)/B9)</f>
        <v>7.091417117830244E-2</v>
      </c>
      <c r="N9" s="520">
        <f>((F9-D9)/D9)</f>
        <v>6.329355565024776E-2</v>
      </c>
      <c r="O9" s="459">
        <f>IF(ISERROR((H9-F9)/F9),0,(H9-F9)/F9)</f>
        <v>5.0088068784205353E-2</v>
      </c>
      <c r="P9" s="459">
        <f>IF(ISERROR((J9-H9)/H9),0,(J9-H9)/H9)</f>
        <v>6.6107921313853055E-2</v>
      </c>
    </row>
    <row r="10" spans="1:59" s="500" customFormat="1" x14ac:dyDescent="0.2">
      <c r="A10" s="445" t="s">
        <v>1604</v>
      </c>
      <c r="B10" s="517">
        <f>+'Estados de resultados'!$C$9+'Estados de resultados'!$C$10</f>
        <v>455549214.37625343</v>
      </c>
      <c r="C10" s="518">
        <f t="shared" ref="C10:C38" si="0">+B10/$B$11</f>
        <v>0.14366175624973798</v>
      </c>
      <c r="D10" s="519">
        <f>+'Estados de resultados'!$D$9+'Estados de resultados'!$D$10</f>
        <v>484304872.90736699</v>
      </c>
      <c r="E10" s="518">
        <f>D10/$D$11</f>
        <v>0.1427658024343747</v>
      </c>
      <c r="F10" s="519">
        <f>+'Estados de resultados'!$E$9+'Estados de resultados'!$E$10</f>
        <v>514255518.84091353</v>
      </c>
      <c r="G10" s="518">
        <f t="shared" ref="G10:G38" si="1">+F10/$F$11</f>
        <v>0.14259876042974448</v>
      </c>
      <c r="H10" s="519">
        <f>+'Estados de resultados'!$F$9+'Estados de resultados'!$F$10</f>
        <v>544905618.84703994</v>
      </c>
      <c r="I10" s="518">
        <f>+H10/$H$11</f>
        <v>0.14370493581666763</v>
      </c>
      <c r="J10" s="519">
        <f>+'Estados de resultados'!$G$9+'Estados de resultados'!$G$10</f>
        <v>578860770.14600682</v>
      </c>
      <c r="K10" s="518">
        <f>+J10/$J$11</f>
        <v>0.14326678370678836</v>
      </c>
      <c r="L10" s="547"/>
      <c r="M10" s="520">
        <f>((D10-B10)/B10)</f>
        <v>6.3123055915015366E-2</v>
      </c>
      <c r="N10" s="520">
        <f>((F10-D10)/D10)</f>
        <v>6.1842545076508458E-2</v>
      </c>
      <c r="O10" s="520">
        <f>IF(ISERROR((H10-F10)/F10),0,(H10-F10)/F10)</f>
        <v>5.96009160489109E-2</v>
      </c>
      <c r="P10" s="520">
        <f>IF(ISERROR((J10-H10)/H10),0,(J10-H10)/H10)</f>
        <v>6.2313821191295901E-2</v>
      </c>
      <c r="Q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70"/>
      <c r="AQ10" s="470"/>
      <c r="AR10" s="470"/>
      <c r="AS10" s="470"/>
      <c r="AT10" s="470"/>
      <c r="AU10" s="470"/>
      <c r="AV10" s="470"/>
      <c r="AW10" s="470"/>
      <c r="AX10" s="470"/>
      <c r="AY10" s="470"/>
      <c r="AZ10" s="470"/>
      <c r="BA10" s="470"/>
      <c r="BB10" s="470"/>
      <c r="BC10" s="470"/>
      <c r="BD10" s="470"/>
      <c r="BE10" s="470"/>
      <c r="BF10" s="470"/>
      <c r="BG10" s="470"/>
    </row>
    <row r="11" spans="1:59" ht="12" thickBot="1" x14ac:dyDescent="0.25">
      <c r="A11" s="521" t="s">
        <v>1605</v>
      </c>
      <c r="B11" s="522">
        <f>SUM(B9:B10)</f>
        <v>3170984583.9858603</v>
      </c>
      <c r="C11" s="523">
        <f t="shared" si="0"/>
        <v>1</v>
      </c>
      <c r="D11" s="524">
        <f>SUM(D9:D10)</f>
        <v>3392303091.1410866</v>
      </c>
      <c r="E11" s="523">
        <f>D11/$D$11</f>
        <v>1</v>
      </c>
      <c r="F11" s="524">
        <f>+SUM(F9:F10)</f>
        <v>3606311284.1312304</v>
      </c>
      <c r="G11" s="523">
        <f t="shared" si="1"/>
        <v>1</v>
      </c>
      <c r="H11" s="524">
        <f>+SUM(H9:H10)</f>
        <v>3791836485.9938164</v>
      </c>
      <c r="I11" s="523">
        <f>+H11/$H$11</f>
        <v>1</v>
      </c>
      <c r="J11" s="524">
        <f>+SUM(J9:J10)</f>
        <v>4040439487.569643</v>
      </c>
      <c r="K11" s="523">
        <f>+J11/$J$11</f>
        <v>1</v>
      </c>
      <c r="L11" s="548"/>
      <c r="M11" s="525">
        <f>((D11-B11)/B11)</f>
        <v>6.9794885876434495E-2</v>
      </c>
      <c r="N11" s="525">
        <f>((F11-D11)/D11)</f>
        <v>6.30864009613471E-2</v>
      </c>
      <c r="O11" s="525">
        <f>IF(ISERROR((H11-F11)/F11),0,(H11-F11)/F11)</f>
        <v>5.1444589012309715E-2</v>
      </c>
      <c r="P11" s="525">
        <f>IF(ISERROR((J11-H11)/H11),0,(J11-H11)/H11)</f>
        <v>6.5562690399258966E-2</v>
      </c>
    </row>
    <row r="12" spans="1:59" ht="12" thickBot="1" x14ac:dyDescent="0.25">
      <c r="A12" s="521" t="s">
        <v>1606</v>
      </c>
      <c r="B12" s="526">
        <f>-'Estados de resultados'!$C$13</f>
        <v>-189887275.37334052</v>
      </c>
      <c r="C12" s="523">
        <f t="shared" si="0"/>
        <v>-5.9882749456528814E-2</v>
      </c>
      <c r="D12" s="527">
        <f>-'Estados de resultados'!$D$13</f>
        <v>-198516402.9516421</v>
      </c>
      <c r="E12" s="523">
        <f>D12/$D$11</f>
        <v>-5.8519653939549991E-2</v>
      </c>
      <c r="F12" s="527">
        <f>-'Estados de resultados'!$E$13</f>
        <v>-207255954.72521564</v>
      </c>
      <c r="G12" s="523">
        <f t="shared" si="1"/>
        <v>-5.7470345290823704E-2</v>
      </c>
      <c r="H12" s="527">
        <f>-'Estados de resultados'!$F$13</f>
        <v>-215822989.63389674</v>
      </c>
      <c r="I12" s="523">
        <f>+H12/$H$11</f>
        <v>-5.6917799707634519E-2</v>
      </c>
      <c r="J12" s="527">
        <f>-'Estados de resultados'!$G$13</f>
        <v>-225482764.35299304</v>
      </c>
      <c r="K12" s="523">
        <f>+J12/$J$11</f>
        <v>-5.5806494577307172E-2</v>
      </c>
      <c r="L12" s="548"/>
      <c r="M12" s="525">
        <f>((D12-B12)/B12)</f>
        <v>4.544342195302823E-2</v>
      </c>
      <c r="N12" s="525">
        <f>((F12-D12)/D12)</f>
        <v>4.4024330703304512E-2</v>
      </c>
      <c r="O12" s="525">
        <f>IF(ISERROR((H12-F12)/F12),0,(H12-F12)/F12)</f>
        <v>4.1335530841752906E-2</v>
      </c>
      <c r="P12" s="525">
        <f>IF(ISERROR((J12-H12)/H12),0,(J12-H12)/H12)</f>
        <v>4.4757857981127504E-2</v>
      </c>
    </row>
    <row r="13" spans="1:59" ht="12" thickBot="1" x14ac:dyDescent="0.25">
      <c r="A13" s="521" t="s">
        <v>1607</v>
      </c>
      <c r="B13" s="522">
        <f>+B11+B12</f>
        <v>2981097308.6125197</v>
      </c>
      <c r="C13" s="523">
        <f t="shared" si="0"/>
        <v>0.94011725054347117</v>
      </c>
      <c r="D13" s="524">
        <f>SUM(D11:D12)</f>
        <v>3193786688.1894445</v>
      </c>
      <c r="E13" s="523">
        <f>D13/$D$11</f>
        <v>0.94148034606045006</v>
      </c>
      <c r="F13" s="524">
        <f>+F11+F12</f>
        <v>3399055329.4060149</v>
      </c>
      <c r="G13" s="523">
        <f t="shared" si="1"/>
        <v>0.94252965470917638</v>
      </c>
      <c r="H13" s="524">
        <f>+H11+H12</f>
        <v>3576013496.3599195</v>
      </c>
      <c r="I13" s="523">
        <f>+H13/$H$11</f>
        <v>0.94308220029236545</v>
      </c>
      <c r="J13" s="524">
        <f>+J11+J12</f>
        <v>3814956723.21665</v>
      </c>
      <c r="K13" s="523">
        <f>+J13/$J$11</f>
        <v>0.94419350542269287</v>
      </c>
      <c r="L13" s="548"/>
      <c r="M13" s="525">
        <f>((D13-B13)/B13)</f>
        <v>7.1346003688794707E-2</v>
      </c>
      <c r="N13" s="525">
        <f>((F13-D13)/D13)</f>
        <v>6.4271243278597623E-2</v>
      </c>
      <c r="O13" s="525">
        <f>IF(ISERROR((H13-F13)/F13),0,(H13-F13)/F13)</f>
        <v>5.2060984539733304E-2</v>
      </c>
      <c r="P13" s="525">
        <f>IF(ISERROR((J13-H13)/H13),0,(J13-H13)/H13)</f>
        <v>6.6818323560566689E-2</v>
      </c>
    </row>
    <row r="14" spans="1:59" x14ac:dyDescent="0.2">
      <c r="A14" s="475" t="s">
        <v>1608</v>
      </c>
      <c r="B14" s="517"/>
      <c r="C14" s="518"/>
      <c r="D14" s="528"/>
      <c r="E14" s="518"/>
      <c r="F14" s="519"/>
      <c r="G14" s="518"/>
      <c r="H14" s="519"/>
      <c r="I14" s="518"/>
      <c r="J14" s="519"/>
      <c r="K14" s="518"/>
      <c r="L14" s="547"/>
      <c r="M14" s="520"/>
      <c r="N14" s="520"/>
      <c r="O14" s="520"/>
      <c r="P14" s="520"/>
    </row>
    <row r="15" spans="1:59" x14ac:dyDescent="0.2">
      <c r="A15" s="445" t="s">
        <v>1609</v>
      </c>
      <c r="B15" s="517">
        <v>0</v>
      </c>
      <c r="C15" s="518">
        <f t="shared" si="0"/>
        <v>0</v>
      </c>
      <c r="D15" s="519">
        <v>0</v>
      </c>
      <c r="E15" s="518">
        <f t="shared" ref="E15:E38" si="2">D15/$D$11</f>
        <v>0</v>
      </c>
      <c r="F15" s="519">
        <v>0</v>
      </c>
      <c r="G15" s="518">
        <f t="shared" si="1"/>
        <v>0</v>
      </c>
      <c r="H15" s="519">
        <v>0</v>
      </c>
      <c r="I15" s="518">
        <f>+H15/$H$11</f>
        <v>0</v>
      </c>
      <c r="J15" s="519">
        <v>0</v>
      </c>
      <c r="K15" s="518">
        <f>+J15/$J$11</f>
        <v>0</v>
      </c>
      <c r="L15" s="547"/>
      <c r="M15" s="520">
        <v>0</v>
      </c>
      <c r="N15" s="520">
        <v>0</v>
      </c>
      <c r="O15" s="520">
        <v>0</v>
      </c>
      <c r="P15" s="520">
        <f>IF(ISERROR((J15-H15)/H15),0,(J15-H15)/H15)</f>
        <v>0</v>
      </c>
    </row>
    <row r="16" spans="1:59" x14ac:dyDescent="0.2">
      <c r="A16" s="445" t="s">
        <v>1610</v>
      </c>
      <c r="B16" s="517">
        <f>-'Estados de resultados'!$C$17-'Estados de resultados'!$C$18</f>
        <v>-1330771615.3578956</v>
      </c>
      <c r="C16" s="518">
        <f t="shared" si="0"/>
        <v>-0.4196714238468936</v>
      </c>
      <c r="D16" s="519">
        <f>-'Estados de resultados'!$D$17-'Estados de resultados'!$D$18</f>
        <v>-1361111708.3568535</v>
      </c>
      <c r="E16" s="518">
        <f t="shared" si="2"/>
        <v>-0.40123528817674403</v>
      </c>
      <c r="F16" s="519">
        <f>-'Estados de resultados'!$E$17-'Estados de resultados'!$E$18</f>
        <v>-1413415064.9827707</v>
      </c>
      <c r="G16" s="518">
        <f t="shared" si="1"/>
        <v>-0.39192819299936443</v>
      </c>
      <c r="H16" s="519">
        <f>-'Estados de resultados'!$F$17</f>
        <v>-1447758252.5170987</v>
      </c>
      <c r="I16" s="518">
        <f>+H16/$H$11</f>
        <v>-0.38180925202465593</v>
      </c>
      <c r="J16" s="519">
        <f>-'Estados de resultados'!$G$17</f>
        <v>-1504220824.3652656</v>
      </c>
      <c r="K16" s="518">
        <f>+J16/$J$11</f>
        <v>-0.37229138785346999</v>
      </c>
      <c r="L16" s="547"/>
      <c r="M16" s="520">
        <f>((D16-B16)/B16)</f>
        <v>2.2798872961231786E-2</v>
      </c>
      <c r="N16" s="520">
        <f>((F16-D16)/D16)</f>
        <v>3.842693902696516E-2</v>
      </c>
      <c r="O16" s="520">
        <f>IF(ISERROR((H16-F16)/F16),0,(H16-F16)/F16)</f>
        <v>2.4298020012080899E-2</v>
      </c>
      <c r="P16" s="520">
        <f>IF(ISERROR((J16-H16)/H16),0,(J16-H16)/H16)</f>
        <v>3.9000000000000062E-2</v>
      </c>
    </row>
    <row r="17" spans="1:59" x14ac:dyDescent="0.2">
      <c r="A17" s="445" t="s">
        <v>1611</v>
      </c>
      <c r="B17" s="517">
        <f>-'Estados de resultados'!$C$22</f>
        <v>-127369602.41999999</v>
      </c>
      <c r="C17" s="518">
        <f t="shared" si="0"/>
        <v>-4.0167209598950211E-2</v>
      </c>
      <c r="D17" s="519">
        <f>-'Estados de resultados'!$D$22</f>
        <v>-127369602.41999999</v>
      </c>
      <c r="E17" s="518">
        <f t="shared" si="2"/>
        <v>-3.7546645744191455E-2</v>
      </c>
      <c r="F17" s="519">
        <f>-'Estados de resultados'!$E$22</f>
        <v>-127369602.41999999</v>
      </c>
      <c r="G17" s="518">
        <f t="shared" si="1"/>
        <v>-3.5318526989187415E-2</v>
      </c>
      <c r="H17" s="519">
        <f>-'Estados de resultados'!$F$22</f>
        <v>-127369602.41999999</v>
      </c>
      <c r="I17" s="518">
        <f>+H17/$H$11</f>
        <v>-3.3590478621763994E-2</v>
      </c>
      <c r="J17" s="519">
        <f>-'Estados de resultados'!$G$22</f>
        <v>-127369602.41999999</v>
      </c>
      <c r="K17" s="518">
        <f>+J17/$J$11</f>
        <v>-3.1523700036060642E-2</v>
      </c>
      <c r="L17" s="547"/>
      <c r="M17" s="520">
        <f>((D17-B17)/B17)</f>
        <v>0</v>
      </c>
      <c r="N17" s="520">
        <f>((F17-D17)/D17)</f>
        <v>0</v>
      </c>
      <c r="O17" s="520">
        <f>IF(ISERROR((H17-F17)/F17),0,(H17-F17)/F17)</f>
        <v>0</v>
      </c>
      <c r="P17" s="520">
        <f>IF(ISERROR((J17-H17)/H17),0,(J17-H17)/H17)</f>
        <v>0</v>
      </c>
    </row>
    <row r="18" spans="1:59" ht="12" thickBot="1" x14ac:dyDescent="0.25">
      <c r="A18" s="521" t="s">
        <v>1612</v>
      </c>
      <c r="B18" s="526">
        <f>SUM(B15:B17)</f>
        <v>-1458141217.7778957</v>
      </c>
      <c r="C18" s="523">
        <f t="shared" si="0"/>
        <v>-0.45983863344584386</v>
      </c>
      <c r="D18" s="526">
        <f>SUM(D15:D17)</f>
        <v>-1488481310.7768536</v>
      </c>
      <c r="E18" s="523">
        <f t="shared" si="2"/>
        <v>-0.43878193392093551</v>
      </c>
      <c r="F18" s="526">
        <f>SUM(F15:F17)</f>
        <v>-1540784667.4027708</v>
      </c>
      <c r="G18" s="523">
        <f t="shared" si="1"/>
        <v>-0.4272467199885519</v>
      </c>
      <c r="H18" s="527">
        <f>+SUM(H15:H17)</f>
        <v>-1575127854.9370987</v>
      </c>
      <c r="I18" s="523">
        <f>+H18/$H$11</f>
        <v>-0.41539973064641994</v>
      </c>
      <c r="J18" s="527">
        <f>+SUM(J15:J17)</f>
        <v>-1631590426.7852657</v>
      </c>
      <c r="K18" s="523">
        <f>+J18/$J$11</f>
        <v>-0.40381508788953069</v>
      </c>
      <c r="L18" s="548"/>
      <c r="M18" s="525">
        <f>((D18-B18)/B18)</f>
        <v>2.0807376287732975E-2</v>
      </c>
      <c r="N18" s="525">
        <f>((F18-D18)/D18)</f>
        <v>3.5138739228522488E-2</v>
      </c>
      <c r="O18" s="525">
        <f>IF(ISERROR((H18-F18)/F18),0,(H18-F18)/F18)</f>
        <v>2.228941412833417E-2</v>
      </c>
      <c r="P18" s="525">
        <f>IF(ISERROR((J18-H18)/H18),0,(J18-H18)/H18)</f>
        <v>3.5846342042133286E-2</v>
      </c>
    </row>
    <row r="19" spans="1:59" ht="12" thickBot="1" x14ac:dyDescent="0.25">
      <c r="A19" s="521" t="s">
        <v>1613</v>
      </c>
      <c r="B19" s="522">
        <f>+B13+B18</f>
        <v>1522956090.8346241</v>
      </c>
      <c r="C19" s="523">
        <f>+B19/$B$11</f>
        <v>0.48027861709762731</v>
      </c>
      <c r="D19" s="522">
        <f>+D13+D18</f>
        <v>1705305377.412591</v>
      </c>
      <c r="E19" s="523">
        <f t="shared" si="2"/>
        <v>0.50269841213951449</v>
      </c>
      <c r="F19" s="524">
        <f>+F18+F13</f>
        <v>1858270662.0032442</v>
      </c>
      <c r="G19" s="523">
        <f t="shared" si="1"/>
        <v>0.51528293472062447</v>
      </c>
      <c r="H19" s="524">
        <f>+H18+H13</f>
        <v>2000885641.4228208</v>
      </c>
      <c r="I19" s="523">
        <f>+H19/$H$11</f>
        <v>0.52768246964594556</v>
      </c>
      <c r="J19" s="524">
        <f>+J18+J13</f>
        <v>2183366296.4313841</v>
      </c>
      <c r="K19" s="523">
        <f>+J19/$J$11</f>
        <v>0.54037841753316207</v>
      </c>
      <c r="L19" s="548"/>
      <c r="M19" s="525">
        <f>((D19-B19)/B19)</f>
        <v>0.1197337780618706</v>
      </c>
      <c r="N19" s="525">
        <f>((F19-D19)/D19)</f>
        <v>8.9699643604445115E-2</v>
      </c>
      <c r="O19" s="525">
        <f>IF(ISERROR((H19-F19)/F19),0,(H19-F19)/F19)</f>
        <v>7.6746074904844877E-2</v>
      </c>
      <c r="P19" s="525">
        <f>IF(ISERROR((J19-H19)/H19),0,(J19-H19)/H19)</f>
        <v>9.1199942280960192E-2</v>
      </c>
    </row>
    <row r="20" spans="1:59" s="500" customFormat="1" x14ac:dyDescent="0.2">
      <c r="A20" s="475" t="s">
        <v>1614</v>
      </c>
      <c r="B20" s="517"/>
      <c r="C20" s="518"/>
      <c r="D20" s="529"/>
      <c r="E20" s="518"/>
      <c r="F20" s="519"/>
      <c r="G20" s="518"/>
      <c r="H20" s="519"/>
      <c r="I20" s="518"/>
      <c r="J20" s="519"/>
      <c r="K20" s="518"/>
      <c r="L20" s="547"/>
      <c r="M20" s="520"/>
      <c r="N20" s="520"/>
      <c r="O20" s="520"/>
      <c r="P20" s="520"/>
      <c r="Q20" s="470"/>
      <c r="R20" s="470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0"/>
      <c r="AV20" s="470"/>
      <c r="AW20" s="470"/>
      <c r="AX20" s="470"/>
      <c r="AY20" s="470"/>
      <c r="AZ20" s="470"/>
      <c r="BA20" s="470"/>
      <c r="BB20" s="470"/>
      <c r="BC20" s="470"/>
      <c r="BD20" s="470"/>
      <c r="BE20" s="470"/>
      <c r="BF20" s="470"/>
      <c r="BG20" s="470"/>
    </row>
    <row r="21" spans="1:59" x14ac:dyDescent="0.2">
      <c r="A21" s="445" t="s">
        <v>1615</v>
      </c>
      <c r="B21" s="517">
        <v>0</v>
      </c>
      <c r="C21" s="518">
        <f t="shared" si="0"/>
        <v>0</v>
      </c>
      <c r="D21" s="519">
        <v>0</v>
      </c>
      <c r="E21" s="518">
        <f t="shared" si="2"/>
        <v>0</v>
      </c>
      <c r="F21" s="519">
        <v>0</v>
      </c>
      <c r="G21" s="518">
        <f t="shared" si="1"/>
        <v>0</v>
      </c>
      <c r="H21" s="519">
        <v>0</v>
      </c>
      <c r="I21" s="518">
        <f>+H21/$H$11</f>
        <v>0</v>
      </c>
      <c r="J21" s="519">
        <v>0</v>
      </c>
      <c r="K21" s="518">
        <f>+J21/$J$11</f>
        <v>0</v>
      </c>
      <c r="L21" s="547"/>
      <c r="M21" s="520">
        <v>0</v>
      </c>
      <c r="N21" s="520">
        <f t="shared" ref="N21:O21" si="3">IF(ISERROR((H21-F21)/F21),0,(H21-F21)/F21)</f>
        <v>0</v>
      </c>
      <c r="O21" s="520">
        <f t="shared" si="3"/>
        <v>0</v>
      </c>
      <c r="P21" s="520">
        <f>IF(ISERROR((J21-H21)/H21),0,(J21-H21)/H21)</f>
        <v>0</v>
      </c>
    </row>
    <row r="22" spans="1:59" x14ac:dyDescent="0.2">
      <c r="A22" s="445" t="s">
        <v>1616</v>
      </c>
      <c r="B22" s="517">
        <v>0</v>
      </c>
      <c r="C22" s="518">
        <f t="shared" si="0"/>
        <v>0</v>
      </c>
      <c r="D22" s="519">
        <v>0</v>
      </c>
      <c r="E22" s="518">
        <f t="shared" si="2"/>
        <v>0</v>
      </c>
      <c r="F22" s="519">
        <v>0</v>
      </c>
      <c r="G22" s="518">
        <f t="shared" si="1"/>
        <v>0</v>
      </c>
      <c r="H22" s="519">
        <v>0</v>
      </c>
      <c r="I22" s="518">
        <f>+H22/$H$11</f>
        <v>0</v>
      </c>
      <c r="J22" s="519">
        <v>0</v>
      </c>
      <c r="K22" s="518">
        <f>+J22/$J$11</f>
        <v>0</v>
      </c>
      <c r="L22" s="547"/>
      <c r="M22" s="520">
        <v>0</v>
      </c>
      <c r="N22" s="520">
        <f t="shared" ref="N22:O22" si="4">IF(ISERROR((H22-F22)/F22),0,(H22-F22)/F22)</f>
        <v>0</v>
      </c>
      <c r="O22" s="520">
        <f t="shared" si="4"/>
        <v>0</v>
      </c>
      <c r="P22" s="520">
        <f>IF(ISERROR((J22-H22)/H22),0,(J22-H22)/H22)</f>
        <v>0</v>
      </c>
    </row>
    <row r="23" spans="1:59" x14ac:dyDescent="0.2">
      <c r="A23" s="445" t="s">
        <v>1617</v>
      </c>
      <c r="B23" s="517">
        <v>0</v>
      </c>
      <c r="C23" s="518">
        <f t="shared" si="0"/>
        <v>0</v>
      </c>
      <c r="D23" s="519">
        <v>0</v>
      </c>
      <c r="E23" s="518">
        <f t="shared" si="2"/>
        <v>0</v>
      </c>
      <c r="F23" s="519">
        <v>0</v>
      </c>
      <c r="G23" s="518">
        <f t="shared" si="1"/>
        <v>0</v>
      </c>
      <c r="H23" s="519">
        <v>0</v>
      </c>
      <c r="I23" s="518">
        <f>+H23/$H$11</f>
        <v>0</v>
      </c>
      <c r="J23" s="519">
        <v>0</v>
      </c>
      <c r="K23" s="518">
        <f>+J23/$J$11</f>
        <v>0</v>
      </c>
      <c r="L23" s="547"/>
      <c r="M23" s="520">
        <v>0</v>
      </c>
      <c r="N23" s="520">
        <f t="shared" ref="N23:O23" si="5">IF(ISERROR((H23-F23)/F23),0,(H23-F23)/F23)</f>
        <v>0</v>
      </c>
      <c r="O23" s="520">
        <f t="shared" si="5"/>
        <v>0</v>
      </c>
      <c r="P23" s="520">
        <f>IF(ISERROR((J23-H23)/H23),0,(J23-H23)/H23)</f>
        <v>0</v>
      </c>
    </row>
    <row r="24" spans="1:59" ht="12" thickBot="1" x14ac:dyDescent="0.25">
      <c r="A24" s="445" t="s">
        <v>1618</v>
      </c>
      <c r="B24" s="517">
        <f>+'Estados de resultados'!$C$23</f>
        <v>68407682.443364039</v>
      </c>
      <c r="C24" s="518">
        <f t="shared" si="0"/>
        <v>2.1573010095614225E-2</v>
      </c>
      <c r="D24" s="519">
        <f>+'Estados de resultados'!$D$23</f>
        <v>72617922.189328015</v>
      </c>
      <c r="E24" s="518">
        <f t="shared" si="2"/>
        <v>2.1406672764284498E-2</v>
      </c>
      <c r="F24" s="519">
        <f>+'Estados de resultados'!$E$23</f>
        <v>77087286.613769069</v>
      </c>
      <c r="G24" s="518">
        <f t="shared" si="1"/>
        <v>2.1375660762556606E-2</v>
      </c>
      <c r="H24" s="519">
        <f>+'Estados de resultados'!$F$23</f>
        <v>81831723.88188608</v>
      </c>
      <c r="I24" s="518">
        <f>+H24/$H$11</f>
        <v>2.1581026551159024E-2</v>
      </c>
      <c r="J24" s="519">
        <f>+'Estados de resultados'!$G$23</f>
        <v>86868163.709437802</v>
      </c>
      <c r="K24" s="518">
        <f>+J24/$J$11</f>
        <v>2.1499681897646662E-2</v>
      </c>
      <c r="L24" s="547"/>
      <c r="M24" s="525">
        <f>((D24-B24)/B24)</f>
        <v>6.1546299999999408E-2</v>
      </c>
      <c r="N24" s="525">
        <f>((F24-D24)/D24)</f>
        <v>6.1546300000000213E-2</v>
      </c>
      <c r="O24" s="525">
        <f>IF(ISERROR((H24-F24)/F24),0,(H24-F24)/F24)</f>
        <v>6.1546299999999943E-2</v>
      </c>
      <c r="P24" s="525">
        <f>IF(ISERROR((J24-H24)/H24),0,(J24-H24)/H24)</f>
        <v>6.1546299999999964E-2</v>
      </c>
    </row>
    <row r="25" spans="1:59" ht="12" thickBot="1" x14ac:dyDescent="0.25">
      <c r="A25" s="521" t="s">
        <v>1619</v>
      </c>
      <c r="B25" s="522">
        <f>SUM(B21:B24)</f>
        <v>68407682.443364039</v>
      </c>
      <c r="C25" s="523">
        <f t="shared" si="0"/>
        <v>2.1573010095614225E-2</v>
      </c>
      <c r="D25" s="524">
        <f>SUM(D21:D24)</f>
        <v>72617922.189328015</v>
      </c>
      <c r="E25" s="523">
        <f t="shared" si="2"/>
        <v>2.1406672764284498E-2</v>
      </c>
      <c r="F25" s="524">
        <f>+SUM(F21:F24)</f>
        <v>77087286.613769069</v>
      </c>
      <c r="G25" s="523">
        <f t="shared" si="1"/>
        <v>2.1375660762556606E-2</v>
      </c>
      <c r="H25" s="524">
        <f>+SUM(H21:H24)</f>
        <v>81831723.88188608</v>
      </c>
      <c r="I25" s="523">
        <f>+H25/$H$11</f>
        <v>2.1581026551159024E-2</v>
      </c>
      <c r="J25" s="524">
        <f>+SUM(J21:J24)</f>
        <v>86868163.709437802</v>
      </c>
      <c r="K25" s="523">
        <f>+J25/$J$11</f>
        <v>2.1499681897646662E-2</v>
      </c>
      <c r="L25" s="548"/>
      <c r="M25" s="525">
        <f>((D25-B25)/B25)</f>
        <v>6.1546299999999408E-2</v>
      </c>
      <c r="N25" s="525">
        <f>((F25-D25)/D25)</f>
        <v>6.1546300000000213E-2</v>
      </c>
      <c r="O25" s="525">
        <f>IF(ISERROR((H25-F25)/F25),0,(H25-F25)/F25)</f>
        <v>6.1546299999999943E-2</v>
      </c>
      <c r="P25" s="525">
        <f>IF(ISERROR((J25-H25)/H25),0,(J25-H25)/H25)</f>
        <v>6.1546299999999964E-2</v>
      </c>
    </row>
    <row r="26" spans="1:59" x14ac:dyDescent="0.2">
      <c r="A26" s="475" t="s">
        <v>1620</v>
      </c>
      <c r="B26" s="517"/>
      <c r="C26" s="518"/>
      <c r="D26" s="456"/>
      <c r="E26" s="518"/>
      <c r="F26" s="519"/>
      <c r="G26" s="518"/>
      <c r="H26" s="519"/>
      <c r="I26" s="518"/>
      <c r="J26" s="519"/>
      <c r="K26" s="518"/>
      <c r="L26" s="547"/>
      <c r="M26" s="520"/>
      <c r="N26" s="520"/>
      <c r="O26" s="520"/>
      <c r="P26" s="520"/>
    </row>
    <row r="27" spans="1:59" x14ac:dyDescent="0.2">
      <c r="A27" s="445" t="s">
        <v>1615</v>
      </c>
      <c r="B27" s="517">
        <f>-'Estados de resultados'!$C$28</f>
        <v>-315951767.95971179</v>
      </c>
      <c r="C27" s="518">
        <f t="shared" si="0"/>
        <v>-9.9638380317373584E-2</v>
      </c>
      <c r="D27" s="519">
        <f>-'Estados de resultados'!$D$28</f>
        <v>-208028102.86946452</v>
      </c>
      <c r="E27" s="518">
        <f t="shared" si="2"/>
        <v>-6.1323560212742968E-2</v>
      </c>
      <c r="F27" s="519">
        <f>-'Estados de resultados'!$E$28</f>
        <v>-78992607.756836057</v>
      </c>
      <c r="G27" s="518">
        <f t="shared" si="1"/>
        <v>-2.1903990402721316E-2</v>
      </c>
      <c r="H27" s="519">
        <v>0</v>
      </c>
      <c r="I27" s="518">
        <f>+H27/$H$11</f>
        <v>0</v>
      </c>
      <c r="J27" s="519">
        <v>0</v>
      </c>
      <c r="K27" s="518">
        <f>+J27/$J$11</f>
        <v>0</v>
      </c>
      <c r="L27" s="547"/>
      <c r="M27" s="520">
        <f>((D27-B27)/B27)</f>
        <v>-0.34158272253760275</v>
      </c>
      <c r="N27" s="520">
        <f>((F27-D27)/D27)</f>
        <v>-0.62027915138752621</v>
      </c>
      <c r="O27" s="520">
        <f>IF(ISERROR((H27-F27)/F27),0,(H27-F27)/F27)</f>
        <v>-1</v>
      </c>
      <c r="P27" s="520">
        <f>IF(ISERROR((J27-H27)/H27),0,(J27-H27)/H27)</f>
        <v>0</v>
      </c>
    </row>
    <row r="28" spans="1:59" x14ac:dyDescent="0.2">
      <c r="A28" s="445" t="s">
        <v>1621</v>
      </c>
      <c r="B28" s="530">
        <v>0</v>
      </c>
      <c r="C28" s="518">
        <f>+B29/$B$11</f>
        <v>-7.0000000000000001E-3</v>
      </c>
      <c r="D28" s="493">
        <v>0</v>
      </c>
      <c r="E28" s="518">
        <f t="shared" si="2"/>
        <v>0</v>
      </c>
      <c r="F28" s="531">
        <v>0</v>
      </c>
      <c r="G28" s="518">
        <f t="shared" si="1"/>
        <v>0</v>
      </c>
      <c r="H28" s="531">
        <v>0</v>
      </c>
      <c r="I28" s="518">
        <f>+H28/$H$11</f>
        <v>0</v>
      </c>
      <c r="J28" s="531">
        <v>0</v>
      </c>
      <c r="K28" s="518">
        <f>+J28/$J$11</f>
        <v>0</v>
      </c>
      <c r="L28" s="547"/>
      <c r="M28" s="520">
        <f t="shared" ref="M28:O28" si="6">IF(ISERROR((G28-E28)/E28),0,(G28-E28)/E28)</f>
        <v>0</v>
      </c>
      <c r="N28" s="520">
        <f t="shared" si="6"/>
        <v>0</v>
      </c>
      <c r="O28" s="520">
        <f t="shared" si="6"/>
        <v>0</v>
      </c>
      <c r="P28" s="520">
        <f>IF(ISERROR((J28-H28)/H28),0,(J28-H28)/H28)</f>
        <v>0</v>
      </c>
    </row>
    <row r="29" spans="1:59" ht="12" thickBot="1" x14ac:dyDescent="0.25">
      <c r="A29" s="445" t="s">
        <v>1622</v>
      </c>
      <c r="B29" s="517">
        <f>-'Estados de resultados'!$C$29-'Estados de resultados'!$C$30</f>
        <v>-22196892.087901022</v>
      </c>
      <c r="C29" s="518">
        <f>+B30/$B$11</f>
        <v>-0.10663838031737356</v>
      </c>
      <c r="D29" s="519">
        <f>-'Estados de resultados'!$D$29-'Estados de resultados'!$D$30</f>
        <v>-23746121.637987603</v>
      </c>
      <c r="E29" s="518">
        <f t="shared" si="2"/>
        <v>-6.9999999999999993E-3</v>
      </c>
      <c r="F29" s="519">
        <f>-'Estados de resultados'!$E$29-'Estados de resultados'!$E$30</f>
        <v>-25244178.98891861</v>
      </c>
      <c r="G29" s="518">
        <f t="shared" si="1"/>
        <v>-6.9999999999999993E-3</v>
      </c>
      <c r="H29" s="519">
        <f>-'Estados de resultados'!$F$29-'Estados de resultados'!$F$30</f>
        <v>-26542855.401956715</v>
      </c>
      <c r="I29" s="545">
        <f>+H29/$H$11</f>
        <v>-7.0000000000000001E-3</v>
      </c>
      <c r="J29" s="519">
        <f>-'Estados de resultados'!$G$29-'Estados de resultados'!$G$30</f>
        <v>-28283076.412987508</v>
      </c>
      <c r="K29" s="518">
        <f>+J29/$J$11</f>
        <v>-7.0000000000000019E-3</v>
      </c>
      <c r="L29" s="547"/>
      <c r="M29" s="525">
        <f>((D29-B29)/B29)</f>
        <v>6.9794885876434343E-2</v>
      </c>
      <c r="N29" s="525">
        <f>((F29-D29)/D29)</f>
        <v>6.3086400961347155E-2</v>
      </c>
      <c r="O29" s="525">
        <f>IF(ISERROR((H29-F29)/F29),0,(H29-F29)/F29)</f>
        <v>5.1444589012309819E-2</v>
      </c>
      <c r="P29" s="525">
        <f>IF(ISERROR((J29-H29)/H29),0,(J29-H29)/H29)</f>
        <v>6.5562690399259216E-2</v>
      </c>
    </row>
    <row r="30" spans="1:59" s="500" customFormat="1" ht="12" thickBot="1" x14ac:dyDescent="0.25">
      <c r="A30" s="521" t="s">
        <v>1623</v>
      </c>
      <c r="B30" s="526">
        <f>SUM(B27:B29)</f>
        <v>-338148660.04761279</v>
      </c>
      <c r="C30" s="523">
        <f t="shared" si="0"/>
        <v>-0.10663838031737356</v>
      </c>
      <c r="D30" s="527">
        <f>SUM(D27:D29)</f>
        <v>-231774224.50745213</v>
      </c>
      <c r="E30" s="523">
        <f t="shared" si="2"/>
        <v>-6.8323560212742968E-2</v>
      </c>
      <c r="F30" s="527">
        <f>+SUM(F27:F29)</f>
        <v>-104236786.74575466</v>
      </c>
      <c r="G30" s="523">
        <f t="shared" si="1"/>
        <v>-2.8903990402721312E-2</v>
      </c>
      <c r="H30" s="527">
        <f>+SUM(H27:H29)</f>
        <v>-26542855.401956715</v>
      </c>
      <c r="I30" s="523">
        <f>+H30/$H$11</f>
        <v>-7.0000000000000001E-3</v>
      </c>
      <c r="J30" s="527">
        <f>+SUM(J27:J29)</f>
        <v>-28283076.412987508</v>
      </c>
      <c r="K30" s="523">
        <f>+J30/$J$11</f>
        <v>-7.0000000000000019E-3</v>
      </c>
      <c r="L30" s="548"/>
      <c r="M30" s="525">
        <f>((D30-B30)/B30)</f>
        <v>-0.3145789059911776</v>
      </c>
      <c r="N30" s="525">
        <f>((F30-D30)/D30)</f>
        <v>-0.55026583750945446</v>
      </c>
      <c r="O30" s="525">
        <f>IF(ISERROR((H30-F30)/F30),0,(H30-F30)/F30)</f>
        <v>-0.74535999975999123</v>
      </c>
      <c r="P30" s="525">
        <f>IF(ISERROR((J30-H30)/H30),0,(J30-H30)/H30)</f>
        <v>6.5562690399259216E-2</v>
      </c>
      <c r="Q30" s="470"/>
      <c r="R30" s="470"/>
      <c r="S30" s="470"/>
      <c r="T30" s="470"/>
      <c r="U30" s="470"/>
      <c r="V30" s="470"/>
      <c r="W30" s="470"/>
      <c r="X30" s="470"/>
      <c r="Y30" s="470"/>
      <c r="Z30" s="470"/>
      <c r="AA30" s="470"/>
      <c r="AB30" s="470"/>
      <c r="AC30" s="470"/>
      <c r="AD30" s="470"/>
      <c r="AE30" s="470"/>
      <c r="AF30" s="470"/>
      <c r="AG30" s="470"/>
      <c r="AH30" s="470"/>
      <c r="AI30" s="470"/>
      <c r="AJ30" s="470"/>
      <c r="AK30" s="470"/>
      <c r="AL30" s="470"/>
      <c r="AM30" s="470"/>
      <c r="AN30" s="470"/>
      <c r="AO30" s="470"/>
      <c r="AP30" s="470"/>
      <c r="AQ30" s="470"/>
      <c r="AR30" s="470"/>
      <c r="AS30" s="470"/>
      <c r="AT30" s="470"/>
      <c r="AU30" s="470"/>
      <c r="AV30" s="470"/>
      <c r="AW30" s="470"/>
      <c r="AX30" s="470"/>
      <c r="AY30" s="470"/>
      <c r="AZ30" s="470"/>
      <c r="BA30" s="470"/>
      <c r="BB30" s="470"/>
      <c r="BC30" s="470"/>
      <c r="BD30" s="470"/>
      <c r="BE30" s="470"/>
      <c r="BF30" s="470"/>
      <c r="BG30" s="470"/>
    </row>
    <row r="31" spans="1:59" ht="12" thickBot="1" x14ac:dyDescent="0.25">
      <c r="A31" s="521" t="s">
        <v>1624</v>
      </c>
      <c r="B31" s="522">
        <f>+B25+B30</f>
        <v>-269740977.60424876</v>
      </c>
      <c r="C31" s="523">
        <f t="shared" si="0"/>
        <v>-8.5065370221759348E-2</v>
      </c>
      <c r="D31" s="524">
        <f>D25+D30</f>
        <v>-159156302.31812412</v>
      </c>
      <c r="E31" s="523">
        <f t="shared" si="2"/>
        <v>-4.6916887448458469E-2</v>
      </c>
      <c r="F31" s="524">
        <f>F25+F30</f>
        <v>-27149500.13198559</v>
      </c>
      <c r="G31" s="523">
        <f t="shared" si="1"/>
        <v>-7.528329640164708E-3</v>
      </c>
      <c r="H31" s="524">
        <f>+H30+H25</f>
        <v>55288868.479929365</v>
      </c>
      <c r="I31" s="523">
        <f>+H31/$H$11</f>
        <v>1.4581026551159023E-2</v>
      </c>
      <c r="J31" s="524">
        <f>+J30+J25</f>
        <v>58585087.296450295</v>
      </c>
      <c r="K31" s="523">
        <f>+J31/$J$11</f>
        <v>1.4499681897646659E-2</v>
      </c>
      <c r="L31" s="548"/>
      <c r="M31" s="525">
        <f>((D31-B31)/B31)</f>
        <v>-0.40996616927951252</v>
      </c>
      <c r="N31" s="525">
        <f>((F31-D31)/D31)</f>
        <v>-0.82941611650590663</v>
      </c>
      <c r="O31" s="525">
        <f>IF(ISERROR((H31-F31)/F31),0,(H31-F31)/F31)</f>
        <v>-3.0364599057494988</v>
      </c>
      <c r="P31" s="525">
        <f>IF(ISERROR((J31-H31)/H31),0,(J31-H31)/H31)</f>
        <v>5.9618127611302141E-2</v>
      </c>
    </row>
    <row r="32" spans="1:59" ht="12" thickBot="1" x14ac:dyDescent="0.25">
      <c r="A32" s="521"/>
      <c r="B32" s="526"/>
      <c r="C32" s="523"/>
      <c r="D32" s="527"/>
      <c r="E32" s="523"/>
      <c r="F32" s="527"/>
      <c r="G32" s="523"/>
      <c r="H32" s="527"/>
      <c r="I32" s="523"/>
      <c r="J32" s="527"/>
      <c r="K32" s="523"/>
      <c r="L32" s="548"/>
      <c r="M32" s="525"/>
      <c r="N32" s="525"/>
      <c r="O32" s="525"/>
      <c r="P32" s="525"/>
    </row>
    <row r="33" spans="1:59" ht="12" thickBot="1" x14ac:dyDescent="0.25">
      <c r="A33" s="521" t="s">
        <v>1625</v>
      </c>
      <c r="B33" s="522">
        <f>+B19+B31+B32</f>
        <v>1253215113.2303753</v>
      </c>
      <c r="C33" s="523">
        <f t="shared" si="0"/>
        <v>0.39521324687586795</v>
      </c>
      <c r="D33" s="524">
        <f>D19+D31</f>
        <v>1546149075.0944669</v>
      </c>
      <c r="E33" s="523">
        <f t="shared" si="2"/>
        <v>0.45578152469105604</v>
      </c>
      <c r="F33" s="524">
        <f>+F31+F19</f>
        <v>1831121161.8712585</v>
      </c>
      <c r="G33" s="523">
        <f t="shared" si="1"/>
        <v>0.50775460508045978</v>
      </c>
      <c r="H33" s="524">
        <f>H19+H31</f>
        <v>2056174509.9027503</v>
      </c>
      <c r="I33" s="523">
        <f>+H33/$H$11</f>
        <v>0.54226349619710457</v>
      </c>
      <c r="J33" s="524">
        <f>J19+J31</f>
        <v>2241951383.7278342</v>
      </c>
      <c r="K33" s="523">
        <f>+J33/$J$11</f>
        <v>0.55487809943080868</v>
      </c>
      <c r="L33" s="548"/>
      <c r="M33" s="525">
        <f>((D33-B33)/B33)</f>
        <v>0.23374595372458004</v>
      </c>
      <c r="N33" s="525">
        <f>((F33-D33)/D33)</f>
        <v>0.18431087361959603</v>
      </c>
      <c r="O33" s="525">
        <f>IF(ISERROR((H33-F33)/F33),0,(H33-F33)/F33)</f>
        <v>0.12290467322299162</v>
      </c>
      <c r="P33" s="525">
        <f>IF(ISERROR((J33-H33)/H33),0,(J33-H33)/H33)</f>
        <v>9.0350732844105996E-2</v>
      </c>
    </row>
    <row r="34" spans="1:59" s="500" customFormat="1" x14ac:dyDescent="0.2">
      <c r="A34" s="475" t="s">
        <v>1626</v>
      </c>
      <c r="B34" s="517"/>
      <c r="C34" s="532"/>
      <c r="D34" s="529"/>
      <c r="E34" s="532"/>
      <c r="F34" s="519"/>
      <c r="G34" s="532"/>
      <c r="H34" s="519"/>
      <c r="I34" s="532"/>
      <c r="J34" s="519"/>
      <c r="K34" s="532"/>
      <c r="L34" s="549"/>
      <c r="M34" s="533"/>
      <c r="N34" s="533"/>
      <c r="O34" s="533"/>
      <c r="P34" s="533"/>
      <c r="Q34" s="470"/>
      <c r="R34" s="470"/>
      <c r="S34" s="470"/>
      <c r="T34" s="470"/>
      <c r="U34" s="470"/>
      <c r="V34" s="470"/>
      <c r="W34" s="470"/>
      <c r="X34" s="470"/>
      <c r="Y34" s="470"/>
      <c r="Z34" s="470"/>
      <c r="AA34" s="470"/>
      <c r="AB34" s="470"/>
      <c r="AC34" s="470"/>
      <c r="AD34" s="470"/>
      <c r="AE34" s="470"/>
      <c r="AF34" s="470"/>
      <c r="AG34" s="470"/>
      <c r="AH34" s="470"/>
      <c r="AI34" s="470"/>
      <c r="AJ34" s="470"/>
      <c r="AK34" s="470"/>
      <c r="AL34" s="470"/>
      <c r="AM34" s="470"/>
      <c r="AN34" s="470"/>
      <c r="AO34" s="470"/>
      <c r="AP34" s="470"/>
      <c r="AQ34" s="470"/>
      <c r="AR34" s="470"/>
      <c r="AS34" s="470"/>
      <c r="AT34" s="470"/>
      <c r="AU34" s="470"/>
      <c r="AV34" s="470"/>
      <c r="AW34" s="470"/>
      <c r="AX34" s="470"/>
      <c r="AY34" s="470"/>
      <c r="AZ34" s="470"/>
      <c r="BA34" s="470"/>
      <c r="BB34" s="470"/>
      <c r="BC34" s="470"/>
      <c r="BD34" s="470"/>
      <c r="BE34" s="470"/>
      <c r="BF34" s="470"/>
      <c r="BG34" s="470"/>
    </row>
    <row r="35" spans="1:59" x14ac:dyDescent="0.2">
      <c r="A35" s="445" t="s">
        <v>1627</v>
      </c>
      <c r="B35" s="517">
        <f>-'Balance '!$E$144</f>
        <v>-112789360.19073378</v>
      </c>
      <c r="C35" s="532">
        <f t="shared" si="0"/>
        <v>-3.5569192218828115E-2</v>
      </c>
      <c r="D35" s="519">
        <f>-'Estados de resultados'!$D$34</f>
        <v>-139153416.75850195</v>
      </c>
      <c r="E35" s="532">
        <f t="shared" si="2"/>
        <v>-4.1020337222195023E-2</v>
      </c>
      <c r="F35" s="519">
        <f>-'Estados de resultados'!$E$34</f>
        <v>-164800904.56841323</v>
      </c>
      <c r="G35" s="532">
        <f t="shared" si="1"/>
        <v>-4.5697914457241369E-2</v>
      </c>
      <c r="H35" s="519">
        <f>-'Estados de resultados'!$F$34</f>
        <v>-185055705.89124751</v>
      </c>
      <c r="I35" s="532">
        <f>+H35/$H$11</f>
        <v>-4.880371465773941E-2</v>
      </c>
      <c r="J35" s="519">
        <f>-'Estados de resultados'!$G$34</f>
        <v>-201775624.53550515</v>
      </c>
      <c r="K35" s="532">
        <f>+J35/$J$11</f>
        <v>-4.99390289487728E-2</v>
      </c>
      <c r="L35" s="549"/>
      <c r="M35" s="533">
        <f>((D35-B35)/B35)</f>
        <v>0.23374595372457938</v>
      </c>
      <c r="N35" s="533">
        <f>((F35-D35)/D35)</f>
        <v>0.18431087361959642</v>
      </c>
      <c r="O35" s="533">
        <f>IF(ISERROR((H35-F35)/F35),0,(H35-F35)/F35)</f>
        <v>0.1229046732229918</v>
      </c>
      <c r="P35" s="533">
        <f>IF(ISERROR((J35-H35)/H35),0,(J35-H35)/H35)</f>
        <v>9.0350732844106427E-2</v>
      </c>
    </row>
    <row r="36" spans="1:59" s="500" customFormat="1" x14ac:dyDescent="0.2">
      <c r="A36" s="445" t="s">
        <v>1628</v>
      </c>
      <c r="B36" s="517">
        <v>0</v>
      </c>
      <c r="C36" s="532">
        <f t="shared" si="0"/>
        <v>0</v>
      </c>
      <c r="D36" s="519">
        <v>0</v>
      </c>
      <c r="E36" s="532">
        <f t="shared" si="2"/>
        <v>0</v>
      </c>
      <c r="F36" s="519">
        <v>0</v>
      </c>
      <c r="G36" s="532">
        <f t="shared" si="1"/>
        <v>0</v>
      </c>
      <c r="H36" s="519">
        <v>0</v>
      </c>
      <c r="I36" s="532">
        <f>+H36/$H$11</f>
        <v>0</v>
      </c>
      <c r="J36" s="519">
        <v>0</v>
      </c>
      <c r="K36" s="532">
        <f>+J36/$J$11</f>
        <v>0</v>
      </c>
      <c r="L36" s="549"/>
      <c r="M36" s="552">
        <v>0</v>
      </c>
      <c r="N36" s="533">
        <v>0</v>
      </c>
      <c r="O36" s="533">
        <v>0</v>
      </c>
      <c r="P36" s="533">
        <v>0</v>
      </c>
      <c r="Q36" s="470"/>
      <c r="R36" s="470"/>
      <c r="S36" s="470"/>
      <c r="T36" s="470"/>
      <c r="U36" s="470"/>
      <c r="V36" s="470"/>
      <c r="W36" s="470"/>
      <c r="X36" s="470"/>
      <c r="Y36" s="470"/>
      <c r="Z36" s="470"/>
      <c r="AA36" s="470"/>
      <c r="AB36" s="470"/>
      <c r="AC36" s="470"/>
      <c r="AD36" s="470"/>
      <c r="AE36" s="470"/>
      <c r="AF36" s="470"/>
      <c r="AG36" s="470"/>
      <c r="AH36" s="470"/>
      <c r="AI36" s="470"/>
      <c r="AJ36" s="470"/>
      <c r="AK36" s="470"/>
      <c r="AL36" s="470"/>
      <c r="AM36" s="470"/>
      <c r="AN36" s="470"/>
      <c r="AO36" s="470"/>
      <c r="AP36" s="470"/>
      <c r="AQ36" s="470"/>
      <c r="AR36" s="470"/>
      <c r="AS36" s="470"/>
      <c r="AT36" s="470"/>
      <c r="AU36" s="470"/>
      <c r="AV36" s="470"/>
      <c r="AW36" s="470"/>
      <c r="AX36" s="470"/>
      <c r="AY36" s="470"/>
      <c r="AZ36" s="470"/>
      <c r="BA36" s="470"/>
      <c r="BB36" s="470"/>
      <c r="BC36" s="470"/>
      <c r="BD36" s="470"/>
      <c r="BE36" s="470"/>
      <c r="BF36" s="470"/>
      <c r="BG36" s="470"/>
    </row>
    <row r="37" spans="1:59" ht="12" thickBot="1" x14ac:dyDescent="0.25">
      <c r="A37" s="521" t="s">
        <v>1629</v>
      </c>
      <c r="B37" s="526">
        <f>SUM(B35:B36)</f>
        <v>-112789360.19073378</v>
      </c>
      <c r="C37" s="534">
        <f t="shared" si="0"/>
        <v>-3.5569192218828115E-2</v>
      </c>
      <c r="D37" s="526">
        <f>SUM(D35:D36)</f>
        <v>-139153416.75850195</v>
      </c>
      <c r="E37" s="534">
        <f t="shared" si="2"/>
        <v>-4.1020337222195023E-2</v>
      </c>
      <c r="F37" s="526">
        <f>SUM(F35:F36)</f>
        <v>-164800904.56841323</v>
      </c>
      <c r="G37" s="534">
        <f t="shared" si="1"/>
        <v>-4.5697914457241369E-2</v>
      </c>
      <c r="H37" s="526">
        <f>SUM(H35:H36)</f>
        <v>-185055705.89124751</v>
      </c>
      <c r="I37" s="534">
        <f>+H37/$H$11</f>
        <v>-4.880371465773941E-2</v>
      </c>
      <c r="J37" s="526">
        <f>SUM(J35:J36)</f>
        <v>-201775624.53550515</v>
      </c>
      <c r="K37" s="534">
        <f>+J37/$J$11</f>
        <v>-4.99390289487728E-2</v>
      </c>
      <c r="L37" s="550"/>
      <c r="M37" s="553">
        <f>((D37-B37)/B37)</f>
        <v>0.23374595372457938</v>
      </c>
      <c r="N37" s="535">
        <f>((F37-D37)/D37)</f>
        <v>0.18431087361959642</v>
      </c>
      <c r="O37" s="535">
        <f>IF(ISERROR((H37-F37)/F37),0,(H37-F37)/F37)</f>
        <v>0.1229046732229918</v>
      </c>
      <c r="P37" s="535">
        <f>IF(ISERROR((J37-H37)/H37),0,(J37-H37)/H37)</f>
        <v>9.0350732844106427E-2</v>
      </c>
    </row>
    <row r="38" spans="1:59" ht="12" thickBot="1" x14ac:dyDescent="0.25">
      <c r="A38" s="536" t="s">
        <v>1630</v>
      </c>
      <c r="B38" s="522">
        <f>+B33+B37</f>
        <v>1140425753.0396416</v>
      </c>
      <c r="C38" s="534">
        <f t="shared" si="0"/>
        <v>0.35964405465703986</v>
      </c>
      <c r="D38" s="522">
        <f>+D33+D37</f>
        <v>1406995658.3359649</v>
      </c>
      <c r="E38" s="534">
        <f t="shared" si="2"/>
        <v>0.41476118746886104</v>
      </c>
      <c r="F38" s="524">
        <f>+F37+F33</f>
        <v>1666320257.3028452</v>
      </c>
      <c r="G38" s="534">
        <f t="shared" si="1"/>
        <v>0.46205669062321836</v>
      </c>
      <c r="H38" s="524">
        <f>+H37+H33</f>
        <v>1871118804.0115027</v>
      </c>
      <c r="I38" s="534">
        <f>+H38/$H$11</f>
        <v>0.49345978153936515</v>
      </c>
      <c r="J38" s="524">
        <f>+J37+J33</f>
        <v>2040175759.1923292</v>
      </c>
      <c r="K38" s="534">
        <f>+J38/$J$11</f>
        <v>0.5049390704820359</v>
      </c>
      <c r="L38" s="550"/>
      <c r="M38" s="535">
        <f>((D38-B38)/B38)</f>
        <v>0.23374595372457993</v>
      </c>
      <c r="N38" s="535">
        <f>((F38-D38)/D38)</f>
        <v>0.184310873619596</v>
      </c>
      <c r="O38" s="535">
        <f>IF(ISERROR((H38-F38)/F38),0,(H38-F38)/F38)</f>
        <v>0.12290467322299162</v>
      </c>
      <c r="P38" s="535">
        <f>IF(ISERROR((J38-H38)/H38),0,(J38-H38)/H38)</f>
        <v>9.035073284410601E-2</v>
      </c>
    </row>
    <row r="39" spans="1:59" ht="12" thickBot="1" x14ac:dyDescent="0.25">
      <c r="A39" s="536" t="s">
        <v>1631</v>
      </c>
      <c r="B39" s="537"/>
      <c r="C39" s="538"/>
      <c r="D39" s="539"/>
      <c r="E39" s="538"/>
      <c r="F39" s="539"/>
      <c r="G39" s="538"/>
      <c r="H39" s="539"/>
      <c r="I39" s="538"/>
      <c r="J39" s="539"/>
      <c r="K39" s="538"/>
      <c r="L39" s="551"/>
      <c r="M39" s="540">
        <f t="shared" ref="M39:O39" si="7">IF(ISERROR((G39-E39)/E39),0,(G39-E39)/E39)</f>
        <v>0</v>
      </c>
      <c r="N39" s="540">
        <f t="shared" si="7"/>
        <v>0</v>
      </c>
      <c r="O39" s="540">
        <f t="shared" si="7"/>
        <v>0</v>
      </c>
      <c r="P39" s="540">
        <f>IF(ISERROR((J39-H39)/H39),0,(J39-H39)/H39)</f>
        <v>0</v>
      </c>
    </row>
    <row r="40" spans="1:59" x14ac:dyDescent="0.2">
      <c r="M40" s="453"/>
      <c r="N40" s="453"/>
    </row>
    <row r="41" spans="1:59" ht="12.75" x14ac:dyDescent="0.2">
      <c r="D41" s="541"/>
      <c r="E41" s="542"/>
      <c r="F41" s="460"/>
      <c r="G41" s="542"/>
      <c r="H41" s="542"/>
      <c r="I41" s="542"/>
      <c r="J41" s="542"/>
      <c r="K41" s="542"/>
      <c r="L41" s="460"/>
      <c r="M41" s="453"/>
      <c r="N41" s="453"/>
    </row>
    <row r="42" spans="1:59" ht="12.75" x14ac:dyDescent="0.2">
      <c r="D42" s="543"/>
      <c r="E42" s="542"/>
      <c r="F42" s="460"/>
      <c r="G42" s="542"/>
      <c r="H42" s="542"/>
      <c r="I42" s="542"/>
      <c r="J42" s="542"/>
      <c r="K42" s="542"/>
      <c r="L42" s="460"/>
      <c r="M42" s="453"/>
      <c r="N42" s="453"/>
    </row>
    <row r="43" spans="1:59" ht="12.75" x14ac:dyDescent="0.2">
      <c r="D43" s="543"/>
      <c r="E43" s="542"/>
      <c r="F43" s="460"/>
      <c r="G43" s="542"/>
      <c r="H43" s="542"/>
      <c r="I43" s="542"/>
      <c r="J43" s="542"/>
      <c r="K43" s="542"/>
      <c r="L43" s="460"/>
      <c r="M43" s="453"/>
      <c r="N43" s="453"/>
    </row>
    <row r="44" spans="1:59" x14ac:dyDescent="0.2">
      <c r="D44" s="544"/>
      <c r="M44" s="453"/>
      <c r="N44" s="453"/>
    </row>
    <row r="47" spans="1:59" x14ac:dyDescent="0.2">
      <c r="A47" s="500"/>
    </row>
    <row r="49" spans="1:59" x14ac:dyDescent="0.2">
      <c r="A49" s="500"/>
    </row>
    <row r="51" spans="1:59" s="446" customFormat="1" x14ac:dyDescent="0.2">
      <c r="A51" s="500"/>
      <c r="D51" s="505"/>
      <c r="F51" s="505"/>
      <c r="L51" s="505"/>
      <c r="O51" s="445"/>
      <c r="P51" s="445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T51" s="457"/>
      <c r="AU51" s="457"/>
      <c r="AV51" s="457"/>
      <c r="AW51" s="457"/>
      <c r="AX51" s="457"/>
      <c r="AY51" s="457"/>
      <c r="AZ51" s="457"/>
      <c r="BA51" s="457"/>
      <c r="BB51" s="457"/>
      <c r="BC51" s="457"/>
      <c r="BD51" s="457"/>
      <c r="BE51" s="457"/>
      <c r="BF51" s="457"/>
      <c r="BG51" s="457"/>
    </row>
  </sheetData>
  <mergeCells count="6">
    <mergeCell ref="A1:N1"/>
    <mergeCell ref="A2:N2"/>
    <mergeCell ref="A5:N5"/>
    <mergeCell ref="A6:N6"/>
    <mergeCell ref="A3:N3"/>
    <mergeCell ref="A4:N4"/>
  </mergeCells>
  <printOptions horizontalCentered="1"/>
  <pageMargins left="0.19685039370078741" right="0.19685039370078741" top="0.59055118110236227" bottom="0.19685039370078741" header="0.19685039370078741" footer="0"/>
  <pageSetup scale="105" orientation="landscape" horizontalDpi="300" verticalDpi="300" r:id="rId1"/>
  <headerFooter alignWithMargins="0">
    <oddHeader>&amp;L&amp;"Arial,Negrita"Universidad EAFIT
Departamento de Contaduría Pública&amp;R&amp;"Arial,Negrita"Diplomado en Finanzas Básicas
Profesor: Leonardo Sánchez Garrido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B3:D44"/>
  <sheetViews>
    <sheetView showGridLines="0" topLeftCell="A28" zoomScale="78" zoomScaleNormal="78" workbookViewId="0">
      <selection activeCell="B41" sqref="B41"/>
    </sheetView>
  </sheetViews>
  <sheetFormatPr baseColWidth="10" defaultRowHeight="15.75" x14ac:dyDescent="0.25"/>
  <cols>
    <col min="1" max="1" width="11.42578125" style="381"/>
    <col min="2" max="2" width="88.5703125" style="381" bestFit="1" customWidth="1"/>
    <col min="3" max="3" width="46.28515625" style="381" customWidth="1"/>
    <col min="4" max="4" width="40.28515625" style="381" customWidth="1"/>
    <col min="5" max="16384" width="11.42578125" style="381"/>
  </cols>
  <sheetData>
    <row r="3" spans="2:4" x14ac:dyDescent="0.25">
      <c r="B3" s="783" t="s">
        <v>1517</v>
      </c>
      <c r="C3" s="783"/>
      <c r="D3" s="783"/>
    </row>
    <row r="4" spans="2:4" x14ac:dyDescent="0.25">
      <c r="B4" s="382"/>
    </row>
    <row r="5" spans="2:4" x14ac:dyDescent="0.25">
      <c r="B5" s="379"/>
      <c r="C5" s="383" t="s">
        <v>1489</v>
      </c>
      <c r="D5" s="384">
        <f>+'Balance '!D77</f>
        <v>2000000000</v>
      </c>
    </row>
    <row r="6" spans="2:4" x14ac:dyDescent="0.25">
      <c r="B6" s="385"/>
      <c r="C6" s="386" t="s">
        <v>1490</v>
      </c>
      <c r="D6" s="380">
        <f>D5</f>
        <v>2000000000</v>
      </c>
    </row>
    <row r="7" spans="2:4" x14ac:dyDescent="0.25">
      <c r="B7" s="385"/>
      <c r="C7" s="383"/>
      <c r="D7" s="384"/>
    </row>
    <row r="8" spans="2:4" x14ac:dyDescent="0.25">
      <c r="B8" s="385"/>
      <c r="C8" s="383" t="s">
        <v>1491</v>
      </c>
      <c r="D8" s="384">
        <v>0</v>
      </c>
    </row>
    <row r="9" spans="2:4" x14ac:dyDescent="0.25">
      <c r="B9" s="385"/>
      <c r="C9" s="383" t="s">
        <v>1492</v>
      </c>
      <c r="D9" s="384">
        <v>0</v>
      </c>
    </row>
    <row r="10" spans="2:4" x14ac:dyDescent="0.25">
      <c r="B10" s="385"/>
      <c r="C10" s="386" t="s">
        <v>1493</v>
      </c>
      <c r="D10" s="380">
        <f>+'Balance '!D84</f>
        <v>2606636707</v>
      </c>
    </row>
    <row r="11" spans="2:4" x14ac:dyDescent="0.25">
      <c r="B11" s="380"/>
      <c r="C11" s="386" t="s">
        <v>1494</v>
      </c>
      <c r="D11" s="380">
        <f>D6+D10</f>
        <v>4606636707</v>
      </c>
    </row>
    <row r="13" spans="2:4" x14ac:dyDescent="0.25">
      <c r="B13" s="386" t="s">
        <v>1040</v>
      </c>
      <c r="C13" s="388">
        <f>+'Balance '!D209</f>
        <v>0.18</v>
      </c>
      <c r="D13" s="384"/>
    </row>
    <row r="14" spans="2:4" x14ac:dyDescent="0.25">
      <c r="B14" s="386" t="s">
        <v>1495</v>
      </c>
      <c r="C14" s="387">
        <v>0.09</v>
      </c>
      <c r="D14" s="384"/>
    </row>
    <row r="17" spans="2:4" x14ac:dyDescent="0.25">
      <c r="B17" s="382" t="s">
        <v>1496</v>
      </c>
    </row>
    <row r="19" spans="2:4" ht="16.5" thickBot="1" x14ac:dyDescent="0.3">
      <c r="B19" s="784" t="s">
        <v>1497</v>
      </c>
      <c r="C19" s="784"/>
    </row>
    <row r="20" spans="2:4" ht="16.5" thickTop="1" x14ac:dyDescent="0.25">
      <c r="B20" s="387" t="s">
        <v>1498</v>
      </c>
      <c r="C20" s="388">
        <f>+'Prestamo Créditos'!C8</f>
        <v>0.18</v>
      </c>
      <c r="D20" s="381" t="s">
        <v>1499</v>
      </c>
    </row>
    <row r="21" spans="2:4" x14ac:dyDescent="0.25">
      <c r="B21" s="389"/>
    </row>
    <row r="22" spans="2:4" x14ac:dyDescent="0.25">
      <c r="B22" s="387" t="s">
        <v>1500</v>
      </c>
      <c r="C22" s="390">
        <v>1.2</v>
      </c>
    </row>
    <row r="23" spans="2:4" x14ac:dyDescent="0.25">
      <c r="B23" s="387" t="s">
        <v>1501</v>
      </c>
      <c r="C23" s="388">
        <v>2.3E-2</v>
      </c>
    </row>
    <row r="24" spans="2:4" x14ac:dyDescent="0.25">
      <c r="B24" s="387" t="s">
        <v>1502</v>
      </c>
      <c r="C24" s="388">
        <v>4.7E-2</v>
      </c>
    </row>
    <row r="25" spans="2:4" x14ac:dyDescent="0.25">
      <c r="B25" s="391"/>
      <c r="C25" s="391"/>
    </row>
    <row r="28" spans="2:4" x14ac:dyDescent="0.25">
      <c r="B28" s="398" t="s">
        <v>1503</v>
      </c>
      <c r="C28" s="399"/>
    </row>
    <row r="29" spans="2:4" x14ac:dyDescent="0.25">
      <c r="B29" s="400" t="s">
        <v>1504</v>
      </c>
      <c r="C29" s="401">
        <f>+C39</f>
        <v>0.76727224573685093</v>
      </c>
    </row>
    <row r="30" spans="2:4" x14ac:dyDescent="0.25">
      <c r="B30" s="400" t="s">
        <v>1505</v>
      </c>
      <c r="C30" s="402">
        <f>1-C14</f>
        <v>0.91</v>
      </c>
    </row>
    <row r="31" spans="2:4" x14ac:dyDescent="0.25">
      <c r="B31" s="400" t="s">
        <v>1506</v>
      </c>
      <c r="C31" s="403">
        <f>1+C29*C30</f>
        <v>1.6982177436205343</v>
      </c>
      <c r="D31" s="381" t="s">
        <v>1507</v>
      </c>
    </row>
    <row r="32" spans="2:4" x14ac:dyDescent="0.25">
      <c r="B32" s="400" t="s">
        <v>1508</v>
      </c>
      <c r="C32" s="403">
        <f>+C22/C31</f>
        <v>0.70662316685117565</v>
      </c>
    </row>
    <row r="33" spans="2:4" x14ac:dyDescent="0.25">
      <c r="B33" s="400" t="s">
        <v>1509</v>
      </c>
      <c r="C33" s="404">
        <f>+C32*(1+C29*C30)</f>
        <v>1.2</v>
      </c>
    </row>
    <row r="34" spans="2:4" x14ac:dyDescent="0.25">
      <c r="B34" s="405"/>
      <c r="C34" s="405"/>
    </row>
    <row r="35" spans="2:4" x14ac:dyDescent="0.25">
      <c r="B35" s="398"/>
      <c r="C35" s="400"/>
      <c r="D35" s="392"/>
    </row>
    <row r="36" spans="2:4" x14ac:dyDescent="0.25">
      <c r="B36" s="398" t="s">
        <v>1510</v>
      </c>
      <c r="C36" s="406">
        <f>D6/D11</f>
        <v>0.43415622442310381</v>
      </c>
      <c r="D36" s="393"/>
    </row>
    <row r="37" spans="2:4" x14ac:dyDescent="0.25">
      <c r="B37" s="398" t="s">
        <v>1511</v>
      </c>
      <c r="C37" s="406">
        <f>D10/D11</f>
        <v>0.56584377557689614</v>
      </c>
      <c r="D37" s="393"/>
    </row>
    <row r="38" spans="2:4" x14ac:dyDescent="0.25">
      <c r="B38" s="398" t="s">
        <v>1247</v>
      </c>
      <c r="C38" s="406">
        <f>+C36+C37</f>
        <v>1</v>
      </c>
      <c r="D38" s="393"/>
    </row>
    <row r="39" spans="2:4" x14ac:dyDescent="0.25">
      <c r="B39" s="398" t="s">
        <v>1504</v>
      </c>
      <c r="C39" s="406">
        <f>+D6/D10</f>
        <v>0.76727224573685093</v>
      </c>
      <c r="D39" s="393"/>
    </row>
    <row r="40" spans="2:4" x14ac:dyDescent="0.25">
      <c r="B40" s="398" t="s">
        <v>1512</v>
      </c>
      <c r="C40" s="407">
        <f>$C$32*(1+C39*(1-$C$14))</f>
        <v>1.2</v>
      </c>
      <c r="D40" s="394"/>
    </row>
    <row r="41" spans="2:4" x14ac:dyDescent="0.25">
      <c r="B41" s="408" t="s">
        <v>1513</v>
      </c>
      <c r="C41" s="409">
        <f>$C$23+($C$24-$C$23)*C40</f>
        <v>5.1799999999999999E-2</v>
      </c>
      <c r="D41" s="395"/>
    </row>
    <row r="42" spans="2:4" x14ac:dyDescent="0.25">
      <c r="B42" s="410" t="s">
        <v>1514</v>
      </c>
      <c r="C42" s="411">
        <f>+'Balance '!D209</f>
        <v>0.18</v>
      </c>
      <c r="D42" s="395"/>
    </row>
    <row r="43" spans="2:4" x14ac:dyDescent="0.25">
      <c r="B43" s="410" t="s">
        <v>1515</v>
      </c>
      <c r="C43" s="411">
        <f>+C42*(1-$C$14)</f>
        <v>0.1638</v>
      </c>
      <c r="D43" s="396"/>
    </row>
    <row r="44" spans="2:4" x14ac:dyDescent="0.25">
      <c r="B44" s="410" t="s">
        <v>1516</v>
      </c>
      <c r="C44" s="698">
        <f>C43*C36+C37*C41</f>
        <v>0.10042549713538762</v>
      </c>
      <c r="D44" s="397"/>
    </row>
  </sheetData>
  <mergeCells count="2">
    <mergeCell ref="B3:D3"/>
    <mergeCell ref="B19:C19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B1:K38"/>
  <sheetViews>
    <sheetView topLeftCell="A13" workbookViewId="0">
      <selection activeCell="K23" sqref="K23"/>
    </sheetView>
  </sheetViews>
  <sheetFormatPr baseColWidth="10" defaultRowHeight="12.75" x14ac:dyDescent="0.2"/>
  <cols>
    <col min="1" max="2" width="11.42578125" style="208"/>
    <col min="3" max="3" width="14.85546875" style="208" bestFit="1" customWidth="1"/>
    <col min="4" max="4" width="9.42578125" style="208" bestFit="1" customWidth="1"/>
    <col min="5" max="6" width="13.7109375" style="208" bestFit="1" customWidth="1"/>
    <col min="7" max="7" width="18.28515625" style="208" bestFit="1" customWidth="1"/>
    <col min="8" max="8" width="14.85546875" style="208" bestFit="1" customWidth="1"/>
    <col min="9" max="9" width="12.85546875" style="208" customWidth="1"/>
    <col min="10" max="10" width="11.42578125" style="208"/>
    <col min="11" max="11" width="12.85546875" style="220" bestFit="1" customWidth="1"/>
    <col min="12" max="234" width="11.42578125" style="208"/>
    <col min="235" max="235" width="13.28515625" style="208" bestFit="1" customWidth="1"/>
    <col min="236" max="236" width="11.42578125" style="208"/>
    <col min="237" max="237" width="12.7109375" style="208" bestFit="1" customWidth="1"/>
    <col min="238" max="238" width="11.42578125" style="208"/>
    <col min="239" max="239" width="17.85546875" style="208" bestFit="1" customWidth="1"/>
    <col min="240" max="240" width="13.7109375" style="208" bestFit="1" customWidth="1"/>
    <col min="241" max="242" width="11.42578125" style="208"/>
    <col min="243" max="243" width="13.28515625" style="208" bestFit="1" customWidth="1"/>
    <col min="244" max="244" width="11.42578125" style="208"/>
    <col min="245" max="246" width="12.7109375" style="208" bestFit="1" customWidth="1"/>
    <col min="247" max="247" width="17.85546875" style="208" bestFit="1" customWidth="1"/>
    <col min="248" max="248" width="14.7109375" style="208" bestFit="1" customWidth="1"/>
    <col min="249" max="250" width="11.42578125" style="208"/>
    <col min="251" max="251" width="14.85546875" style="208" bestFit="1" customWidth="1"/>
    <col min="252" max="252" width="9.42578125" style="208" bestFit="1" customWidth="1"/>
    <col min="253" max="254" width="13.7109375" style="208" bestFit="1" customWidth="1"/>
    <col min="255" max="255" width="17.85546875" style="208" bestFit="1" customWidth="1"/>
    <col min="256" max="256" width="17" style="208" customWidth="1"/>
    <col min="257" max="257" width="12.85546875" style="208" customWidth="1"/>
    <col min="258" max="259" width="11.42578125" style="208"/>
    <col min="260" max="260" width="13.7109375" style="208" bestFit="1" customWidth="1"/>
    <col min="261" max="261" width="11.42578125" style="208"/>
    <col min="262" max="262" width="13.7109375" style="208" bestFit="1" customWidth="1"/>
    <col min="263" max="263" width="16" style="208" customWidth="1"/>
    <col min="264" max="264" width="18.85546875" style="208" customWidth="1"/>
    <col min="265" max="265" width="17" style="208" bestFit="1" customWidth="1"/>
    <col min="266" max="490" width="11.42578125" style="208"/>
    <col min="491" max="491" width="13.28515625" style="208" bestFit="1" customWidth="1"/>
    <col min="492" max="492" width="11.42578125" style="208"/>
    <col min="493" max="493" width="12.7109375" style="208" bestFit="1" customWidth="1"/>
    <col min="494" max="494" width="11.42578125" style="208"/>
    <col min="495" max="495" width="17.85546875" style="208" bestFit="1" customWidth="1"/>
    <col min="496" max="496" width="13.7109375" style="208" bestFit="1" customWidth="1"/>
    <col min="497" max="498" width="11.42578125" style="208"/>
    <col min="499" max="499" width="13.28515625" style="208" bestFit="1" customWidth="1"/>
    <col min="500" max="500" width="11.42578125" style="208"/>
    <col min="501" max="502" width="12.7109375" style="208" bestFit="1" customWidth="1"/>
    <col min="503" max="503" width="17.85546875" style="208" bestFit="1" customWidth="1"/>
    <col min="504" max="504" width="14.7109375" style="208" bestFit="1" customWidth="1"/>
    <col min="505" max="506" width="11.42578125" style="208"/>
    <col min="507" max="507" width="14.85546875" style="208" bestFit="1" customWidth="1"/>
    <col min="508" max="508" width="9.42578125" style="208" bestFit="1" customWidth="1"/>
    <col min="509" max="510" width="13.7109375" style="208" bestFit="1" customWidth="1"/>
    <col min="511" max="511" width="17.85546875" style="208" bestFit="1" customWidth="1"/>
    <col min="512" max="512" width="17" style="208" customWidth="1"/>
    <col min="513" max="513" width="12.85546875" style="208" customWidth="1"/>
    <col min="514" max="515" width="11.42578125" style="208"/>
    <col min="516" max="516" width="13.7109375" style="208" bestFit="1" customWidth="1"/>
    <col min="517" max="517" width="11.42578125" style="208"/>
    <col min="518" max="518" width="13.7109375" style="208" bestFit="1" customWidth="1"/>
    <col min="519" max="519" width="16" style="208" customWidth="1"/>
    <col min="520" max="520" width="18.85546875" style="208" customWidth="1"/>
    <col min="521" max="521" width="17" style="208" bestFit="1" customWidth="1"/>
    <col min="522" max="746" width="11.42578125" style="208"/>
    <col min="747" max="747" width="13.28515625" style="208" bestFit="1" customWidth="1"/>
    <col min="748" max="748" width="11.42578125" style="208"/>
    <col min="749" max="749" width="12.7109375" style="208" bestFit="1" customWidth="1"/>
    <col min="750" max="750" width="11.42578125" style="208"/>
    <col min="751" max="751" width="17.85546875" style="208" bestFit="1" customWidth="1"/>
    <col min="752" max="752" width="13.7109375" style="208" bestFit="1" customWidth="1"/>
    <col min="753" max="754" width="11.42578125" style="208"/>
    <col min="755" max="755" width="13.28515625" style="208" bestFit="1" customWidth="1"/>
    <col min="756" max="756" width="11.42578125" style="208"/>
    <col min="757" max="758" width="12.7109375" style="208" bestFit="1" customWidth="1"/>
    <col min="759" max="759" width="17.85546875" style="208" bestFit="1" customWidth="1"/>
    <col min="760" max="760" width="14.7109375" style="208" bestFit="1" customWidth="1"/>
    <col min="761" max="762" width="11.42578125" style="208"/>
    <col min="763" max="763" width="14.85546875" style="208" bestFit="1" customWidth="1"/>
    <col min="764" max="764" width="9.42578125" style="208" bestFit="1" customWidth="1"/>
    <col min="765" max="766" width="13.7109375" style="208" bestFit="1" customWidth="1"/>
    <col min="767" max="767" width="17.85546875" style="208" bestFit="1" customWidth="1"/>
    <col min="768" max="768" width="17" style="208" customWidth="1"/>
    <col min="769" max="769" width="12.85546875" style="208" customWidth="1"/>
    <col min="770" max="771" width="11.42578125" style="208"/>
    <col min="772" max="772" width="13.7109375" style="208" bestFit="1" customWidth="1"/>
    <col min="773" max="773" width="11.42578125" style="208"/>
    <col min="774" max="774" width="13.7109375" style="208" bestFit="1" customWidth="1"/>
    <col min="775" max="775" width="16" style="208" customWidth="1"/>
    <col min="776" max="776" width="18.85546875" style="208" customWidth="1"/>
    <col min="777" max="777" width="17" style="208" bestFit="1" customWidth="1"/>
    <col min="778" max="1002" width="11.42578125" style="208"/>
    <col min="1003" max="1003" width="13.28515625" style="208" bestFit="1" customWidth="1"/>
    <col min="1004" max="1004" width="11.42578125" style="208"/>
    <col min="1005" max="1005" width="12.7109375" style="208" bestFit="1" customWidth="1"/>
    <col min="1006" max="1006" width="11.42578125" style="208"/>
    <col min="1007" max="1007" width="17.85546875" style="208" bestFit="1" customWidth="1"/>
    <col min="1008" max="1008" width="13.7109375" style="208" bestFit="1" customWidth="1"/>
    <col min="1009" max="1010" width="11.42578125" style="208"/>
    <col min="1011" max="1011" width="13.28515625" style="208" bestFit="1" customWidth="1"/>
    <col min="1012" max="1012" width="11.42578125" style="208"/>
    <col min="1013" max="1014" width="12.7109375" style="208" bestFit="1" customWidth="1"/>
    <col min="1015" max="1015" width="17.85546875" style="208" bestFit="1" customWidth="1"/>
    <col min="1016" max="1016" width="14.7109375" style="208" bestFit="1" customWidth="1"/>
    <col min="1017" max="1018" width="11.42578125" style="208"/>
    <col min="1019" max="1019" width="14.85546875" style="208" bestFit="1" customWidth="1"/>
    <col min="1020" max="1020" width="9.42578125" style="208" bestFit="1" customWidth="1"/>
    <col min="1021" max="1022" width="13.7109375" style="208" bestFit="1" customWidth="1"/>
    <col min="1023" max="1023" width="17.85546875" style="208" bestFit="1" customWidth="1"/>
    <col min="1024" max="1024" width="17" style="208" customWidth="1"/>
    <col min="1025" max="1025" width="12.85546875" style="208" customWidth="1"/>
    <col min="1026" max="1027" width="11.42578125" style="208"/>
    <col min="1028" max="1028" width="13.7109375" style="208" bestFit="1" customWidth="1"/>
    <col min="1029" max="1029" width="11.42578125" style="208"/>
    <col min="1030" max="1030" width="13.7109375" style="208" bestFit="1" customWidth="1"/>
    <col min="1031" max="1031" width="16" style="208" customWidth="1"/>
    <col min="1032" max="1032" width="18.85546875" style="208" customWidth="1"/>
    <col min="1033" max="1033" width="17" style="208" bestFit="1" customWidth="1"/>
    <col min="1034" max="1258" width="11.42578125" style="208"/>
    <col min="1259" max="1259" width="13.28515625" style="208" bestFit="1" customWidth="1"/>
    <col min="1260" max="1260" width="11.42578125" style="208"/>
    <col min="1261" max="1261" width="12.7109375" style="208" bestFit="1" customWidth="1"/>
    <col min="1262" max="1262" width="11.42578125" style="208"/>
    <col min="1263" max="1263" width="17.85546875" style="208" bestFit="1" customWidth="1"/>
    <col min="1264" max="1264" width="13.7109375" style="208" bestFit="1" customWidth="1"/>
    <col min="1265" max="1266" width="11.42578125" style="208"/>
    <col min="1267" max="1267" width="13.28515625" style="208" bestFit="1" customWidth="1"/>
    <col min="1268" max="1268" width="11.42578125" style="208"/>
    <col min="1269" max="1270" width="12.7109375" style="208" bestFit="1" customWidth="1"/>
    <col min="1271" max="1271" width="17.85546875" style="208" bestFit="1" customWidth="1"/>
    <col min="1272" max="1272" width="14.7109375" style="208" bestFit="1" customWidth="1"/>
    <col min="1273" max="1274" width="11.42578125" style="208"/>
    <col min="1275" max="1275" width="14.85546875" style="208" bestFit="1" customWidth="1"/>
    <col min="1276" max="1276" width="9.42578125" style="208" bestFit="1" customWidth="1"/>
    <col min="1277" max="1278" width="13.7109375" style="208" bestFit="1" customWidth="1"/>
    <col min="1279" max="1279" width="17.85546875" style="208" bestFit="1" customWidth="1"/>
    <col min="1280" max="1280" width="17" style="208" customWidth="1"/>
    <col min="1281" max="1281" width="12.85546875" style="208" customWidth="1"/>
    <col min="1282" max="1283" width="11.42578125" style="208"/>
    <col min="1284" max="1284" width="13.7109375" style="208" bestFit="1" customWidth="1"/>
    <col min="1285" max="1285" width="11.42578125" style="208"/>
    <col min="1286" max="1286" width="13.7109375" style="208" bestFit="1" customWidth="1"/>
    <col min="1287" max="1287" width="16" style="208" customWidth="1"/>
    <col min="1288" max="1288" width="18.85546875" style="208" customWidth="1"/>
    <col min="1289" max="1289" width="17" style="208" bestFit="1" customWidth="1"/>
    <col min="1290" max="1514" width="11.42578125" style="208"/>
    <col min="1515" max="1515" width="13.28515625" style="208" bestFit="1" customWidth="1"/>
    <col min="1516" max="1516" width="11.42578125" style="208"/>
    <col min="1517" max="1517" width="12.7109375" style="208" bestFit="1" customWidth="1"/>
    <col min="1518" max="1518" width="11.42578125" style="208"/>
    <col min="1519" max="1519" width="17.85546875" style="208" bestFit="1" customWidth="1"/>
    <col min="1520" max="1520" width="13.7109375" style="208" bestFit="1" customWidth="1"/>
    <col min="1521" max="1522" width="11.42578125" style="208"/>
    <col min="1523" max="1523" width="13.28515625" style="208" bestFit="1" customWidth="1"/>
    <col min="1524" max="1524" width="11.42578125" style="208"/>
    <col min="1525" max="1526" width="12.7109375" style="208" bestFit="1" customWidth="1"/>
    <col min="1527" max="1527" width="17.85546875" style="208" bestFit="1" customWidth="1"/>
    <col min="1528" max="1528" width="14.7109375" style="208" bestFit="1" customWidth="1"/>
    <col min="1529" max="1530" width="11.42578125" style="208"/>
    <col min="1531" max="1531" width="14.85546875" style="208" bestFit="1" customWidth="1"/>
    <col min="1532" max="1532" width="9.42578125" style="208" bestFit="1" customWidth="1"/>
    <col min="1533" max="1534" width="13.7109375" style="208" bestFit="1" customWidth="1"/>
    <col min="1535" max="1535" width="17.85546875" style="208" bestFit="1" customWidth="1"/>
    <col min="1536" max="1536" width="17" style="208" customWidth="1"/>
    <col min="1537" max="1537" width="12.85546875" style="208" customWidth="1"/>
    <col min="1538" max="1539" width="11.42578125" style="208"/>
    <col min="1540" max="1540" width="13.7109375" style="208" bestFit="1" customWidth="1"/>
    <col min="1541" max="1541" width="11.42578125" style="208"/>
    <col min="1542" max="1542" width="13.7109375" style="208" bestFit="1" customWidth="1"/>
    <col min="1543" max="1543" width="16" style="208" customWidth="1"/>
    <col min="1544" max="1544" width="18.85546875" style="208" customWidth="1"/>
    <col min="1545" max="1545" width="17" style="208" bestFit="1" customWidth="1"/>
    <col min="1546" max="1770" width="11.42578125" style="208"/>
    <col min="1771" max="1771" width="13.28515625" style="208" bestFit="1" customWidth="1"/>
    <col min="1772" max="1772" width="11.42578125" style="208"/>
    <col min="1773" max="1773" width="12.7109375" style="208" bestFit="1" customWidth="1"/>
    <col min="1774" max="1774" width="11.42578125" style="208"/>
    <col min="1775" max="1775" width="17.85546875" style="208" bestFit="1" customWidth="1"/>
    <col min="1776" max="1776" width="13.7109375" style="208" bestFit="1" customWidth="1"/>
    <col min="1777" max="1778" width="11.42578125" style="208"/>
    <col min="1779" max="1779" width="13.28515625" style="208" bestFit="1" customWidth="1"/>
    <col min="1780" max="1780" width="11.42578125" style="208"/>
    <col min="1781" max="1782" width="12.7109375" style="208" bestFit="1" customWidth="1"/>
    <col min="1783" max="1783" width="17.85546875" style="208" bestFit="1" customWidth="1"/>
    <col min="1784" max="1784" width="14.7109375" style="208" bestFit="1" customWidth="1"/>
    <col min="1785" max="1786" width="11.42578125" style="208"/>
    <col min="1787" max="1787" width="14.85546875" style="208" bestFit="1" customWidth="1"/>
    <col min="1788" max="1788" width="9.42578125" style="208" bestFit="1" customWidth="1"/>
    <col min="1789" max="1790" width="13.7109375" style="208" bestFit="1" customWidth="1"/>
    <col min="1791" max="1791" width="17.85546875" style="208" bestFit="1" customWidth="1"/>
    <col min="1792" max="1792" width="17" style="208" customWidth="1"/>
    <col min="1793" max="1793" width="12.85546875" style="208" customWidth="1"/>
    <col min="1794" max="1795" width="11.42578125" style="208"/>
    <col min="1796" max="1796" width="13.7109375" style="208" bestFit="1" customWidth="1"/>
    <col min="1797" max="1797" width="11.42578125" style="208"/>
    <col min="1798" max="1798" width="13.7109375" style="208" bestFit="1" customWidth="1"/>
    <col min="1799" max="1799" width="16" style="208" customWidth="1"/>
    <col min="1800" max="1800" width="18.85546875" style="208" customWidth="1"/>
    <col min="1801" max="1801" width="17" style="208" bestFit="1" customWidth="1"/>
    <col min="1802" max="2026" width="11.42578125" style="208"/>
    <col min="2027" max="2027" width="13.28515625" style="208" bestFit="1" customWidth="1"/>
    <col min="2028" max="2028" width="11.42578125" style="208"/>
    <col min="2029" max="2029" width="12.7109375" style="208" bestFit="1" customWidth="1"/>
    <col min="2030" max="2030" width="11.42578125" style="208"/>
    <col min="2031" max="2031" width="17.85546875" style="208" bestFit="1" customWidth="1"/>
    <col min="2032" max="2032" width="13.7109375" style="208" bestFit="1" customWidth="1"/>
    <col min="2033" max="2034" width="11.42578125" style="208"/>
    <col min="2035" max="2035" width="13.28515625" style="208" bestFit="1" customWidth="1"/>
    <col min="2036" max="2036" width="11.42578125" style="208"/>
    <col min="2037" max="2038" width="12.7109375" style="208" bestFit="1" customWidth="1"/>
    <col min="2039" max="2039" width="17.85546875" style="208" bestFit="1" customWidth="1"/>
    <col min="2040" max="2040" width="14.7109375" style="208" bestFit="1" customWidth="1"/>
    <col min="2041" max="2042" width="11.42578125" style="208"/>
    <col min="2043" max="2043" width="14.85546875" style="208" bestFit="1" customWidth="1"/>
    <col min="2044" max="2044" width="9.42578125" style="208" bestFit="1" customWidth="1"/>
    <col min="2045" max="2046" width="13.7109375" style="208" bestFit="1" customWidth="1"/>
    <col min="2047" max="2047" width="17.85546875" style="208" bestFit="1" customWidth="1"/>
    <col min="2048" max="2048" width="17" style="208" customWidth="1"/>
    <col min="2049" max="2049" width="12.85546875" style="208" customWidth="1"/>
    <col min="2050" max="2051" width="11.42578125" style="208"/>
    <col min="2052" max="2052" width="13.7109375" style="208" bestFit="1" customWidth="1"/>
    <col min="2053" max="2053" width="11.42578125" style="208"/>
    <col min="2054" max="2054" width="13.7109375" style="208" bestFit="1" customWidth="1"/>
    <col min="2055" max="2055" width="16" style="208" customWidth="1"/>
    <col min="2056" max="2056" width="18.85546875" style="208" customWidth="1"/>
    <col min="2057" max="2057" width="17" style="208" bestFit="1" customWidth="1"/>
    <col min="2058" max="2282" width="11.42578125" style="208"/>
    <col min="2283" max="2283" width="13.28515625" style="208" bestFit="1" customWidth="1"/>
    <col min="2284" max="2284" width="11.42578125" style="208"/>
    <col min="2285" max="2285" width="12.7109375" style="208" bestFit="1" customWidth="1"/>
    <col min="2286" max="2286" width="11.42578125" style="208"/>
    <col min="2287" max="2287" width="17.85546875" style="208" bestFit="1" customWidth="1"/>
    <col min="2288" max="2288" width="13.7109375" style="208" bestFit="1" customWidth="1"/>
    <col min="2289" max="2290" width="11.42578125" style="208"/>
    <col min="2291" max="2291" width="13.28515625" style="208" bestFit="1" customWidth="1"/>
    <col min="2292" max="2292" width="11.42578125" style="208"/>
    <col min="2293" max="2294" width="12.7109375" style="208" bestFit="1" customWidth="1"/>
    <col min="2295" max="2295" width="17.85546875" style="208" bestFit="1" customWidth="1"/>
    <col min="2296" max="2296" width="14.7109375" style="208" bestFit="1" customWidth="1"/>
    <col min="2297" max="2298" width="11.42578125" style="208"/>
    <col min="2299" max="2299" width="14.85546875" style="208" bestFit="1" customWidth="1"/>
    <col min="2300" max="2300" width="9.42578125" style="208" bestFit="1" customWidth="1"/>
    <col min="2301" max="2302" width="13.7109375" style="208" bestFit="1" customWidth="1"/>
    <col min="2303" max="2303" width="17.85546875" style="208" bestFit="1" customWidth="1"/>
    <col min="2304" max="2304" width="17" style="208" customWidth="1"/>
    <col min="2305" max="2305" width="12.85546875" style="208" customWidth="1"/>
    <col min="2306" max="2307" width="11.42578125" style="208"/>
    <col min="2308" max="2308" width="13.7109375" style="208" bestFit="1" customWidth="1"/>
    <col min="2309" max="2309" width="11.42578125" style="208"/>
    <col min="2310" max="2310" width="13.7109375" style="208" bestFit="1" customWidth="1"/>
    <col min="2311" max="2311" width="16" style="208" customWidth="1"/>
    <col min="2312" max="2312" width="18.85546875" style="208" customWidth="1"/>
    <col min="2313" max="2313" width="17" style="208" bestFit="1" customWidth="1"/>
    <col min="2314" max="2538" width="11.42578125" style="208"/>
    <col min="2539" max="2539" width="13.28515625" style="208" bestFit="1" customWidth="1"/>
    <col min="2540" max="2540" width="11.42578125" style="208"/>
    <col min="2541" max="2541" width="12.7109375" style="208" bestFit="1" customWidth="1"/>
    <col min="2542" max="2542" width="11.42578125" style="208"/>
    <col min="2543" max="2543" width="17.85546875" style="208" bestFit="1" customWidth="1"/>
    <col min="2544" max="2544" width="13.7109375" style="208" bestFit="1" customWidth="1"/>
    <col min="2545" max="2546" width="11.42578125" style="208"/>
    <col min="2547" max="2547" width="13.28515625" style="208" bestFit="1" customWidth="1"/>
    <col min="2548" max="2548" width="11.42578125" style="208"/>
    <col min="2549" max="2550" width="12.7109375" style="208" bestFit="1" customWidth="1"/>
    <col min="2551" max="2551" width="17.85546875" style="208" bestFit="1" customWidth="1"/>
    <col min="2552" max="2552" width="14.7109375" style="208" bestFit="1" customWidth="1"/>
    <col min="2553" max="2554" width="11.42578125" style="208"/>
    <col min="2555" max="2555" width="14.85546875" style="208" bestFit="1" customWidth="1"/>
    <col min="2556" max="2556" width="9.42578125" style="208" bestFit="1" customWidth="1"/>
    <col min="2557" max="2558" width="13.7109375" style="208" bestFit="1" customWidth="1"/>
    <col min="2559" max="2559" width="17.85546875" style="208" bestFit="1" customWidth="1"/>
    <col min="2560" max="2560" width="17" style="208" customWidth="1"/>
    <col min="2561" max="2561" width="12.85546875" style="208" customWidth="1"/>
    <col min="2562" max="2563" width="11.42578125" style="208"/>
    <col min="2564" max="2564" width="13.7109375" style="208" bestFit="1" customWidth="1"/>
    <col min="2565" max="2565" width="11.42578125" style="208"/>
    <col min="2566" max="2566" width="13.7109375" style="208" bestFit="1" customWidth="1"/>
    <col min="2567" max="2567" width="16" style="208" customWidth="1"/>
    <col min="2568" max="2568" width="18.85546875" style="208" customWidth="1"/>
    <col min="2569" max="2569" width="17" style="208" bestFit="1" customWidth="1"/>
    <col min="2570" max="2794" width="11.42578125" style="208"/>
    <col min="2795" max="2795" width="13.28515625" style="208" bestFit="1" customWidth="1"/>
    <col min="2796" max="2796" width="11.42578125" style="208"/>
    <col min="2797" max="2797" width="12.7109375" style="208" bestFit="1" customWidth="1"/>
    <col min="2798" max="2798" width="11.42578125" style="208"/>
    <col min="2799" max="2799" width="17.85546875" style="208" bestFit="1" customWidth="1"/>
    <col min="2800" max="2800" width="13.7109375" style="208" bestFit="1" customWidth="1"/>
    <col min="2801" max="2802" width="11.42578125" style="208"/>
    <col min="2803" max="2803" width="13.28515625" style="208" bestFit="1" customWidth="1"/>
    <col min="2804" max="2804" width="11.42578125" style="208"/>
    <col min="2805" max="2806" width="12.7109375" style="208" bestFit="1" customWidth="1"/>
    <col min="2807" max="2807" width="17.85546875" style="208" bestFit="1" customWidth="1"/>
    <col min="2808" max="2808" width="14.7109375" style="208" bestFit="1" customWidth="1"/>
    <col min="2809" max="2810" width="11.42578125" style="208"/>
    <col min="2811" max="2811" width="14.85546875" style="208" bestFit="1" customWidth="1"/>
    <col min="2812" max="2812" width="9.42578125" style="208" bestFit="1" customWidth="1"/>
    <col min="2813" max="2814" width="13.7109375" style="208" bestFit="1" customWidth="1"/>
    <col min="2815" max="2815" width="17.85546875" style="208" bestFit="1" customWidth="1"/>
    <col min="2816" max="2816" width="17" style="208" customWidth="1"/>
    <col min="2817" max="2817" width="12.85546875" style="208" customWidth="1"/>
    <col min="2818" max="2819" width="11.42578125" style="208"/>
    <col min="2820" max="2820" width="13.7109375" style="208" bestFit="1" customWidth="1"/>
    <col min="2821" max="2821" width="11.42578125" style="208"/>
    <col min="2822" max="2822" width="13.7109375" style="208" bestFit="1" customWidth="1"/>
    <col min="2823" max="2823" width="16" style="208" customWidth="1"/>
    <col min="2824" max="2824" width="18.85546875" style="208" customWidth="1"/>
    <col min="2825" max="2825" width="17" style="208" bestFit="1" customWidth="1"/>
    <col min="2826" max="3050" width="11.42578125" style="208"/>
    <col min="3051" max="3051" width="13.28515625" style="208" bestFit="1" customWidth="1"/>
    <col min="3052" max="3052" width="11.42578125" style="208"/>
    <col min="3053" max="3053" width="12.7109375" style="208" bestFit="1" customWidth="1"/>
    <col min="3054" max="3054" width="11.42578125" style="208"/>
    <col min="3055" max="3055" width="17.85546875" style="208" bestFit="1" customWidth="1"/>
    <col min="3056" max="3056" width="13.7109375" style="208" bestFit="1" customWidth="1"/>
    <col min="3057" max="3058" width="11.42578125" style="208"/>
    <col min="3059" max="3059" width="13.28515625" style="208" bestFit="1" customWidth="1"/>
    <col min="3060" max="3060" width="11.42578125" style="208"/>
    <col min="3061" max="3062" width="12.7109375" style="208" bestFit="1" customWidth="1"/>
    <col min="3063" max="3063" width="17.85546875" style="208" bestFit="1" customWidth="1"/>
    <col min="3064" max="3064" width="14.7109375" style="208" bestFit="1" customWidth="1"/>
    <col min="3065" max="3066" width="11.42578125" style="208"/>
    <col min="3067" max="3067" width="14.85546875" style="208" bestFit="1" customWidth="1"/>
    <col min="3068" max="3068" width="9.42578125" style="208" bestFit="1" customWidth="1"/>
    <col min="3069" max="3070" width="13.7109375" style="208" bestFit="1" customWidth="1"/>
    <col min="3071" max="3071" width="17.85546875" style="208" bestFit="1" customWidth="1"/>
    <col min="3072" max="3072" width="17" style="208" customWidth="1"/>
    <col min="3073" max="3073" width="12.85546875" style="208" customWidth="1"/>
    <col min="3074" max="3075" width="11.42578125" style="208"/>
    <col min="3076" max="3076" width="13.7109375" style="208" bestFit="1" customWidth="1"/>
    <col min="3077" max="3077" width="11.42578125" style="208"/>
    <col min="3078" max="3078" width="13.7109375" style="208" bestFit="1" customWidth="1"/>
    <col min="3079" max="3079" width="16" style="208" customWidth="1"/>
    <col min="3080" max="3080" width="18.85546875" style="208" customWidth="1"/>
    <col min="3081" max="3081" width="17" style="208" bestFit="1" customWidth="1"/>
    <col min="3082" max="3306" width="11.42578125" style="208"/>
    <col min="3307" max="3307" width="13.28515625" style="208" bestFit="1" customWidth="1"/>
    <col min="3308" max="3308" width="11.42578125" style="208"/>
    <col min="3309" max="3309" width="12.7109375" style="208" bestFit="1" customWidth="1"/>
    <col min="3310" max="3310" width="11.42578125" style="208"/>
    <col min="3311" max="3311" width="17.85546875" style="208" bestFit="1" customWidth="1"/>
    <col min="3312" max="3312" width="13.7109375" style="208" bestFit="1" customWidth="1"/>
    <col min="3313" max="3314" width="11.42578125" style="208"/>
    <col min="3315" max="3315" width="13.28515625" style="208" bestFit="1" customWidth="1"/>
    <col min="3316" max="3316" width="11.42578125" style="208"/>
    <col min="3317" max="3318" width="12.7109375" style="208" bestFit="1" customWidth="1"/>
    <col min="3319" max="3319" width="17.85546875" style="208" bestFit="1" customWidth="1"/>
    <col min="3320" max="3320" width="14.7109375" style="208" bestFit="1" customWidth="1"/>
    <col min="3321" max="3322" width="11.42578125" style="208"/>
    <col min="3323" max="3323" width="14.85546875" style="208" bestFit="1" customWidth="1"/>
    <col min="3324" max="3324" width="9.42578125" style="208" bestFit="1" customWidth="1"/>
    <col min="3325" max="3326" width="13.7109375" style="208" bestFit="1" customWidth="1"/>
    <col min="3327" max="3327" width="17.85546875" style="208" bestFit="1" customWidth="1"/>
    <col min="3328" max="3328" width="17" style="208" customWidth="1"/>
    <col min="3329" max="3329" width="12.85546875" style="208" customWidth="1"/>
    <col min="3330" max="3331" width="11.42578125" style="208"/>
    <col min="3332" max="3332" width="13.7109375" style="208" bestFit="1" customWidth="1"/>
    <col min="3333" max="3333" width="11.42578125" style="208"/>
    <col min="3334" max="3334" width="13.7109375" style="208" bestFit="1" customWidth="1"/>
    <col min="3335" max="3335" width="16" style="208" customWidth="1"/>
    <col min="3336" max="3336" width="18.85546875" style="208" customWidth="1"/>
    <col min="3337" max="3337" width="17" style="208" bestFit="1" customWidth="1"/>
    <col min="3338" max="3562" width="11.42578125" style="208"/>
    <col min="3563" max="3563" width="13.28515625" style="208" bestFit="1" customWidth="1"/>
    <col min="3564" max="3564" width="11.42578125" style="208"/>
    <col min="3565" max="3565" width="12.7109375" style="208" bestFit="1" customWidth="1"/>
    <col min="3566" max="3566" width="11.42578125" style="208"/>
    <col min="3567" max="3567" width="17.85546875" style="208" bestFit="1" customWidth="1"/>
    <col min="3568" max="3568" width="13.7109375" style="208" bestFit="1" customWidth="1"/>
    <col min="3569" max="3570" width="11.42578125" style="208"/>
    <col min="3571" max="3571" width="13.28515625" style="208" bestFit="1" customWidth="1"/>
    <col min="3572" max="3572" width="11.42578125" style="208"/>
    <col min="3573" max="3574" width="12.7109375" style="208" bestFit="1" customWidth="1"/>
    <col min="3575" max="3575" width="17.85546875" style="208" bestFit="1" customWidth="1"/>
    <col min="3576" max="3576" width="14.7109375" style="208" bestFit="1" customWidth="1"/>
    <col min="3577" max="3578" width="11.42578125" style="208"/>
    <col min="3579" max="3579" width="14.85546875" style="208" bestFit="1" customWidth="1"/>
    <col min="3580" max="3580" width="9.42578125" style="208" bestFit="1" customWidth="1"/>
    <col min="3581" max="3582" width="13.7109375" style="208" bestFit="1" customWidth="1"/>
    <col min="3583" max="3583" width="17.85546875" style="208" bestFit="1" customWidth="1"/>
    <col min="3584" max="3584" width="17" style="208" customWidth="1"/>
    <col min="3585" max="3585" width="12.85546875" style="208" customWidth="1"/>
    <col min="3586" max="3587" width="11.42578125" style="208"/>
    <col min="3588" max="3588" width="13.7109375" style="208" bestFit="1" customWidth="1"/>
    <col min="3589" max="3589" width="11.42578125" style="208"/>
    <col min="3590" max="3590" width="13.7109375" style="208" bestFit="1" customWidth="1"/>
    <col min="3591" max="3591" width="16" style="208" customWidth="1"/>
    <col min="3592" max="3592" width="18.85546875" style="208" customWidth="1"/>
    <col min="3593" max="3593" width="17" style="208" bestFit="1" customWidth="1"/>
    <col min="3594" max="3818" width="11.42578125" style="208"/>
    <col min="3819" max="3819" width="13.28515625" style="208" bestFit="1" customWidth="1"/>
    <col min="3820" max="3820" width="11.42578125" style="208"/>
    <col min="3821" max="3821" width="12.7109375" style="208" bestFit="1" customWidth="1"/>
    <col min="3822" max="3822" width="11.42578125" style="208"/>
    <col min="3823" max="3823" width="17.85546875" style="208" bestFit="1" customWidth="1"/>
    <col min="3824" max="3824" width="13.7109375" style="208" bestFit="1" customWidth="1"/>
    <col min="3825" max="3826" width="11.42578125" style="208"/>
    <col min="3827" max="3827" width="13.28515625" style="208" bestFit="1" customWidth="1"/>
    <col min="3828" max="3828" width="11.42578125" style="208"/>
    <col min="3829" max="3830" width="12.7109375" style="208" bestFit="1" customWidth="1"/>
    <col min="3831" max="3831" width="17.85546875" style="208" bestFit="1" customWidth="1"/>
    <col min="3832" max="3832" width="14.7109375" style="208" bestFit="1" customWidth="1"/>
    <col min="3833" max="3834" width="11.42578125" style="208"/>
    <col min="3835" max="3835" width="14.85546875" style="208" bestFit="1" customWidth="1"/>
    <col min="3836" max="3836" width="9.42578125" style="208" bestFit="1" customWidth="1"/>
    <col min="3837" max="3838" width="13.7109375" style="208" bestFit="1" customWidth="1"/>
    <col min="3839" max="3839" width="17.85546875" style="208" bestFit="1" customWidth="1"/>
    <col min="3840" max="3840" width="17" style="208" customWidth="1"/>
    <col min="3841" max="3841" width="12.85546875" style="208" customWidth="1"/>
    <col min="3842" max="3843" width="11.42578125" style="208"/>
    <col min="3844" max="3844" width="13.7109375" style="208" bestFit="1" customWidth="1"/>
    <col min="3845" max="3845" width="11.42578125" style="208"/>
    <col min="3846" max="3846" width="13.7109375" style="208" bestFit="1" customWidth="1"/>
    <col min="3847" max="3847" width="16" style="208" customWidth="1"/>
    <col min="3848" max="3848" width="18.85546875" style="208" customWidth="1"/>
    <col min="3849" max="3849" width="17" style="208" bestFit="1" customWidth="1"/>
    <col min="3850" max="4074" width="11.42578125" style="208"/>
    <col min="4075" max="4075" width="13.28515625" style="208" bestFit="1" customWidth="1"/>
    <col min="4076" max="4076" width="11.42578125" style="208"/>
    <col min="4077" max="4077" width="12.7109375" style="208" bestFit="1" customWidth="1"/>
    <col min="4078" max="4078" width="11.42578125" style="208"/>
    <col min="4079" max="4079" width="17.85546875" style="208" bestFit="1" customWidth="1"/>
    <col min="4080" max="4080" width="13.7109375" style="208" bestFit="1" customWidth="1"/>
    <col min="4081" max="4082" width="11.42578125" style="208"/>
    <col min="4083" max="4083" width="13.28515625" style="208" bestFit="1" customWidth="1"/>
    <col min="4084" max="4084" width="11.42578125" style="208"/>
    <col min="4085" max="4086" width="12.7109375" style="208" bestFit="1" customWidth="1"/>
    <col min="4087" max="4087" width="17.85546875" style="208" bestFit="1" customWidth="1"/>
    <col min="4088" max="4088" width="14.7109375" style="208" bestFit="1" customWidth="1"/>
    <col min="4089" max="4090" width="11.42578125" style="208"/>
    <col min="4091" max="4091" width="14.85546875" style="208" bestFit="1" customWidth="1"/>
    <col min="4092" max="4092" width="9.42578125" style="208" bestFit="1" customWidth="1"/>
    <col min="4093" max="4094" width="13.7109375" style="208" bestFit="1" customWidth="1"/>
    <col min="4095" max="4095" width="17.85546875" style="208" bestFit="1" customWidth="1"/>
    <col min="4096" max="4096" width="17" style="208" customWidth="1"/>
    <col min="4097" max="4097" width="12.85546875" style="208" customWidth="1"/>
    <col min="4098" max="4099" width="11.42578125" style="208"/>
    <col min="4100" max="4100" width="13.7109375" style="208" bestFit="1" customWidth="1"/>
    <col min="4101" max="4101" width="11.42578125" style="208"/>
    <col min="4102" max="4102" width="13.7109375" style="208" bestFit="1" customWidth="1"/>
    <col min="4103" max="4103" width="16" style="208" customWidth="1"/>
    <col min="4104" max="4104" width="18.85546875" style="208" customWidth="1"/>
    <col min="4105" max="4105" width="17" style="208" bestFit="1" customWidth="1"/>
    <col min="4106" max="4330" width="11.42578125" style="208"/>
    <col min="4331" max="4331" width="13.28515625" style="208" bestFit="1" customWidth="1"/>
    <col min="4332" max="4332" width="11.42578125" style="208"/>
    <col min="4333" max="4333" width="12.7109375" style="208" bestFit="1" customWidth="1"/>
    <col min="4334" max="4334" width="11.42578125" style="208"/>
    <col min="4335" max="4335" width="17.85546875" style="208" bestFit="1" customWidth="1"/>
    <col min="4336" max="4336" width="13.7109375" style="208" bestFit="1" customWidth="1"/>
    <col min="4337" max="4338" width="11.42578125" style="208"/>
    <col min="4339" max="4339" width="13.28515625" style="208" bestFit="1" customWidth="1"/>
    <col min="4340" max="4340" width="11.42578125" style="208"/>
    <col min="4341" max="4342" width="12.7109375" style="208" bestFit="1" customWidth="1"/>
    <col min="4343" max="4343" width="17.85546875" style="208" bestFit="1" customWidth="1"/>
    <col min="4344" max="4344" width="14.7109375" style="208" bestFit="1" customWidth="1"/>
    <col min="4345" max="4346" width="11.42578125" style="208"/>
    <col min="4347" max="4347" width="14.85546875" style="208" bestFit="1" customWidth="1"/>
    <col min="4348" max="4348" width="9.42578125" style="208" bestFit="1" customWidth="1"/>
    <col min="4349" max="4350" width="13.7109375" style="208" bestFit="1" customWidth="1"/>
    <col min="4351" max="4351" width="17.85546875" style="208" bestFit="1" customWidth="1"/>
    <col min="4352" max="4352" width="17" style="208" customWidth="1"/>
    <col min="4353" max="4353" width="12.85546875" style="208" customWidth="1"/>
    <col min="4354" max="4355" width="11.42578125" style="208"/>
    <col min="4356" max="4356" width="13.7109375" style="208" bestFit="1" customWidth="1"/>
    <col min="4357" max="4357" width="11.42578125" style="208"/>
    <col min="4358" max="4358" width="13.7109375" style="208" bestFit="1" customWidth="1"/>
    <col min="4359" max="4359" width="16" style="208" customWidth="1"/>
    <col min="4360" max="4360" width="18.85546875" style="208" customWidth="1"/>
    <col min="4361" max="4361" width="17" style="208" bestFit="1" customWidth="1"/>
    <col min="4362" max="4586" width="11.42578125" style="208"/>
    <col min="4587" max="4587" width="13.28515625" style="208" bestFit="1" customWidth="1"/>
    <col min="4588" max="4588" width="11.42578125" style="208"/>
    <col min="4589" max="4589" width="12.7109375" style="208" bestFit="1" customWidth="1"/>
    <col min="4590" max="4590" width="11.42578125" style="208"/>
    <col min="4591" max="4591" width="17.85546875" style="208" bestFit="1" customWidth="1"/>
    <col min="4592" max="4592" width="13.7109375" style="208" bestFit="1" customWidth="1"/>
    <col min="4593" max="4594" width="11.42578125" style="208"/>
    <col min="4595" max="4595" width="13.28515625" style="208" bestFit="1" customWidth="1"/>
    <col min="4596" max="4596" width="11.42578125" style="208"/>
    <col min="4597" max="4598" width="12.7109375" style="208" bestFit="1" customWidth="1"/>
    <col min="4599" max="4599" width="17.85546875" style="208" bestFit="1" customWidth="1"/>
    <col min="4600" max="4600" width="14.7109375" style="208" bestFit="1" customWidth="1"/>
    <col min="4601" max="4602" width="11.42578125" style="208"/>
    <col min="4603" max="4603" width="14.85546875" style="208" bestFit="1" customWidth="1"/>
    <col min="4604" max="4604" width="9.42578125" style="208" bestFit="1" customWidth="1"/>
    <col min="4605" max="4606" width="13.7109375" style="208" bestFit="1" customWidth="1"/>
    <col min="4607" max="4607" width="17.85546875" style="208" bestFit="1" customWidth="1"/>
    <col min="4608" max="4608" width="17" style="208" customWidth="1"/>
    <col min="4609" max="4609" width="12.85546875" style="208" customWidth="1"/>
    <col min="4610" max="4611" width="11.42578125" style="208"/>
    <col min="4612" max="4612" width="13.7109375" style="208" bestFit="1" customWidth="1"/>
    <col min="4613" max="4613" width="11.42578125" style="208"/>
    <col min="4614" max="4614" width="13.7109375" style="208" bestFit="1" customWidth="1"/>
    <col min="4615" max="4615" width="16" style="208" customWidth="1"/>
    <col min="4616" max="4616" width="18.85546875" style="208" customWidth="1"/>
    <col min="4617" max="4617" width="17" style="208" bestFit="1" customWidth="1"/>
    <col min="4618" max="4842" width="11.42578125" style="208"/>
    <col min="4843" max="4843" width="13.28515625" style="208" bestFit="1" customWidth="1"/>
    <col min="4844" max="4844" width="11.42578125" style="208"/>
    <col min="4845" max="4845" width="12.7109375" style="208" bestFit="1" customWidth="1"/>
    <col min="4846" max="4846" width="11.42578125" style="208"/>
    <col min="4847" max="4847" width="17.85546875" style="208" bestFit="1" customWidth="1"/>
    <col min="4848" max="4848" width="13.7109375" style="208" bestFit="1" customWidth="1"/>
    <col min="4849" max="4850" width="11.42578125" style="208"/>
    <col min="4851" max="4851" width="13.28515625" style="208" bestFit="1" customWidth="1"/>
    <col min="4852" max="4852" width="11.42578125" style="208"/>
    <col min="4853" max="4854" width="12.7109375" style="208" bestFit="1" customWidth="1"/>
    <col min="4855" max="4855" width="17.85546875" style="208" bestFit="1" customWidth="1"/>
    <col min="4856" max="4856" width="14.7109375" style="208" bestFit="1" customWidth="1"/>
    <col min="4857" max="4858" width="11.42578125" style="208"/>
    <col min="4859" max="4859" width="14.85546875" style="208" bestFit="1" customWidth="1"/>
    <col min="4860" max="4860" width="9.42578125" style="208" bestFit="1" customWidth="1"/>
    <col min="4861" max="4862" width="13.7109375" style="208" bestFit="1" customWidth="1"/>
    <col min="4863" max="4863" width="17.85546875" style="208" bestFit="1" customWidth="1"/>
    <col min="4864" max="4864" width="17" style="208" customWidth="1"/>
    <col min="4865" max="4865" width="12.85546875" style="208" customWidth="1"/>
    <col min="4866" max="4867" width="11.42578125" style="208"/>
    <col min="4868" max="4868" width="13.7109375" style="208" bestFit="1" customWidth="1"/>
    <col min="4869" max="4869" width="11.42578125" style="208"/>
    <col min="4870" max="4870" width="13.7109375" style="208" bestFit="1" customWidth="1"/>
    <col min="4871" max="4871" width="16" style="208" customWidth="1"/>
    <col min="4872" max="4872" width="18.85546875" style="208" customWidth="1"/>
    <col min="4873" max="4873" width="17" style="208" bestFit="1" customWidth="1"/>
    <col min="4874" max="5098" width="11.42578125" style="208"/>
    <col min="5099" max="5099" width="13.28515625" style="208" bestFit="1" customWidth="1"/>
    <col min="5100" max="5100" width="11.42578125" style="208"/>
    <col min="5101" max="5101" width="12.7109375" style="208" bestFit="1" customWidth="1"/>
    <col min="5102" max="5102" width="11.42578125" style="208"/>
    <col min="5103" max="5103" width="17.85546875" style="208" bestFit="1" customWidth="1"/>
    <col min="5104" max="5104" width="13.7109375" style="208" bestFit="1" customWidth="1"/>
    <col min="5105" max="5106" width="11.42578125" style="208"/>
    <col min="5107" max="5107" width="13.28515625" style="208" bestFit="1" customWidth="1"/>
    <col min="5108" max="5108" width="11.42578125" style="208"/>
    <col min="5109" max="5110" width="12.7109375" style="208" bestFit="1" customWidth="1"/>
    <col min="5111" max="5111" width="17.85546875" style="208" bestFit="1" customWidth="1"/>
    <col min="5112" max="5112" width="14.7109375" style="208" bestFit="1" customWidth="1"/>
    <col min="5113" max="5114" width="11.42578125" style="208"/>
    <col min="5115" max="5115" width="14.85546875" style="208" bestFit="1" customWidth="1"/>
    <col min="5116" max="5116" width="9.42578125" style="208" bestFit="1" customWidth="1"/>
    <col min="5117" max="5118" width="13.7109375" style="208" bestFit="1" customWidth="1"/>
    <col min="5119" max="5119" width="17.85546875" style="208" bestFit="1" customWidth="1"/>
    <col min="5120" max="5120" width="17" style="208" customWidth="1"/>
    <col min="5121" max="5121" width="12.85546875" style="208" customWidth="1"/>
    <col min="5122" max="5123" width="11.42578125" style="208"/>
    <col min="5124" max="5124" width="13.7109375" style="208" bestFit="1" customWidth="1"/>
    <col min="5125" max="5125" width="11.42578125" style="208"/>
    <col min="5126" max="5126" width="13.7109375" style="208" bestFit="1" customWidth="1"/>
    <col min="5127" max="5127" width="16" style="208" customWidth="1"/>
    <col min="5128" max="5128" width="18.85546875" style="208" customWidth="1"/>
    <col min="5129" max="5129" width="17" style="208" bestFit="1" customWidth="1"/>
    <col min="5130" max="5354" width="11.42578125" style="208"/>
    <col min="5355" max="5355" width="13.28515625" style="208" bestFit="1" customWidth="1"/>
    <col min="5356" max="5356" width="11.42578125" style="208"/>
    <col min="5357" max="5357" width="12.7109375" style="208" bestFit="1" customWidth="1"/>
    <col min="5358" max="5358" width="11.42578125" style="208"/>
    <col min="5359" max="5359" width="17.85546875" style="208" bestFit="1" customWidth="1"/>
    <col min="5360" max="5360" width="13.7109375" style="208" bestFit="1" customWidth="1"/>
    <col min="5361" max="5362" width="11.42578125" style="208"/>
    <col min="5363" max="5363" width="13.28515625" style="208" bestFit="1" customWidth="1"/>
    <col min="5364" max="5364" width="11.42578125" style="208"/>
    <col min="5365" max="5366" width="12.7109375" style="208" bestFit="1" customWidth="1"/>
    <col min="5367" max="5367" width="17.85546875" style="208" bestFit="1" customWidth="1"/>
    <col min="5368" max="5368" width="14.7109375" style="208" bestFit="1" customWidth="1"/>
    <col min="5369" max="5370" width="11.42578125" style="208"/>
    <col min="5371" max="5371" width="14.85546875" style="208" bestFit="1" customWidth="1"/>
    <col min="5372" max="5372" width="9.42578125" style="208" bestFit="1" customWidth="1"/>
    <col min="5373" max="5374" width="13.7109375" style="208" bestFit="1" customWidth="1"/>
    <col min="5375" max="5375" width="17.85546875" style="208" bestFit="1" customWidth="1"/>
    <col min="5376" max="5376" width="17" style="208" customWidth="1"/>
    <col min="5377" max="5377" width="12.85546875" style="208" customWidth="1"/>
    <col min="5378" max="5379" width="11.42578125" style="208"/>
    <col min="5380" max="5380" width="13.7109375" style="208" bestFit="1" customWidth="1"/>
    <col min="5381" max="5381" width="11.42578125" style="208"/>
    <col min="5382" max="5382" width="13.7109375" style="208" bestFit="1" customWidth="1"/>
    <col min="5383" max="5383" width="16" style="208" customWidth="1"/>
    <col min="5384" max="5384" width="18.85546875" style="208" customWidth="1"/>
    <col min="5385" max="5385" width="17" style="208" bestFit="1" customWidth="1"/>
    <col min="5386" max="5610" width="11.42578125" style="208"/>
    <col min="5611" max="5611" width="13.28515625" style="208" bestFit="1" customWidth="1"/>
    <col min="5612" max="5612" width="11.42578125" style="208"/>
    <col min="5613" max="5613" width="12.7109375" style="208" bestFit="1" customWidth="1"/>
    <col min="5614" max="5614" width="11.42578125" style="208"/>
    <col min="5615" max="5615" width="17.85546875" style="208" bestFit="1" customWidth="1"/>
    <col min="5616" max="5616" width="13.7109375" style="208" bestFit="1" customWidth="1"/>
    <col min="5617" max="5618" width="11.42578125" style="208"/>
    <col min="5619" max="5619" width="13.28515625" style="208" bestFit="1" customWidth="1"/>
    <col min="5620" max="5620" width="11.42578125" style="208"/>
    <col min="5621" max="5622" width="12.7109375" style="208" bestFit="1" customWidth="1"/>
    <col min="5623" max="5623" width="17.85546875" style="208" bestFit="1" customWidth="1"/>
    <col min="5624" max="5624" width="14.7109375" style="208" bestFit="1" customWidth="1"/>
    <col min="5625" max="5626" width="11.42578125" style="208"/>
    <col min="5627" max="5627" width="14.85546875" style="208" bestFit="1" customWidth="1"/>
    <col min="5628" max="5628" width="9.42578125" style="208" bestFit="1" customWidth="1"/>
    <col min="5629" max="5630" width="13.7109375" style="208" bestFit="1" customWidth="1"/>
    <col min="5631" max="5631" width="17.85546875" style="208" bestFit="1" customWidth="1"/>
    <col min="5632" max="5632" width="17" style="208" customWidth="1"/>
    <col min="5633" max="5633" width="12.85546875" style="208" customWidth="1"/>
    <col min="5634" max="5635" width="11.42578125" style="208"/>
    <col min="5636" max="5636" width="13.7109375" style="208" bestFit="1" customWidth="1"/>
    <col min="5637" max="5637" width="11.42578125" style="208"/>
    <col min="5638" max="5638" width="13.7109375" style="208" bestFit="1" customWidth="1"/>
    <col min="5639" max="5639" width="16" style="208" customWidth="1"/>
    <col min="5640" max="5640" width="18.85546875" style="208" customWidth="1"/>
    <col min="5641" max="5641" width="17" style="208" bestFit="1" customWidth="1"/>
    <col min="5642" max="5866" width="11.42578125" style="208"/>
    <col min="5867" max="5867" width="13.28515625" style="208" bestFit="1" customWidth="1"/>
    <col min="5868" max="5868" width="11.42578125" style="208"/>
    <col min="5869" max="5869" width="12.7109375" style="208" bestFit="1" customWidth="1"/>
    <col min="5870" max="5870" width="11.42578125" style="208"/>
    <col min="5871" max="5871" width="17.85546875" style="208" bestFit="1" customWidth="1"/>
    <col min="5872" max="5872" width="13.7109375" style="208" bestFit="1" customWidth="1"/>
    <col min="5873" max="5874" width="11.42578125" style="208"/>
    <col min="5875" max="5875" width="13.28515625" style="208" bestFit="1" customWidth="1"/>
    <col min="5876" max="5876" width="11.42578125" style="208"/>
    <col min="5877" max="5878" width="12.7109375" style="208" bestFit="1" customWidth="1"/>
    <col min="5879" max="5879" width="17.85546875" style="208" bestFit="1" customWidth="1"/>
    <col min="5880" max="5880" width="14.7109375" style="208" bestFit="1" customWidth="1"/>
    <col min="5881" max="5882" width="11.42578125" style="208"/>
    <col min="5883" max="5883" width="14.85546875" style="208" bestFit="1" customWidth="1"/>
    <col min="5884" max="5884" width="9.42578125" style="208" bestFit="1" customWidth="1"/>
    <col min="5885" max="5886" width="13.7109375" style="208" bestFit="1" customWidth="1"/>
    <col min="5887" max="5887" width="17.85546875" style="208" bestFit="1" customWidth="1"/>
    <col min="5888" max="5888" width="17" style="208" customWidth="1"/>
    <col min="5889" max="5889" width="12.85546875" style="208" customWidth="1"/>
    <col min="5890" max="5891" width="11.42578125" style="208"/>
    <col min="5892" max="5892" width="13.7109375" style="208" bestFit="1" customWidth="1"/>
    <col min="5893" max="5893" width="11.42578125" style="208"/>
    <col min="5894" max="5894" width="13.7109375" style="208" bestFit="1" customWidth="1"/>
    <col min="5895" max="5895" width="16" style="208" customWidth="1"/>
    <col min="5896" max="5896" width="18.85546875" style="208" customWidth="1"/>
    <col min="5897" max="5897" width="17" style="208" bestFit="1" customWidth="1"/>
    <col min="5898" max="6122" width="11.42578125" style="208"/>
    <col min="6123" max="6123" width="13.28515625" style="208" bestFit="1" customWidth="1"/>
    <col min="6124" max="6124" width="11.42578125" style="208"/>
    <col min="6125" max="6125" width="12.7109375" style="208" bestFit="1" customWidth="1"/>
    <col min="6126" max="6126" width="11.42578125" style="208"/>
    <col min="6127" max="6127" width="17.85546875" style="208" bestFit="1" customWidth="1"/>
    <col min="6128" max="6128" width="13.7109375" style="208" bestFit="1" customWidth="1"/>
    <col min="6129" max="6130" width="11.42578125" style="208"/>
    <col min="6131" max="6131" width="13.28515625" style="208" bestFit="1" customWidth="1"/>
    <col min="6132" max="6132" width="11.42578125" style="208"/>
    <col min="6133" max="6134" width="12.7109375" style="208" bestFit="1" customWidth="1"/>
    <col min="6135" max="6135" width="17.85546875" style="208" bestFit="1" customWidth="1"/>
    <col min="6136" max="6136" width="14.7109375" style="208" bestFit="1" customWidth="1"/>
    <col min="6137" max="6138" width="11.42578125" style="208"/>
    <col min="6139" max="6139" width="14.85546875" style="208" bestFit="1" customWidth="1"/>
    <col min="6140" max="6140" width="9.42578125" style="208" bestFit="1" customWidth="1"/>
    <col min="6141" max="6142" width="13.7109375" style="208" bestFit="1" customWidth="1"/>
    <col min="6143" max="6143" width="17.85546875" style="208" bestFit="1" customWidth="1"/>
    <col min="6144" max="6144" width="17" style="208" customWidth="1"/>
    <col min="6145" max="6145" width="12.85546875" style="208" customWidth="1"/>
    <col min="6146" max="6147" width="11.42578125" style="208"/>
    <col min="6148" max="6148" width="13.7109375" style="208" bestFit="1" customWidth="1"/>
    <col min="6149" max="6149" width="11.42578125" style="208"/>
    <col min="6150" max="6150" width="13.7109375" style="208" bestFit="1" customWidth="1"/>
    <col min="6151" max="6151" width="16" style="208" customWidth="1"/>
    <col min="6152" max="6152" width="18.85546875" style="208" customWidth="1"/>
    <col min="6153" max="6153" width="17" style="208" bestFit="1" customWidth="1"/>
    <col min="6154" max="6378" width="11.42578125" style="208"/>
    <col min="6379" max="6379" width="13.28515625" style="208" bestFit="1" customWidth="1"/>
    <col min="6380" max="6380" width="11.42578125" style="208"/>
    <col min="6381" max="6381" width="12.7109375" style="208" bestFit="1" customWidth="1"/>
    <col min="6382" max="6382" width="11.42578125" style="208"/>
    <col min="6383" max="6383" width="17.85546875" style="208" bestFit="1" customWidth="1"/>
    <col min="6384" max="6384" width="13.7109375" style="208" bestFit="1" customWidth="1"/>
    <col min="6385" max="6386" width="11.42578125" style="208"/>
    <col min="6387" max="6387" width="13.28515625" style="208" bestFit="1" customWidth="1"/>
    <col min="6388" max="6388" width="11.42578125" style="208"/>
    <col min="6389" max="6390" width="12.7109375" style="208" bestFit="1" customWidth="1"/>
    <col min="6391" max="6391" width="17.85546875" style="208" bestFit="1" customWidth="1"/>
    <col min="6392" max="6392" width="14.7109375" style="208" bestFit="1" customWidth="1"/>
    <col min="6393" max="6394" width="11.42578125" style="208"/>
    <col min="6395" max="6395" width="14.85546875" style="208" bestFit="1" customWidth="1"/>
    <col min="6396" max="6396" width="9.42578125" style="208" bestFit="1" customWidth="1"/>
    <col min="6397" max="6398" width="13.7109375" style="208" bestFit="1" customWidth="1"/>
    <col min="6399" max="6399" width="17.85546875" style="208" bestFit="1" customWidth="1"/>
    <col min="6400" max="6400" width="17" style="208" customWidth="1"/>
    <col min="6401" max="6401" width="12.85546875" style="208" customWidth="1"/>
    <col min="6402" max="6403" width="11.42578125" style="208"/>
    <col min="6404" max="6404" width="13.7109375" style="208" bestFit="1" customWidth="1"/>
    <col min="6405" max="6405" width="11.42578125" style="208"/>
    <col min="6406" max="6406" width="13.7109375" style="208" bestFit="1" customWidth="1"/>
    <col min="6407" max="6407" width="16" style="208" customWidth="1"/>
    <col min="6408" max="6408" width="18.85546875" style="208" customWidth="1"/>
    <col min="6409" max="6409" width="17" style="208" bestFit="1" customWidth="1"/>
    <col min="6410" max="6634" width="11.42578125" style="208"/>
    <col min="6635" max="6635" width="13.28515625" style="208" bestFit="1" customWidth="1"/>
    <col min="6636" max="6636" width="11.42578125" style="208"/>
    <col min="6637" max="6637" width="12.7109375" style="208" bestFit="1" customWidth="1"/>
    <col min="6638" max="6638" width="11.42578125" style="208"/>
    <col min="6639" max="6639" width="17.85546875" style="208" bestFit="1" customWidth="1"/>
    <col min="6640" max="6640" width="13.7109375" style="208" bestFit="1" customWidth="1"/>
    <col min="6641" max="6642" width="11.42578125" style="208"/>
    <col min="6643" max="6643" width="13.28515625" style="208" bestFit="1" customWidth="1"/>
    <col min="6644" max="6644" width="11.42578125" style="208"/>
    <col min="6645" max="6646" width="12.7109375" style="208" bestFit="1" customWidth="1"/>
    <col min="6647" max="6647" width="17.85546875" style="208" bestFit="1" customWidth="1"/>
    <col min="6648" max="6648" width="14.7109375" style="208" bestFit="1" customWidth="1"/>
    <col min="6649" max="6650" width="11.42578125" style="208"/>
    <col min="6651" max="6651" width="14.85546875" style="208" bestFit="1" customWidth="1"/>
    <col min="6652" max="6652" width="9.42578125" style="208" bestFit="1" customWidth="1"/>
    <col min="6653" max="6654" width="13.7109375" style="208" bestFit="1" customWidth="1"/>
    <col min="6655" max="6655" width="17.85546875" style="208" bestFit="1" customWidth="1"/>
    <col min="6656" max="6656" width="17" style="208" customWidth="1"/>
    <col min="6657" max="6657" width="12.85546875" style="208" customWidth="1"/>
    <col min="6658" max="6659" width="11.42578125" style="208"/>
    <col min="6660" max="6660" width="13.7109375" style="208" bestFit="1" customWidth="1"/>
    <col min="6661" max="6661" width="11.42578125" style="208"/>
    <col min="6662" max="6662" width="13.7109375" style="208" bestFit="1" customWidth="1"/>
    <col min="6663" max="6663" width="16" style="208" customWidth="1"/>
    <col min="6664" max="6664" width="18.85546875" style="208" customWidth="1"/>
    <col min="6665" max="6665" width="17" style="208" bestFit="1" customWidth="1"/>
    <col min="6666" max="6890" width="11.42578125" style="208"/>
    <col min="6891" max="6891" width="13.28515625" style="208" bestFit="1" customWidth="1"/>
    <col min="6892" max="6892" width="11.42578125" style="208"/>
    <col min="6893" max="6893" width="12.7109375" style="208" bestFit="1" customWidth="1"/>
    <col min="6894" max="6894" width="11.42578125" style="208"/>
    <col min="6895" max="6895" width="17.85546875" style="208" bestFit="1" customWidth="1"/>
    <col min="6896" max="6896" width="13.7109375" style="208" bestFit="1" customWidth="1"/>
    <col min="6897" max="6898" width="11.42578125" style="208"/>
    <col min="6899" max="6899" width="13.28515625" style="208" bestFit="1" customWidth="1"/>
    <col min="6900" max="6900" width="11.42578125" style="208"/>
    <col min="6901" max="6902" width="12.7109375" style="208" bestFit="1" customWidth="1"/>
    <col min="6903" max="6903" width="17.85546875" style="208" bestFit="1" customWidth="1"/>
    <col min="6904" max="6904" width="14.7109375" style="208" bestFit="1" customWidth="1"/>
    <col min="6905" max="6906" width="11.42578125" style="208"/>
    <col min="6907" max="6907" width="14.85546875" style="208" bestFit="1" customWidth="1"/>
    <col min="6908" max="6908" width="9.42578125" style="208" bestFit="1" customWidth="1"/>
    <col min="6909" max="6910" width="13.7109375" style="208" bestFit="1" customWidth="1"/>
    <col min="6911" max="6911" width="17.85546875" style="208" bestFit="1" customWidth="1"/>
    <col min="6912" max="6912" width="17" style="208" customWidth="1"/>
    <col min="6913" max="6913" width="12.85546875" style="208" customWidth="1"/>
    <col min="6914" max="6915" width="11.42578125" style="208"/>
    <col min="6916" max="6916" width="13.7109375" style="208" bestFit="1" customWidth="1"/>
    <col min="6917" max="6917" width="11.42578125" style="208"/>
    <col min="6918" max="6918" width="13.7109375" style="208" bestFit="1" customWidth="1"/>
    <col min="6919" max="6919" width="16" style="208" customWidth="1"/>
    <col min="6920" max="6920" width="18.85546875" style="208" customWidth="1"/>
    <col min="6921" max="6921" width="17" style="208" bestFit="1" customWidth="1"/>
    <col min="6922" max="7146" width="11.42578125" style="208"/>
    <col min="7147" max="7147" width="13.28515625" style="208" bestFit="1" customWidth="1"/>
    <col min="7148" max="7148" width="11.42578125" style="208"/>
    <col min="7149" max="7149" width="12.7109375" style="208" bestFit="1" customWidth="1"/>
    <col min="7150" max="7150" width="11.42578125" style="208"/>
    <col min="7151" max="7151" width="17.85546875" style="208" bestFit="1" customWidth="1"/>
    <col min="7152" max="7152" width="13.7109375" style="208" bestFit="1" customWidth="1"/>
    <col min="7153" max="7154" width="11.42578125" style="208"/>
    <col min="7155" max="7155" width="13.28515625" style="208" bestFit="1" customWidth="1"/>
    <col min="7156" max="7156" width="11.42578125" style="208"/>
    <col min="7157" max="7158" width="12.7109375" style="208" bestFit="1" customWidth="1"/>
    <col min="7159" max="7159" width="17.85546875" style="208" bestFit="1" customWidth="1"/>
    <col min="7160" max="7160" width="14.7109375" style="208" bestFit="1" customWidth="1"/>
    <col min="7161" max="7162" width="11.42578125" style="208"/>
    <col min="7163" max="7163" width="14.85546875" style="208" bestFit="1" customWidth="1"/>
    <col min="7164" max="7164" width="9.42578125" style="208" bestFit="1" customWidth="1"/>
    <col min="7165" max="7166" width="13.7109375" style="208" bestFit="1" customWidth="1"/>
    <col min="7167" max="7167" width="17.85546875" style="208" bestFit="1" customWidth="1"/>
    <col min="7168" max="7168" width="17" style="208" customWidth="1"/>
    <col min="7169" max="7169" width="12.85546875" style="208" customWidth="1"/>
    <col min="7170" max="7171" width="11.42578125" style="208"/>
    <col min="7172" max="7172" width="13.7109375" style="208" bestFit="1" customWidth="1"/>
    <col min="7173" max="7173" width="11.42578125" style="208"/>
    <col min="7174" max="7174" width="13.7109375" style="208" bestFit="1" customWidth="1"/>
    <col min="7175" max="7175" width="16" style="208" customWidth="1"/>
    <col min="7176" max="7176" width="18.85546875" style="208" customWidth="1"/>
    <col min="7177" max="7177" width="17" style="208" bestFit="1" customWidth="1"/>
    <col min="7178" max="7402" width="11.42578125" style="208"/>
    <col min="7403" max="7403" width="13.28515625" style="208" bestFit="1" customWidth="1"/>
    <col min="7404" max="7404" width="11.42578125" style="208"/>
    <col min="7405" max="7405" width="12.7109375" style="208" bestFit="1" customWidth="1"/>
    <col min="7406" max="7406" width="11.42578125" style="208"/>
    <col min="7407" max="7407" width="17.85546875" style="208" bestFit="1" customWidth="1"/>
    <col min="7408" max="7408" width="13.7109375" style="208" bestFit="1" customWidth="1"/>
    <col min="7409" max="7410" width="11.42578125" style="208"/>
    <col min="7411" max="7411" width="13.28515625" style="208" bestFit="1" customWidth="1"/>
    <col min="7412" max="7412" width="11.42578125" style="208"/>
    <col min="7413" max="7414" width="12.7109375" style="208" bestFit="1" customWidth="1"/>
    <col min="7415" max="7415" width="17.85546875" style="208" bestFit="1" customWidth="1"/>
    <col min="7416" max="7416" width="14.7109375" style="208" bestFit="1" customWidth="1"/>
    <col min="7417" max="7418" width="11.42578125" style="208"/>
    <col min="7419" max="7419" width="14.85546875" style="208" bestFit="1" customWidth="1"/>
    <col min="7420" max="7420" width="9.42578125" style="208" bestFit="1" customWidth="1"/>
    <col min="7421" max="7422" width="13.7109375" style="208" bestFit="1" customWidth="1"/>
    <col min="7423" max="7423" width="17.85546875" style="208" bestFit="1" customWidth="1"/>
    <col min="7424" max="7424" width="17" style="208" customWidth="1"/>
    <col min="7425" max="7425" width="12.85546875" style="208" customWidth="1"/>
    <col min="7426" max="7427" width="11.42578125" style="208"/>
    <col min="7428" max="7428" width="13.7109375" style="208" bestFit="1" customWidth="1"/>
    <col min="7429" max="7429" width="11.42578125" style="208"/>
    <col min="7430" max="7430" width="13.7109375" style="208" bestFit="1" customWidth="1"/>
    <col min="7431" max="7431" width="16" style="208" customWidth="1"/>
    <col min="7432" max="7432" width="18.85546875" style="208" customWidth="1"/>
    <col min="7433" max="7433" width="17" style="208" bestFit="1" customWidth="1"/>
    <col min="7434" max="7658" width="11.42578125" style="208"/>
    <col min="7659" max="7659" width="13.28515625" style="208" bestFit="1" customWidth="1"/>
    <col min="7660" max="7660" width="11.42578125" style="208"/>
    <col min="7661" max="7661" width="12.7109375" style="208" bestFit="1" customWidth="1"/>
    <col min="7662" max="7662" width="11.42578125" style="208"/>
    <col min="7663" max="7663" width="17.85546875" style="208" bestFit="1" customWidth="1"/>
    <col min="7664" max="7664" width="13.7109375" style="208" bestFit="1" customWidth="1"/>
    <col min="7665" max="7666" width="11.42578125" style="208"/>
    <col min="7667" max="7667" width="13.28515625" style="208" bestFit="1" customWidth="1"/>
    <col min="7668" max="7668" width="11.42578125" style="208"/>
    <col min="7669" max="7670" width="12.7109375" style="208" bestFit="1" customWidth="1"/>
    <col min="7671" max="7671" width="17.85546875" style="208" bestFit="1" customWidth="1"/>
    <col min="7672" max="7672" width="14.7109375" style="208" bestFit="1" customWidth="1"/>
    <col min="7673" max="7674" width="11.42578125" style="208"/>
    <col min="7675" max="7675" width="14.85546875" style="208" bestFit="1" customWidth="1"/>
    <col min="7676" max="7676" width="9.42578125" style="208" bestFit="1" customWidth="1"/>
    <col min="7677" max="7678" width="13.7109375" style="208" bestFit="1" customWidth="1"/>
    <col min="7679" max="7679" width="17.85546875" style="208" bestFit="1" customWidth="1"/>
    <col min="7680" max="7680" width="17" style="208" customWidth="1"/>
    <col min="7681" max="7681" width="12.85546875" style="208" customWidth="1"/>
    <col min="7682" max="7683" width="11.42578125" style="208"/>
    <col min="7684" max="7684" width="13.7109375" style="208" bestFit="1" customWidth="1"/>
    <col min="7685" max="7685" width="11.42578125" style="208"/>
    <col min="7686" max="7686" width="13.7109375" style="208" bestFit="1" customWidth="1"/>
    <col min="7687" max="7687" width="16" style="208" customWidth="1"/>
    <col min="7688" max="7688" width="18.85546875" style="208" customWidth="1"/>
    <col min="7689" max="7689" width="17" style="208" bestFit="1" customWidth="1"/>
    <col min="7690" max="7914" width="11.42578125" style="208"/>
    <col min="7915" max="7915" width="13.28515625" style="208" bestFit="1" customWidth="1"/>
    <col min="7916" max="7916" width="11.42578125" style="208"/>
    <col min="7917" max="7917" width="12.7109375" style="208" bestFit="1" customWidth="1"/>
    <col min="7918" max="7918" width="11.42578125" style="208"/>
    <col min="7919" max="7919" width="17.85546875" style="208" bestFit="1" customWidth="1"/>
    <col min="7920" max="7920" width="13.7109375" style="208" bestFit="1" customWidth="1"/>
    <col min="7921" max="7922" width="11.42578125" style="208"/>
    <col min="7923" max="7923" width="13.28515625" style="208" bestFit="1" customWidth="1"/>
    <col min="7924" max="7924" width="11.42578125" style="208"/>
    <col min="7925" max="7926" width="12.7109375" style="208" bestFit="1" customWidth="1"/>
    <col min="7927" max="7927" width="17.85546875" style="208" bestFit="1" customWidth="1"/>
    <col min="7928" max="7928" width="14.7109375" style="208" bestFit="1" customWidth="1"/>
    <col min="7929" max="7930" width="11.42578125" style="208"/>
    <col min="7931" max="7931" width="14.85546875" style="208" bestFit="1" customWidth="1"/>
    <col min="7932" max="7932" width="9.42578125" style="208" bestFit="1" customWidth="1"/>
    <col min="7933" max="7934" width="13.7109375" style="208" bestFit="1" customWidth="1"/>
    <col min="7935" max="7935" width="17.85546875" style="208" bestFit="1" customWidth="1"/>
    <col min="7936" max="7936" width="17" style="208" customWidth="1"/>
    <col min="7937" max="7937" width="12.85546875" style="208" customWidth="1"/>
    <col min="7938" max="7939" width="11.42578125" style="208"/>
    <col min="7940" max="7940" width="13.7109375" style="208" bestFit="1" customWidth="1"/>
    <col min="7941" max="7941" width="11.42578125" style="208"/>
    <col min="7942" max="7942" width="13.7109375" style="208" bestFit="1" customWidth="1"/>
    <col min="7943" max="7943" width="16" style="208" customWidth="1"/>
    <col min="7944" max="7944" width="18.85546875" style="208" customWidth="1"/>
    <col min="7945" max="7945" width="17" style="208" bestFit="1" customWidth="1"/>
    <col min="7946" max="8170" width="11.42578125" style="208"/>
    <col min="8171" max="8171" width="13.28515625" style="208" bestFit="1" customWidth="1"/>
    <col min="8172" max="8172" width="11.42578125" style="208"/>
    <col min="8173" max="8173" width="12.7109375" style="208" bestFit="1" customWidth="1"/>
    <col min="8174" max="8174" width="11.42578125" style="208"/>
    <col min="8175" max="8175" width="17.85546875" style="208" bestFit="1" customWidth="1"/>
    <col min="8176" max="8176" width="13.7109375" style="208" bestFit="1" customWidth="1"/>
    <col min="8177" max="8178" width="11.42578125" style="208"/>
    <col min="8179" max="8179" width="13.28515625" style="208" bestFit="1" customWidth="1"/>
    <col min="8180" max="8180" width="11.42578125" style="208"/>
    <col min="8181" max="8182" width="12.7109375" style="208" bestFit="1" customWidth="1"/>
    <col min="8183" max="8183" width="17.85546875" style="208" bestFit="1" customWidth="1"/>
    <col min="8184" max="8184" width="14.7109375" style="208" bestFit="1" customWidth="1"/>
    <col min="8185" max="8186" width="11.42578125" style="208"/>
    <col min="8187" max="8187" width="14.85546875" style="208" bestFit="1" customWidth="1"/>
    <col min="8188" max="8188" width="9.42578125" style="208" bestFit="1" customWidth="1"/>
    <col min="8189" max="8190" width="13.7109375" style="208" bestFit="1" customWidth="1"/>
    <col min="8191" max="8191" width="17.85546875" style="208" bestFit="1" customWidth="1"/>
    <col min="8192" max="8192" width="17" style="208" customWidth="1"/>
    <col min="8193" max="8193" width="12.85546875" style="208" customWidth="1"/>
    <col min="8194" max="8195" width="11.42578125" style="208"/>
    <col min="8196" max="8196" width="13.7109375" style="208" bestFit="1" customWidth="1"/>
    <col min="8197" max="8197" width="11.42578125" style="208"/>
    <col min="8198" max="8198" width="13.7109375" style="208" bestFit="1" customWidth="1"/>
    <col min="8199" max="8199" width="16" style="208" customWidth="1"/>
    <col min="8200" max="8200" width="18.85546875" style="208" customWidth="1"/>
    <col min="8201" max="8201" width="17" style="208" bestFit="1" customWidth="1"/>
    <col min="8202" max="8426" width="11.42578125" style="208"/>
    <col min="8427" max="8427" width="13.28515625" style="208" bestFit="1" customWidth="1"/>
    <col min="8428" max="8428" width="11.42578125" style="208"/>
    <col min="8429" max="8429" width="12.7109375" style="208" bestFit="1" customWidth="1"/>
    <col min="8430" max="8430" width="11.42578125" style="208"/>
    <col min="8431" max="8431" width="17.85546875" style="208" bestFit="1" customWidth="1"/>
    <col min="8432" max="8432" width="13.7109375" style="208" bestFit="1" customWidth="1"/>
    <col min="8433" max="8434" width="11.42578125" style="208"/>
    <col min="8435" max="8435" width="13.28515625" style="208" bestFit="1" customWidth="1"/>
    <col min="8436" max="8436" width="11.42578125" style="208"/>
    <col min="8437" max="8438" width="12.7109375" style="208" bestFit="1" customWidth="1"/>
    <col min="8439" max="8439" width="17.85546875" style="208" bestFit="1" customWidth="1"/>
    <col min="8440" max="8440" width="14.7109375" style="208" bestFit="1" customWidth="1"/>
    <col min="8441" max="8442" width="11.42578125" style="208"/>
    <col min="8443" max="8443" width="14.85546875" style="208" bestFit="1" customWidth="1"/>
    <col min="8444" max="8444" width="9.42578125" style="208" bestFit="1" customWidth="1"/>
    <col min="8445" max="8446" width="13.7109375" style="208" bestFit="1" customWidth="1"/>
    <col min="8447" max="8447" width="17.85546875" style="208" bestFit="1" customWidth="1"/>
    <col min="8448" max="8448" width="17" style="208" customWidth="1"/>
    <col min="8449" max="8449" width="12.85546875" style="208" customWidth="1"/>
    <col min="8450" max="8451" width="11.42578125" style="208"/>
    <col min="8452" max="8452" width="13.7109375" style="208" bestFit="1" customWidth="1"/>
    <col min="8453" max="8453" width="11.42578125" style="208"/>
    <col min="8454" max="8454" width="13.7109375" style="208" bestFit="1" customWidth="1"/>
    <col min="8455" max="8455" width="16" style="208" customWidth="1"/>
    <col min="8456" max="8456" width="18.85546875" style="208" customWidth="1"/>
    <col min="8457" max="8457" width="17" style="208" bestFit="1" customWidth="1"/>
    <col min="8458" max="8682" width="11.42578125" style="208"/>
    <col min="8683" max="8683" width="13.28515625" style="208" bestFit="1" customWidth="1"/>
    <col min="8684" max="8684" width="11.42578125" style="208"/>
    <col min="8685" max="8685" width="12.7109375" style="208" bestFit="1" customWidth="1"/>
    <col min="8686" max="8686" width="11.42578125" style="208"/>
    <col min="8687" max="8687" width="17.85546875" style="208" bestFit="1" customWidth="1"/>
    <col min="8688" max="8688" width="13.7109375" style="208" bestFit="1" customWidth="1"/>
    <col min="8689" max="8690" width="11.42578125" style="208"/>
    <col min="8691" max="8691" width="13.28515625" style="208" bestFit="1" customWidth="1"/>
    <col min="8692" max="8692" width="11.42578125" style="208"/>
    <col min="8693" max="8694" width="12.7109375" style="208" bestFit="1" customWidth="1"/>
    <col min="8695" max="8695" width="17.85546875" style="208" bestFit="1" customWidth="1"/>
    <col min="8696" max="8696" width="14.7109375" style="208" bestFit="1" customWidth="1"/>
    <col min="8697" max="8698" width="11.42578125" style="208"/>
    <col min="8699" max="8699" width="14.85546875" style="208" bestFit="1" customWidth="1"/>
    <col min="8700" max="8700" width="9.42578125" style="208" bestFit="1" customWidth="1"/>
    <col min="8701" max="8702" width="13.7109375" style="208" bestFit="1" customWidth="1"/>
    <col min="8703" max="8703" width="17.85546875" style="208" bestFit="1" customWidth="1"/>
    <col min="8704" max="8704" width="17" style="208" customWidth="1"/>
    <col min="8705" max="8705" width="12.85546875" style="208" customWidth="1"/>
    <col min="8706" max="8707" width="11.42578125" style="208"/>
    <col min="8708" max="8708" width="13.7109375" style="208" bestFit="1" customWidth="1"/>
    <col min="8709" max="8709" width="11.42578125" style="208"/>
    <col min="8710" max="8710" width="13.7109375" style="208" bestFit="1" customWidth="1"/>
    <col min="8711" max="8711" width="16" style="208" customWidth="1"/>
    <col min="8712" max="8712" width="18.85546875" style="208" customWidth="1"/>
    <col min="8713" max="8713" width="17" style="208" bestFit="1" customWidth="1"/>
    <col min="8714" max="8938" width="11.42578125" style="208"/>
    <col min="8939" max="8939" width="13.28515625" style="208" bestFit="1" customWidth="1"/>
    <col min="8940" max="8940" width="11.42578125" style="208"/>
    <col min="8941" max="8941" width="12.7109375" style="208" bestFit="1" customWidth="1"/>
    <col min="8942" max="8942" width="11.42578125" style="208"/>
    <col min="8943" max="8943" width="17.85546875" style="208" bestFit="1" customWidth="1"/>
    <col min="8944" max="8944" width="13.7109375" style="208" bestFit="1" customWidth="1"/>
    <col min="8945" max="8946" width="11.42578125" style="208"/>
    <col min="8947" max="8947" width="13.28515625" style="208" bestFit="1" customWidth="1"/>
    <col min="8948" max="8948" width="11.42578125" style="208"/>
    <col min="8949" max="8950" width="12.7109375" style="208" bestFit="1" customWidth="1"/>
    <col min="8951" max="8951" width="17.85546875" style="208" bestFit="1" customWidth="1"/>
    <col min="8952" max="8952" width="14.7109375" style="208" bestFit="1" customWidth="1"/>
    <col min="8953" max="8954" width="11.42578125" style="208"/>
    <col min="8955" max="8955" width="14.85546875" style="208" bestFit="1" customWidth="1"/>
    <col min="8956" max="8956" width="9.42578125" style="208" bestFit="1" customWidth="1"/>
    <col min="8957" max="8958" width="13.7109375" style="208" bestFit="1" customWidth="1"/>
    <col min="8959" max="8959" width="17.85546875" style="208" bestFit="1" customWidth="1"/>
    <col min="8960" max="8960" width="17" style="208" customWidth="1"/>
    <col min="8961" max="8961" width="12.85546875" style="208" customWidth="1"/>
    <col min="8962" max="8963" width="11.42578125" style="208"/>
    <col min="8964" max="8964" width="13.7109375" style="208" bestFit="1" customWidth="1"/>
    <col min="8965" max="8965" width="11.42578125" style="208"/>
    <col min="8966" max="8966" width="13.7109375" style="208" bestFit="1" customWidth="1"/>
    <col min="8967" max="8967" width="16" style="208" customWidth="1"/>
    <col min="8968" max="8968" width="18.85546875" style="208" customWidth="1"/>
    <col min="8969" max="8969" width="17" style="208" bestFit="1" customWidth="1"/>
    <col min="8970" max="9194" width="11.42578125" style="208"/>
    <col min="9195" max="9195" width="13.28515625" style="208" bestFit="1" customWidth="1"/>
    <col min="9196" max="9196" width="11.42578125" style="208"/>
    <col min="9197" max="9197" width="12.7109375" style="208" bestFit="1" customWidth="1"/>
    <col min="9198" max="9198" width="11.42578125" style="208"/>
    <col min="9199" max="9199" width="17.85546875" style="208" bestFit="1" customWidth="1"/>
    <col min="9200" max="9200" width="13.7109375" style="208" bestFit="1" customWidth="1"/>
    <col min="9201" max="9202" width="11.42578125" style="208"/>
    <col min="9203" max="9203" width="13.28515625" style="208" bestFit="1" customWidth="1"/>
    <col min="9204" max="9204" width="11.42578125" style="208"/>
    <col min="9205" max="9206" width="12.7109375" style="208" bestFit="1" customWidth="1"/>
    <col min="9207" max="9207" width="17.85546875" style="208" bestFit="1" customWidth="1"/>
    <col min="9208" max="9208" width="14.7109375" style="208" bestFit="1" customWidth="1"/>
    <col min="9209" max="9210" width="11.42578125" style="208"/>
    <col min="9211" max="9211" width="14.85546875" style="208" bestFit="1" customWidth="1"/>
    <col min="9212" max="9212" width="9.42578125" style="208" bestFit="1" customWidth="1"/>
    <col min="9213" max="9214" width="13.7109375" style="208" bestFit="1" customWidth="1"/>
    <col min="9215" max="9215" width="17.85546875" style="208" bestFit="1" customWidth="1"/>
    <col min="9216" max="9216" width="17" style="208" customWidth="1"/>
    <col min="9217" max="9217" width="12.85546875" style="208" customWidth="1"/>
    <col min="9218" max="9219" width="11.42578125" style="208"/>
    <col min="9220" max="9220" width="13.7109375" style="208" bestFit="1" customWidth="1"/>
    <col min="9221" max="9221" width="11.42578125" style="208"/>
    <col min="9222" max="9222" width="13.7109375" style="208" bestFit="1" customWidth="1"/>
    <col min="9223" max="9223" width="16" style="208" customWidth="1"/>
    <col min="9224" max="9224" width="18.85546875" style="208" customWidth="1"/>
    <col min="9225" max="9225" width="17" style="208" bestFit="1" customWidth="1"/>
    <col min="9226" max="9450" width="11.42578125" style="208"/>
    <col min="9451" max="9451" width="13.28515625" style="208" bestFit="1" customWidth="1"/>
    <col min="9452" max="9452" width="11.42578125" style="208"/>
    <col min="9453" max="9453" width="12.7109375" style="208" bestFit="1" customWidth="1"/>
    <col min="9454" max="9454" width="11.42578125" style="208"/>
    <col min="9455" max="9455" width="17.85546875" style="208" bestFit="1" customWidth="1"/>
    <col min="9456" max="9456" width="13.7109375" style="208" bestFit="1" customWidth="1"/>
    <col min="9457" max="9458" width="11.42578125" style="208"/>
    <col min="9459" max="9459" width="13.28515625" style="208" bestFit="1" customWidth="1"/>
    <col min="9460" max="9460" width="11.42578125" style="208"/>
    <col min="9461" max="9462" width="12.7109375" style="208" bestFit="1" customWidth="1"/>
    <col min="9463" max="9463" width="17.85546875" style="208" bestFit="1" customWidth="1"/>
    <col min="9464" max="9464" width="14.7109375" style="208" bestFit="1" customWidth="1"/>
    <col min="9465" max="9466" width="11.42578125" style="208"/>
    <col min="9467" max="9467" width="14.85546875" style="208" bestFit="1" customWidth="1"/>
    <col min="9468" max="9468" width="9.42578125" style="208" bestFit="1" customWidth="1"/>
    <col min="9469" max="9470" width="13.7109375" style="208" bestFit="1" customWidth="1"/>
    <col min="9471" max="9471" width="17.85546875" style="208" bestFit="1" customWidth="1"/>
    <col min="9472" max="9472" width="17" style="208" customWidth="1"/>
    <col min="9473" max="9473" width="12.85546875" style="208" customWidth="1"/>
    <col min="9474" max="9475" width="11.42578125" style="208"/>
    <col min="9476" max="9476" width="13.7109375" style="208" bestFit="1" customWidth="1"/>
    <col min="9477" max="9477" width="11.42578125" style="208"/>
    <col min="9478" max="9478" width="13.7109375" style="208" bestFit="1" customWidth="1"/>
    <col min="9479" max="9479" width="16" style="208" customWidth="1"/>
    <col min="9480" max="9480" width="18.85546875" style="208" customWidth="1"/>
    <col min="9481" max="9481" width="17" style="208" bestFit="1" customWidth="1"/>
    <col min="9482" max="9706" width="11.42578125" style="208"/>
    <col min="9707" max="9707" width="13.28515625" style="208" bestFit="1" customWidth="1"/>
    <col min="9708" max="9708" width="11.42578125" style="208"/>
    <col min="9709" max="9709" width="12.7109375" style="208" bestFit="1" customWidth="1"/>
    <col min="9710" max="9710" width="11.42578125" style="208"/>
    <col min="9711" max="9711" width="17.85546875" style="208" bestFit="1" customWidth="1"/>
    <col min="9712" max="9712" width="13.7109375" style="208" bestFit="1" customWidth="1"/>
    <col min="9713" max="9714" width="11.42578125" style="208"/>
    <col min="9715" max="9715" width="13.28515625" style="208" bestFit="1" customWidth="1"/>
    <col min="9716" max="9716" width="11.42578125" style="208"/>
    <col min="9717" max="9718" width="12.7109375" style="208" bestFit="1" customWidth="1"/>
    <col min="9719" max="9719" width="17.85546875" style="208" bestFit="1" customWidth="1"/>
    <col min="9720" max="9720" width="14.7109375" style="208" bestFit="1" customWidth="1"/>
    <col min="9721" max="9722" width="11.42578125" style="208"/>
    <col min="9723" max="9723" width="14.85546875" style="208" bestFit="1" customWidth="1"/>
    <col min="9724" max="9724" width="9.42578125" style="208" bestFit="1" customWidth="1"/>
    <col min="9725" max="9726" width="13.7109375" style="208" bestFit="1" customWidth="1"/>
    <col min="9727" max="9727" width="17.85546875" style="208" bestFit="1" customWidth="1"/>
    <col min="9728" max="9728" width="17" style="208" customWidth="1"/>
    <col min="9729" max="9729" width="12.85546875" style="208" customWidth="1"/>
    <col min="9730" max="9731" width="11.42578125" style="208"/>
    <col min="9732" max="9732" width="13.7109375" style="208" bestFit="1" customWidth="1"/>
    <col min="9733" max="9733" width="11.42578125" style="208"/>
    <col min="9734" max="9734" width="13.7109375" style="208" bestFit="1" customWidth="1"/>
    <col min="9735" max="9735" width="16" style="208" customWidth="1"/>
    <col min="9736" max="9736" width="18.85546875" style="208" customWidth="1"/>
    <col min="9737" max="9737" width="17" style="208" bestFit="1" customWidth="1"/>
    <col min="9738" max="9962" width="11.42578125" style="208"/>
    <col min="9963" max="9963" width="13.28515625" style="208" bestFit="1" customWidth="1"/>
    <col min="9964" max="9964" width="11.42578125" style="208"/>
    <col min="9965" max="9965" width="12.7109375" style="208" bestFit="1" customWidth="1"/>
    <col min="9966" max="9966" width="11.42578125" style="208"/>
    <col min="9967" max="9967" width="17.85546875" style="208" bestFit="1" customWidth="1"/>
    <col min="9968" max="9968" width="13.7109375" style="208" bestFit="1" customWidth="1"/>
    <col min="9969" max="9970" width="11.42578125" style="208"/>
    <col min="9971" max="9971" width="13.28515625" style="208" bestFit="1" customWidth="1"/>
    <col min="9972" max="9972" width="11.42578125" style="208"/>
    <col min="9973" max="9974" width="12.7109375" style="208" bestFit="1" customWidth="1"/>
    <col min="9975" max="9975" width="17.85546875" style="208" bestFit="1" customWidth="1"/>
    <col min="9976" max="9976" width="14.7109375" style="208" bestFit="1" customWidth="1"/>
    <col min="9977" max="9978" width="11.42578125" style="208"/>
    <col min="9979" max="9979" width="14.85546875" style="208" bestFit="1" customWidth="1"/>
    <col min="9980" max="9980" width="9.42578125" style="208" bestFit="1" customWidth="1"/>
    <col min="9981" max="9982" width="13.7109375" style="208" bestFit="1" customWidth="1"/>
    <col min="9983" max="9983" width="17.85546875" style="208" bestFit="1" customWidth="1"/>
    <col min="9984" max="9984" width="17" style="208" customWidth="1"/>
    <col min="9985" max="9985" width="12.85546875" style="208" customWidth="1"/>
    <col min="9986" max="9987" width="11.42578125" style="208"/>
    <col min="9988" max="9988" width="13.7109375" style="208" bestFit="1" customWidth="1"/>
    <col min="9989" max="9989" width="11.42578125" style="208"/>
    <col min="9990" max="9990" width="13.7109375" style="208" bestFit="1" customWidth="1"/>
    <col min="9991" max="9991" width="16" style="208" customWidth="1"/>
    <col min="9992" max="9992" width="18.85546875" style="208" customWidth="1"/>
    <col min="9993" max="9993" width="17" style="208" bestFit="1" customWidth="1"/>
    <col min="9994" max="10218" width="11.42578125" style="208"/>
    <col min="10219" max="10219" width="13.28515625" style="208" bestFit="1" customWidth="1"/>
    <col min="10220" max="10220" width="11.42578125" style="208"/>
    <col min="10221" max="10221" width="12.7109375" style="208" bestFit="1" customWidth="1"/>
    <col min="10222" max="10222" width="11.42578125" style="208"/>
    <col min="10223" max="10223" width="17.85546875" style="208" bestFit="1" customWidth="1"/>
    <col min="10224" max="10224" width="13.7109375" style="208" bestFit="1" customWidth="1"/>
    <col min="10225" max="10226" width="11.42578125" style="208"/>
    <col min="10227" max="10227" width="13.28515625" style="208" bestFit="1" customWidth="1"/>
    <col min="10228" max="10228" width="11.42578125" style="208"/>
    <col min="10229" max="10230" width="12.7109375" style="208" bestFit="1" customWidth="1"/>
    <col min="10231" max="10231" width="17.85546875" style="208" bestFit="1" customWidth="1"/>
    <col min="10232" max="10232" width="14.7109375" style="208" bestFit="1" customWidth="1"/>
    <col min="10233" max="10234" width="11.42578125" style="208"/>
    <col min="10235" max="10235" width="14.85546875" style="208" bestFit="1" customWidth="1"/>
    <col min="10236" max="10236" width="9.42578125" style="208" bestFit="1" customWidth="1"/>
    <col min="10237" max="10238" width="13.7109375" style="208" bestFit="1" customWidth="1"/>
    <col min="10239" max="10239" width="17.85546875" style="208" bestFit="1" customWidth="1"/>
    <col min="10240" max="10240" width="17" style="208" customWidth="1"/>
    <col min="10241" max="10241" width="12.85546875" style="208" customWidth="1"/>
    <col min="10242" max="10243" width="11.42578125" style="208"/>
    <col min="10244" max="10244" width="13.7109375" style="208" bestFit="1" customWidth="1"/>
    <col min="10245" max="10245" width="11.42578125" style="208"/>
    <col min="10246" max="10246" width="13.7109375" style="208" bestFit="1" customWidth="1"/>
    <col min="10247" max="10247" width="16" style="208" customWidth="1"/>
    <col min="10248" max="10248" width="18.85546875" style="208" customWidth="1"/>
    <col min="10249" max="10249" width="17" style="208" bestFit="1" customWidth="1"/>
    <col min="10250" max="10474" width="11.42578125" style="208"/>
    <col min="10475" max="10475" width="13.28515625" style="208" bestFit="1" customWidth="1"/>
    <col min="10476" max="10476" width="11.42578125" style="208"/>
    <col min="10477" max="10477" width="12.7109375" style="208" bestFit="1" customWidth="1"/>
    <col min="10478" max="10478" width="11.42578125" style="208"/>
    <col min="10479" max="10479" width="17.85546875" style="208" bestFit="1" customWidth="1"/>
    <col min="10480" max="10480" width="13.7109375" style="208" bestFit="1" customWidth="1"/>
    <col min="10481" max="10482" width="11.42578125" style="208"/>
    <col min="10483" max="10483" width="13.28515625" style="208" bestFit="1" customWidth="1"/>
    <col min="10484" max="10484" width="11.42578125" style="208"/>
    <col min="10485" max="10486" width="12.7109375" style="208" bestFit="1" customWidth="1"/>
    <col min="10487" max="10487" width="17.85546875" style="208" bestFit="1" customWidth="1"/>
    <col min="10488" max="10488" width="14.7109375" style="208" bestFit="1" customWidth="1"/>
    <col min="10489" max="10490" width="11.42578125" style="208"/>
    <col min="10491" max="10491" width="14.85546875" style="208" bestFit="1" customWidth="1"/>
    <col min="10492" max="10492" width="9.42578125" style="208" bestFit="1" customWidth="1"/>
    <col min="10493" max="10494" width="13.7109375" style="208" bestFit="1" customWidth="1"/>
    <col min="10495" max="10495" width="17.85546875" style="208" bestFit="1" customWidth="1"/>
    <col min="10496" max="10496" width="17" style="208" customWidth="1"/>
    <col min="10497" max="10497" width="12.85546875" style="208" customWidth="1"/>
    <col min="10498" max="10499" width="11.42578125" style="208"/>
    <col min="10500" max="10500" width="13.7109375" style="208" bestFit="1" customWidth="1"/>
    <col min="10501" max="10501" width="11.42578125" style="208"/>
    <col min="10502" max="10502" width="13.7109375" style="208" bestFit="1" customWidth="1"/>
    <col min="10503" max="10503" width="16" style="208" customWidth="1"/>
    <col min="10504" max="10504" width="18.85546875" style="208" customWidth="1"/>
    <col min="10505" max="10505" width="17" style="208" bestFit="1" customWidth="1"/>
    <col min="10506" max="10730" width="11.42578125" style="208"/>
    <col min="10731" max="10731" width="13.28515625" style="208" bestFit="1" customWidth="1"/>
    <col min="10732" max="10732" width="11.42578125" style="208"/>
    <col min="10733" max="10733" width="12.7109375" style="208" bestFit="1" customWidth="1"/>
    <col min="10734" max="10734" width="11.42578125" style="208"/>
    <col min="10735" max="10735" width="17.85546875" style="208" bestFit="1" customWidth="1"/>
    <col min="10736" max="10736" width="13.7109375" style="208" bestFit="1" customWidth="1"/>
    <col min="10737" max="10738" width="11.42578125" style="208"/>
    <col min="10739" max="10739" width="13.28515625" style="208" bestFit="1" customWidth="1"/>
    <col min="10740" max="10740" width="11.42578125" style="208"/>
    <col min="10741" max="10742" width="12.7109375" style="208" bestFit="1" customWidth="1"/>
    <col min="10743" max="10743" width="17.85546875" style="208" bestFit="1" customWidth="1"/>
    <col min="10744" max="10744" width="14.7109375" style="208" bestFit="1" customWidth="1"/>
    <col min="10745" max="10746" width="11.42578125" style="208"/>
    <col min="10747" max="10747" width="14.85546875" style="208" bestFit="1" customWidth="1"/>
    <col min="10748" max="10748" width="9.42578125" style="208" bestFit="1" customWidth="1"/>
    <col min="10749" max="10750" width="13.7109375" style="208" bestFit="1" customWidth="1"/>
    <col min="10751" max="10751" width="17.85546875" style="208" bestFit="1" customWidth="1"/>
    <col min="10752" max="10752" width="17" style="208" customWidth="1"/>
    <col min="10753" max="10753" width="12.85546875" style="208" customWidth="1"/>
    <col min="10754" max="10755" width="11.42578125" style="208"/>
    <col min="10756" max="10756" width="13.7109375" style="208" bestFit="1" customWidth="1"/>
    <col min="10757" max="10757" width="11.42578125" style="208"/>
    <col min="10758" max="10758" width="13.7109375" style="208" bestFit="1" customWidth="1"/>
    <col min="10759" max="10759" width="16" style="208" customWidth="1"/>
    <col min="10760" max="10760" width="18.85546875" style="208" customWidth="1"/>
    <col min="10761" max="10761" width="17" style="208" bestFit="1" customWidth="1"/>
    <col min="10762" max="10986" width="11.42578125" style="208"/>
    <col min="10987" max="10987" width="13.28515625" style="208" bestFit="1" customWidth="1"/>
    <col min="10988" max="10988" width="11.42578125" style="208"/>
    <col min="10989" max="10989" width="12.7109375" style="208" bestFit="1" customWidth="1"/>
    <col min="10990" max="10990" width="11.42578125" style="208"/>
    <col min="10991" max="10991" width="17.85546875" style="208" bestFit="1" customWidth="1"/>
    <col min="10992" max="10992" width="13.7109375" style="208" bestFit="1" customWidth="1"/>
    <col min="10993" max="10994" width="11.42578125" style="208"/>
    <col min="10995" max="10995" width="13.28515625" style="208" bestFit="1" customWidth="1"/>
    <col min="10996" max="10996" width="11.42578125" style="208"/>
    <col min="10997" max="10998" width="12.7109375" style="208" bestFit="1" customWidth="1"/>
    <col min="10999" max="10999" width="17.85546875" style="208" bestFit="1" customWidth="1"/>
    <col min="11000" max="11000" width="14.7109375" style="208" bestFit="1" customWidth="1"/>
    <col min="11001" max="11002" width="11.42578125" style="208"/>
    <col min="11003" max="11003" width="14.85546875" style="208" bestFit="1" customWidth="1"/>
    <col min="11004" max="11004" width="9.42578125" style="208" bestFit="1" customWidth="1"/>
    <col min="11005" max="11006" width="13.7109375" style="208" bestFit="1" customWidth="1"/>
    <col min="11007" max="11007" width="17.85546875" style="208" bestFit="1" customWidth="1"/>
    <col min="11008" max="11008" width="17" style="208" customWidth="1"/>
    <col min="11009" max="11009" width="12.85546875" style="208" customWidth="1"/>
    <col min="11010" max="11011" width="11.42578125" style="208"/>
    <col min="11012" max="11012" width="13.7109375" style="208" bestFit="1" customWidth="1"/>
    <col min="11013" max="11013" width="11.42578125" style="208"/>
    <col min="11014" max="11014" width="13.7109375" style="208" bestFit="1" customWidth="1"/>
    <col min="11015" max="11015" width="16" style="208" customWidth="1"/>
    <col min="11016" max="11016" width="18.85546875" style="208" customWidth="1"/>
    <col min="11017" max="11017" width="17" style="208" bestFit="1" customWidth="1"/>
    <col min="11018" max="11242" width="11.42578125" style="208"/>
    <col min="11243" max="11243" width="13.28515625" style="208" bestFit="1" customWidth="1"/>
    <col min="11244" max="11244" width="11.42578125" style="208"/>
    <col min="11245" max="11245" width="12.7109375" style="208" bestFit="1" customWidth="1"/>
    <col min="11246" max="11246" width="11.42578125" style="208"/>
    <col min="11247" max="11247" width="17.85546875" style="208" bestFit="1" customWidth="1"/>
    <col min="11248" max="11248" width="13.7109375" style="208" bestFit="1" customWidth="1"/>
    <col min="11249" max="11250" width="11.42578125" style="208"/>
    <col min="11251" max="11251" width="13.28515625" style="208" bestFit="1" customWidth="1"/>
    <col min="11252" max="11252" width="11.42578125" style="208"/>
    <col min="11253" max="11254" width="12.7109375" style="208" bestFit="1" customWidth="1"/>
    <col min="11255" max="11255" width="17.85546875" style="208" bestFit="1" customWidth="1"/>
    <col min="11256" max="11256" width="14.7109375" style="208" bestFit="1" customWidth="1"/>
    <col min="11257" max="11258" width="11.42578125" style="208"/>
    <col min="11259" max="11259" width="14.85546875" style="208" bestFit="1" customWidth="1"/>
    <col min="11260" max="11260" width="9.42578125" style="208" bestFit="1" customWidth="1"/>
    <col min="11261" max="11262" width="13.7109375" style="208" bestFit="1" customWidth="1"/>
    <col min="11263" max="11263" width="17.85546875" style="208" bestFit="1" customWidth="1"/>
    <col min="11264" max="11264" width="17" style="208" customWidth="1"/>
    <col min="11265" max="11265" width="12.85546875" style="208" customWidth="1"/>
    <col min="11266" max="11267" width="11.42578125" style="208"/>
    <col min="11268" max="11268" width="13.7109375" style="208" bestFit="1" customWidth="1"/>
    <col min="11269" max="11269" width="11.42578125" style="208"/>
    <col min="11270" max="11270" width="13.7109375" style="208" bestFit="1" customWidth="1"/>
    <col min="11271" max="11271" width="16" style="208" customWidth="1"/>
    <col min="11272" max="11272" width="18.85546875" style="208" customWidth="1"/>
    <col min="11273" max="11273" width="17" style="208" bestFit="1" customWidth="1"/>
    <col min="11274" max="11498" width="11.42578125" style="208"/>
    <col min="11499" max="11499" width="13.28515625" style="208" bestFit="1" customWidth="1"/>
    <col min="11500" max="11500" width="11.42578125" style="208"/>
    <col min="11501" max="11501" width="12.7109375" style="208" bestFit="1" customWidth="1"/>
    <col min="11502" max="11502" width="11.42578125" style="208"/>
    <col min="11503" max="11503" width="17.85546875" style="208" bestFit="1" customWidth="1"/>
    <col min="11504" max="11504" width="13.7109375" style="208" bestFit="1" customWidth="1"/>
    <col min="11505" max="11506" width="11.42578125" style="208"/>
    <col min="11507" max="11507" width="13.28515625" style="208" bestFit="1" customWidth="1"/>
    <col min="11508" max="11508" width="11.42578125" style="208"/>
    <col min="11509" max="11510" width="12.7109375" style="208" bestFit="1" customWidth="1"/>
    <col min="11511" max="11511" width="17.85546875" style="208" bestFit="1" customWidth="1"/>
    <col min="11512" max="11512" width="14.7109375" style="208" bestFit="1" customWidth="1"/>
    <col min="11513" max="11514" width="11.42578125" style="208"/>
    <col min="11515" max="11515" width="14.85546875" style="208" bestFit="1" customWidth="1"/>
    <col min="11516" max="11516" width="9.42578125" style="208" bestFit="1" customWidth="1"/>
    <col min="11517" max="11518" width="13.7109375" style="208" bestFit="1" customWidth="1"/>
    <col min="11519" max="11519" width="17.85546875" style="208" bestFit="1" customWidth="1"/>
    <col min="11520" max="11520" width="17" style="208" customWidth="1"/>
    <col min="11521" max="11521" width="12.85546875" style="208" customWidth="1"/>
    <col min="11522" max="11523" width="11.42578125" style="208"/>
    <col min="11524" max="11524" width="13.7109375" style="208" bestFit="1" customWidth="1"/>
    <col min="11525" max="11525" width="11.42578125" style="208"/>
    <col min="11526" max="11526" width="13.7109375" style="208" bestFit="1" customWidth="1"/>
    <col min="11527" max="11527" width="16" style="208" customWidth="1"/>
    <col min="11528" max="11528" width="18.85546875" style="208" customWidth="1"/>
    <col min="11529" max="11529" width="17" style="208" bestFit="1" customWidth="1"/>
    <col min="11530" max="11754" width="11.42578125" style="208"/>
    <col min="11755" max="11755" width="13.28515625" style="208" bestFit="1" customWidth="1"/>
    <col min="11756" max="11756" width="11.42578125" style="208"/>
    <col min="11757" max="11757" width="12.7109375" style="208" bestFit="1" customWidth="1"/>
    <col min="11758" max="11758" width="11.42578125" style="208"/>
    <col min="11759" max="11759" width="17.85546875" style="208" bestFit="1" customWidth="1"/>
    <col min="11760" max="11760" width="13.7109375" style="208" bestFit="1" customWidth="1"/>
    <col min="11761" max="11762" width="11.42578125" style="208"/>
    <col min="11763" max="11763" width="13.28515625" style="208" bestFit="1" customWidth="1"/>
    <col min="11764" max="11764" width="11.42578125" style="208"/>
    <col min="11765" max="11766" width="12.7109375" style="208" bestFit="1" customWidth="1"/>
    <col min="11767" max="11767" width="17.85546875" style="208" bestFit="1" customWidth="1"/>
    <col min="11768" max="11768" width="14.7109375" style="208" bestFit="1" customWidth="1"/>
    <col min="11769" max="11770" width="11.42578125" style="208"/>
    <col min="11771" max="11771" width="14.85546875" style="208" bestFit="1" customWidth="1"/>
    <col min="11772" max="11772" width="9.42578125" style="208" bestFit="1" customWidth="1"/>
    <col min="11773" max="11774" width="13.7109375" style="208" bestFit="1" customWidth="1"/>
    <col min="11775" max="11775" width="17.85546875" style="208" bestFit="1" customWidth="1"/>
    <col min="11776" max="11776" width="17" style="208" customWidth="1"/>
    <col min="11777" max="11777" width="12.85546875" style="208" customWidth="1"/>
    <col min="11778" max="11779" width="11.42578125" style="208"/>
    <col min="11780" max="11780" width="13.7109375" style="208" bestFit="1" customWidth="1"/>
    <col min="11781" max="11781" width="11.42578125" style="208"/>
    <col min="11782" max="11782" width="13.7109375" style="208" bestFit="1" customWidth="1"/>
    <col min="11783" max="11783" width="16" style="208" customWidth="1"/>
    <col min="11784" max="11784" width="18.85546875" style="208" customWidth="1"/>
    <col min="11785" max="11785" width="17" style="208" bestFit="1" customWidth="1"/>
    <col min="11786" max="12010" width="11.42578125" style="208"/>
    <col min="12011" max="12011" width="13.28515625" style="208" bestFit="1" customWidth="1"/>
    <col min="12012" max="12012" width="11.42578125" style="208"/>
    <col min="12013" max="12013" width="12.7109375" style="208" bestFit="1" customWidth="1"/>
    <col min="12014" max="12014" width="11.42578125" style="208"/>
    <col min="12015" max="12015" width="17.85546875" style="208" bestFit="1" customWidth="1"/>
    <col min="12016" max="12016" width="13.7109375" style="208" bestFit="1" customWidth="1"/>
    <col min="12017" max="12018" width="11.42578125" style="208"/>
    <col min="12019" max="12019" width="13.28515625" style="208" bestFit="1" customWidth="1"/>
    <col min="12020" max="12020" width="11.42578125" style="208"/>
    <col min="12021" max="12022" width="12.7109375" style="208" bestFit="1" customWidth="1"/>
    <col min="12023" max="12023" width="17.85546875" style="208" bestFit="1" customWidth="1"/>
    <col min="12024" max="12024" width="14.7109375" style="208" bestFit="1" customWidth="1"/>
    <col min="12025" max="12026" width="11.42578125" style="208"/>
    <col min="12027" max="12027" width="14.85546875" style="208" bestFit="1" customWidth="1"/>
    <col min="12028" max="12028" width="9.42578125" style="208" bestFit="1" customWidth="1"/>
    <col min="12029" max="12030" width="13.7109375" style="208" bestFit="1" customWidth="1"/>
    <col min="12031" max="12031" width="17.85546875" style="208" bestFit="1" customWidth="1"/>
    <col min="12032" max="12032" width="17" style="208" customWidth="1"/>
    <col min="12033" max="12033" width="12.85546875" style="208" customWidth="1"/>
    <col min="12034" max="12035" width="11.42578125" style="208"/>
    <col min="12036" max="12036" width="13.7109375" style="208" bestFit="1" customWidth="1"/>
    <col min="12037" max="12037" width="11.42578125" style="208"/>
    <col min="12038" max="12038" width="13.7109375" style="208" bestFit="1" customWidth="1"/>
    <col min="12039" max="12039" width="16" style="208" customWidth="1"/>
    <col min="12040" max="12040" width="18.85546875" style="208" customWidth="1"/>
    <col min="12041" max="12041" width="17" style="208" bestFit="1" customWidth="1"/>
    <col min="12042" max="12266" width="11.42578125" style="208"/>
    <col min="12267" max="12267" width="13.28515625" style="208" bestFit="1" customWidth="1"/>
    <col min="12268" max="12268" width="11.42578125" style="208"/>
    <col min="12269" max="12269" width="12.7109375" style="208" bestFit="1" customWidth="1"/>
    <col min="12270" max="12270" width="11.42578125" style="208"/>
    <col min="12271" max="12271" width="17.85546875" style="208" bestFit="1" customWidth="1"/>
    <col min="12272" max="12272" width="13.7109375" style="208" bestFit="1" customWidth="1"/>
    <col min="12273" max="12274" width="11.42578125" style="208"/>
    <col min="12275" max="12275" width="13.28515625" style="208" bestFit="1" customWidth="1"/>
    <col min="12276" max="12276" width="11.42578125" style="208"/>
    <col min="12277" max="12278" width="12.7109375" style="208" bestFit="1" customWidth="1"/>
    <col min="12279" max="12279" width="17.85546875" style="208" bestFit="1" customWidth="1"/>
    <col min="12280" max="12280" width="14.7109375" style="208" bestFit="1" customWidth="1"/>
    <col min="12281" max="12282" width="11.42578125" style="208"/>
    <col min="12283" max="12283" width="14.85546875" style="208" bestFit="1" customWidth="1"/>
    <col min="12284" max="12284" width="9.42578125" style="208" bestFit="1" customWidth="1"/>
    <col min="12285" max="12286" width="13.7109375" style="208" bestFit="1" customWidth="1"/>
    <col min="12287" max="12287" width="17.85546875" style="208" bestFit="1" customWidth="1"/>
    <col min="12288" max="12288" width="17" style="208" customWidth="1"/>
    <col min="12289" max="12289" width="12.85546875" style="208" customWidth="1"/>
    <col min="12290" max="12291" width="11.42578125" style="208"/>
    <col min="12292" max="12292" width="13.7109375" style="208" bestFit="1" customWidth="1"/>
    <col min="12293" max="12293" width="11.42578125" style="208"/>
    <col min="12294" max="12294" width="13.7109375" style="208" bestFit="1" customWidth="1"/>
    <col min="12295" max="12295" width="16" style="208" customWidth="1"/>
    <col min="12296" max="12296" width="18.85546875" style="208" customWidth="1"/>
    <col min="12297" max="12297" width="17" style="208" bestFit="1" customWidth="1"/>
    <col min="12298" max="12522" width="11.42578125" style="208"/>
    <col min="12523" max="12523" width="13.28515625" style="208" bestFit="1" customWidth="1"/>
    <col min="12524" max="12524" width="11.42578125" style="208"/>
    <col min="12525" max="12525" width="12.7109375" style="208" bestFit="1" customWidth="1"/>
    <col min="12526" max="12526" width="11.42578125" style="208"/>
    <col min="12527" max="12527" width="17.85546875" style="208" bestFit="1" customWidth="1"/>
    <col min="12528" max="12528" width="13.7109375" style="208" bestFit="1" customWidth="1"/>
    <col min="12529" max="12530" width="11.42578125" style="208"/>
    <col min="12531" max="12531" width="13.28515625" style="208" bestFit="1" customWidth="1"/>
    <col min="12532" max="12532" width="11.42578125" style="208"/>
    <col min="12533" max="12534" width="12.7109375" style="208" bestFit="1" customWidth="1"/>
    <col min="12535" max="12535" width="17.85546875" style="208" bestFit="1" customWidth="1"/>
    <col min="12536" max="12536" width="14.7109375" style="208" bestFit="1" customWidth="1"/>
    <col min="12537" max="12538" width="11.42578125" style="208"/>
    <col min="12539" max="12539" width="14.85546875" style="208" bestFit="1" customWidth="1"/>
    <col min="12540" max="12540" width="9.42578125" style="208" bestFit="1" customWidth="1"/>
    <col min="12541" max="12542" width="13.7109375" style="208" bestFit="1" customWidth="1"/>
    <col min="12543" max="12543" width="17.85546875" style="208" bestFit="1" customWidth="1"/>
    <col min="12544" max="12544" width="17" style="208" customWidth="1"/>
    <col min="12545" max="12545" width="12.85546875" style="208" customWidth="1"/>
    <col min="12546" max="12547" width="11.42578125" style="208"/>
    <col min="12548" max="12548" width="13.7109375" style="208" bestFit="1" customWidth="1"/>
    <col min="12549" max="12549" width="11.42578125" style="208"/>
    <col min="12550" max="12550" width="13.7109375" style="208" bestFit="1" customWidth="1"/>
    <col min="12551" max="12551" width="16" style="208" customWidth="1"/>
    <col min="12552" max="12552" width="18.85546875" style="208" customWidth="1"/>
    <col min="12553" max="12553" width="17" style="208" bestFit="1" customWidth="1"/>
    <col min="12554" max="12778" width="11.42578125" style="208"/>
    <col min="12779" max="12779" width="13.28515625" style="208" bestFit="1" customWidth="1"/>
    <col min="12780" max="12780" width="11.42578125" style="208"/>
    <col min="12781" max="12781" width="12.7109375" style="208" bestFit="1" customWidth="1"/>
    <col min="12782" max="12782" width="11.42578125" style="208"/>
    <col min="12783" max="12783" width="17.85546875" style="208" bestFit="1" customWidth="1"/>
    <col min="12784" max="12784" width="13.7109375" style="208" bestFit="1" customWidth="1"/>
    <col min="12785" max="12786" width="11.42578125" style="208"/>
    <col min="12787" max="12787" width="13.28515625" style="208" bestFit="1" customWidth="1"/>
    <col min="12788" max="12788" width="11.42578125" style="208"/>
    <col min="12789" max="12790" width="12.7109375" style="208" bestFit="1" customWidth="1"/>
    <col min="12791" max="12791" width="17.85546875" style="208" bestFit="1" customWidth="1"/>
    <col min="12792" max="12792" width="14.7109375" style="208" bestFit="1" customWidth="1"/>
    <col min="12793" max="12794" width="11.42578125" style="208"/>
    <col min="12795" max="12795" width="14.85546875" style="208" bestFit="1" customWidth="1"/>
    <col min="12796" max="12796" width="9.42578125" style="208" bestFit="1" customWidth="1"/>
    <col min="12797" max="12798" width="13.7109375" style="208" bestFit="1" customWidth="1"/>
    <col min="12799" max="12799" width="17.85546875" style="208" bestFit="1" customWidth="1"/>
    <col min="12800" max="12800" width="17" style="208" customWidth="1"/>
    <col min="12801" max="12801" width="12.85546875" style="208" customWidth="1"/>
    <col min="12802" max="12803" width="11.42578125" style="208"/>
    <col min="12804" max="12804" width="13.7109375" style="208" bestFit="1" customWidth="1"/>
    <col min="12805" max="12805" width="11.42578125" style="208"/>
    <col min="12806" max="12806" width="13.7109375" style="208" bestFit="1" customWidth="1"/>
    <col min="12807" max="12807" width="16" style="208" customWidth="1"/>
    <col min="12808" max="12808" width="18.85546875" style="208" customWidth="1"/>
    <col min="12809" max="12809" width="17" style="208" bestFit="1" customWidth="1"/>
    <col min="12810" max="13034" width="11.42578125" style="208"/>
    <col min="13035" max="13035" width="13.28515625" style="208" bestFit="1" customWidth="1"/>
    <col min="13036" max="13036" width="11.42578125" style="208"/>
    <col min="13037" max="13037" width="12.7109375" style="208" bestFit="1" customWidth="1"/>
    <col min="13038" max="13038" width="11.42578125" style="208"/>
    <col min="13039" max="13039" width="17.85546875" style="208" bestFit="1" customWidth="1"/>
    <col min="13040" max="13040" width="13.7109375" style="208" bestFit="1" customWidth="1"/>
    <col min="13041" max="13042" width="11.42578125" style="208"/>
    <col min="13043" max="13043" width="13.28515625" style="208" bestFit="1" customWidth="1"/>
    <col min="13044" max="13044" width="11.42578125" style="208"/>
    <col min="13045" max="13046" width="12.7109375" style="208" bestFit="1" customWidth="1"/>
    <col min="13047" max="13047" width="17.85546875" style="208" bestFit="1" customWidth="1"/>
    <col min="13048" max="13048" width="14.7109375" style="208" bestFit="1" customWidth="1"/>
    <col min="13049" max="13050" width="11.42578125" style="208"/>
    <col min="13051" max="13051" width="14.85546875" style="208" bestFit="1" customWidth="1"/>
    <col min="13052" max="13052" width="9.42578125" style="208" bestFit="1" customWidth="1"/>
    <col min="13053" max="13054" width="13.7109375" style="208" bestFit="1" customWidth="1"/>
    <col min="13055" max="13055" width="17.85546875" style="208" bestFit="1" customWidth="1"/>
    <col min="13056" max="13056" width="17" style="208" customWidth="1"/>
    <col min="13057" max="13057" width="12.85546875" style="208" customWidth="1"/>
    <col min="13058" max="13059" width="11.42578125" style="208"/>
    <col min="13060" max="13060" width="13.7109375" style="208" bestFit="1" customWidth="1"/>
    <col min="13061" max="13061" width="11.42578125" style="208"/>
    <col min="13062" max="13062" width="13.7109375" style="208" bestFit="1" customWidth="1"/>
    <col min="13063" max="13063" width="16" style="208" customWidth="1"/>
    <col min="13064" max="13064" width="18.85546875" style="208" customWidth="1"/>
    <col min="13065" max="13065" width="17" style="208" bestFit="1" customWidth="1"/>
    <col min="13066" max="13290" width="11.42578125" style="208"/>
    <col min="13291" max="13291" width="13.28515625" style="208" bestFit="1" customWidth="1"/>
    <col min="13292" max="13292" width="11.42578125" style="208"/>
    <col min="13293" max="13293" width="12.7109375" style="208" bestFit="1" customWidth="1"/>
    <col min="13294" max="13294" width="11.42578125" style="208"/>
    <col min="13295" max="13295" width="17.85546875" style="208" bestFit="1" customWidth="1"/>
    <col min="13296" max="13296" width="13.7109375" style="208" bestFit="1" customWidth="1"/>
    <col min="13297" max="13298" width="11.42578125" style="208"/>
    <col min="13299" max="13299" width="13.28515625" style="208" bestFit="1" customWidth="1"/>
    <col min="13300" max="13300" width="11.42578125" style="208"/>
    <col min="13301" max="13302" width="12.7109375" style="208" bestFit="1" customWidth="1"/>
    <col min="13303" max="13303" width="17.85546875" style="208" bestFit="1" customWidth="1"/>
    <col min="13304" max="13304" width="14.7109375" style="208" bestFit="1" customWidth="1"/>
    <col min="13305" max="13306" width="11.42578125" style="208"/>
    <col min="13307" max="13307" width="14.85546875" style="208" bestFit="1" customWidth="1"/>
    <col min="13308" max="13308" width="9.42578125" style="208" bestFit="1" customWidth="1"/>
    <col min="13309" max="13310" width="13.7109375" style="208" bestFit="1" customWidth="1"/>
    <col min="13311" max="13311" width="17.85546875" style="208" bestFit="1" customWidth="1"/>
    <col min="13312" max="13312" width="17" style="208" customWidth="1"/>
    <col min="13313" max="13313" width="12.85546875" style="208" customWidth="1"/>
    <col min="13314" max="13315" width="11.42578125" style="208"/>
    <col min="13316" max="13316" width="13.7109375" style="208" bestFit="1" customWidth="1"/>
    <col min="13317" max="13317" width="11.42578125" style="208"/>
    <col min="13318" max="13318" width="13.7109375" style="208" bestFit="1" customWidth="1"/>
    <col min="13319" max="13319" width="16" style="208" customWidth="1"/>
    <col min="13320" max="13320" width="18.85546875" style="208" customWidth="1"/>
    <col min="13321" max="13321" width="17" style="208" bestFit="1" customWidth="1"/>
    <col min="13322" max="13546" width="11.42578125" style="208"/>
    <col min="13547" max="13547" width="13.28515625" style="208" bestFit="1" customWidth="1"/>
    <col min="13548" max="13548" width="11.42578125" style="208"/>
    <col min="13549" max="13549" width="12.7109375" style="208" bestFit="1" customWidth="1"/>
    <col min="13550" max="13550" width="11.42578125" style="208"/>
    <col min="13551" max="13551" width="17.85546875" style="208" bestFit="1" customWidth="1"/>
    <col min="13552" max="13552" width="13.7109375" style="208" bestFit="1" customWidth="1"/>
    <col min="13553" max="13554" width="11.42578125" style="208"/>
    <col min="13555" max="13555" width="13.28515625" style="208" bestFit="1" customWidth="1"/>
    <col min="13556" max="13556" width="11.42578125" style="208"/>
    <col min="13557" max="13558" width="12.7109375" style="208" bestFit="1" customWidth="1"/>
    <col min="13559" max="13559" width="17.85546875" style="208" bestFit="1" customWidth="1"/>
    <col min="13560" max="13560" width="14.7109375" style="208" bestFit="1" customWidth="1"/>
    <col min="13561" max="13562" width="11.42578125" style="208"/>
    <col min="13563" max="13563" width="14.85546875" style="208" bestFit="1" customWidth="1"/>
    <col min="13564" max="13564" width="9.42578125" style="208" bestFit="1" customWidth="1"/>
    <col min="13565" max="13566" width="13.7109375" style="208" bestFit="1" customWidth="1"/>
    <col min="13567" max="13567" width="17.85546875" style="208" bestFit="1" customWidth="1"/>
    <col min="13568" max="13568" width="17" style="208" customWidth="1"/>
    <col min="13569" max="13569" width="12.85546875" style="208" customWidth="1"/>
    <col min="13570" max="13571" width="11.42578125" style="208"/>
    <col min="13572" max="13572" width="13.7109375" style="208" bestFit="1" customWidth="1"/>
    <col min="13573" max="13573" width="11.42578125" style="208"/>
    <col min="13574" max="13574" width="13.7109375" style="208" bestFit="1" customWidth="1"/>
    <col min="13575" max="13575" width="16" style="208" customWidth="1"/>
    <col min="13576" max="13576" width="18.85546875" style="208" customWidth="1"/>
    <col min="13577" max="13577" width="17" style="208" bestFit="1" customWidth="1"/>
    <col min="13578" max="13802" width="11.42578125" style="208"/>
    <col min="13803" max="13803" width="13.28515625" style="208" bestFit="1" customWidth="1"/>
    <col min="13804" max="13804" width="11.42578125" style="208"/>
    <col min="13805" max="13805" width="12.7109375" style="208" bestFit="1" customWidth="1"/>
    <col min="13806" max="13806" width="11.42578125" style="208"/>
    <col min="13807" max="13807" width="17.85546875" style="208" bestFit="1" customWidth="1"/>
    <col min="13808" max="13808" width="13.7109375" style="208" bestFit="1" customWidth="1"/>
    <col min="13809" max="13810" width="11.42578125" style="208"/>
    <col min="13811" max="13811" width="13.28515625" style="208" bestFit="1" customWidth="1"/>
    <col min="13812" max="13812" width="11.42578125" style="208"/>
    <col min="13813" max="13814" width="12.7109375" style="208" bestFit="1" customWidth="1"/>
    <col min="13815" max="13815" width="17.85546875" style="208" bestFit="1" customWidth="1"/>
    <col min="13816" max="13816" width="14.7109375" style="208" bestFit="1" customWidth="1"/>
    <col min="13817" max="13818" width="11.42578125" style="208"/>
    <col min="13819" max="13819" width="14.85546875" style="208" bestFit="1" customWidth="1"/>
    <col min="13820" max="13820" width="9.42578125" style="208" bestFit="1" customWidth="1"/>
    <col min="13821" max="13822" width="13.7109375" style="208" bestFit="1" customWidth="1"/>
    <col min="13823" max="13823" width="17.85546875" style="208" bestFit="1" customWidth="1"/>
    <col min="13824" max="13824" width="17" style="208" customWidth="1"/>
    <col min="13825" max="13825" width="12.85546875" style="208" customWidth="1"/>
    <col min="13826" max="13827" width="11.42578125" style="208"/>
    <col min="13828" max="13828" width="13.7109375" style="208" bestFit="1" customWidth="1"/>
    <col min="13829" max="13829" width="11.42578125" style="208"/>
    <col min="13830" max="13830" width="13.7109375" style="208" bestFit="1" customWidth="1"/>
    <col min="13831" max="13831" width="16" style="208" customWidth="1"/>
    <col min="13832" max="13832" width="18.85546875" style="208" customWidth="1"/>
    <col min="13833" max="13833" width="17" style="208" bestFit="1" customWidth="1"/>
    <col min="13834" max="14058" width="11.42578125" style="208"/>
    <col min="14059" max="14059" width="13.28515625" style="208" bestFit="1" customWidth="1"/>
    <col min="14060" max="14060" width="11.42578125" style="208"/>
    <col min="14061" max="14061" width="12.7109375" style="208" bestFit="1" customWidth="1"/>
    <col min="14062" max="14062" width="11.42578125" style="208"/>
    <col min="14063" max="14063" width="17.85546875" style="208" bestFit="1" customWidth="1"/>
    <col min="14064" max="14064" width="13.7109375" style="208" bestFit="1" customWidth="1"/>
    <col min="14065" max="14066" width="11.42578125" style="208"/>
    <col min="14067" max="14067" width="13.28515625" style="208" bestFit="1" customWidth="1"/>
    <col min="14068" max="14068" width="11.42578125" style="208"/>
    <col min="14069" max="14070" width="12.7109375" style="208" bestFit="1" customWidth="1"/>
    <col min="14071" max="14071" width="17.85546875" style="208" bestFit="1" customWidth="1"/>
    <col min="14072" max="14072" width="14.7109375" style="208" bestFit="1" customWidth="1"/>
    <col min="14073" max="14074" width="11.42578125" style="208"/>
    <col min="14075" max="14075" width="14.85546875" style="208" bestFit="1" customWidth="1"/>
    <col min="14076" max="14076" width="9.42578125" style="208" bestFit="1" customWidth="1"/>
    <col min="14077" max="14078" width="13.7109375" style="208" bestFit="1" customWidth="1"/>
    <col min="14079" max="14079" width="17.85546875" style="208" bestFit="1" customWidth="1"/>
    <col min="14080" max="14080" width="17" style="208" customWidth="1"/>
    <col min="14081" max="14081" width="12.85546875" style="208" customWidth="1"/>
    <col min="14082" max="14083" width="11.42578125" style="208"/>
    <col min="14084" max="14084" width="13.7109375" style="208" bestFit="1" customWidth="1"/>
    <col min="14085" max="14085" width="11.42578125" style="208"/>
    <col min="14086" max="14086" width="13.7109375" style="208" bestFit="1" customWidth="1"/>
    <col min="14087" max="14087" width="16" style="208" customWidth="1"/>
    <col min="14088" max="14088" width="18.85546875" style="208" customWidth="1"/>
    <col min="14089" max="14089" width="17" style="208" bestFit="1" customWidth="1"/>
    <col min="14090" max="14314" width="11.42578125" style="208"/>
    <col min="14315" max="14315" width="13.28515625" style="208" bestFit="1" customWidth="1"/>
    <col min="14316" max="14316" width="11.42578125" style="208"/>
    <col min="14317" max="14317" width="12.7109375" style="208" bestFit="1" customWidth="1"/>
    <col min="14318" max="14318" width="11.42578125" style="208"/>
    <col min="14319" max="14319" width="17.85546875" style="208" bestFit="1" customWidth="1"/>
    <col min="14320" max="14320" width="13.7109375" style="208" bestFit="1" customWidth="1"/>
    <col min="14321" max="14322" width="11.42578125" style="208"/>
    <col min="14323" max="14323" width="13.28515625" style="208" bestFit="1" customWidth="1"/>
    <col min="14324" max="14324" width="11.42578125" style="208"/>
    <col min="14325" max="14326" width="12.7109375" style="208" bestFit="1" customWidth="1"/>
    <col min="14327" max="14327" width="17.85546875" style="208" bestFit="1" customWidth="1"/>
    <col min="14328" max="14328" width="14.7109375" style="208" bestFit="1" customWidth="1"/>
    <col min="14329" max="14330" width="11.42578125" style="208"/>
    <col min="14331" max="14331" width="14.85546875" style="208" bestFit="1" customWidth="1"/>
    <col min="14332" max="14332" width="9.42578125" style="208" bestFit="1" customWidth="1"/>
    <col min="14333" max="14334" width="13.7109375" style="208" bestFit="1" customWidth="1"/>
    <col min="14335" max="14335" width="17.85546875" style="208" bestFit="1" customWidth="1"/>
    <col min="14336" max="14336" width="17" style="208" customWidth="1"/>
    <col min="14337" max="14337" width="12.85546875" style="208" customWidth="1"/>
    <col min="14338" max="14339" width="11.42578125" style="208"/>
    <col min="14340" max="14340" width="13.7109375" style="208" bestFit="1" customWidth="1"/>
    <col min="14341" max="14341" width="11.42578125" style="208"/>
    <col min="14342" max="14342" width="13.7109375" style="208" bestFit="1" customWidth="1"/>
    <col min="14343" max="14343" width="16" style="208" customWidth="1"/>
    <col min="14344" max="14344" width="18.85546875" style="208" customWidth="1"/>
    <col min="14345" max="14345" width="17" style="208" bestFit="1" customWidth="1"/>
    <col min="14346" max="14570" width="11.42578125" style="208"/>
    <col min="14571" max="14571" width="13.28515625" style="208" bestFit="1" customWidth="1"/>
    <col min="14572" max="14572" width="11.42578125" style="208"/>
    <col min="14573" max="14573" width="12.7109375" style="208" bestFit="1" customWidth="1"/>
    <col min="14574" max="14574" width="11.42578125" style="208"/>
    <col min="14575" max="14575" width="17.85546875" style="208" bestFit="1" customWidth="1"/>
    <col min="14576" max="14576" width="13.7109375" style="208" bestFit="1" customWidth="1"/>
    <col min="14577" max="14578" width="11.42578125" style="208"/>
    <col min="14579" max="14579" width="13.28515625" style="208" bestFit="1" customWidth="1"/>
    <col min="14580" max="14580" width="11.42578125" style="208"/>
    <col min="14581" max="14582" width="12.7109375" style="208" bestFit="1" customWidth="1"/>
    <col min="14583" max="14583" width="17.85546875" style="208" bestFit="1" customWidth="1"/>
    <col min="14584" max="14584" width="14.7109375" style="208" bestFit="1" customWidth="1"/>
    <col min="14585" max="14586" width="11.42578125" style="208"/>
    <col min="14587" max="14587" width="14.85546875" style="208" bestFit="1" customWidth="1"/>
    <col min="14588" max="14588" width="9.42578125" style="208" bestFit="1" customWidth="1"/>
    <col min="14589" max="14590" width="13.7109375" style="208" bestFit="1" customWidth="1"/>
    <col min="14591" max="14591" width="17.85546875" style="208" bestFit="1" customWidth="1"/>
    <col min="14592" max="14592" width="17" style="208" customWidth="1"/>
    <col min="14593" max="14593" width="12.85546875" style="208" customWidth="1"/>
    <col min="14594" max="14595" width="11.42578125" style="208"/>
    <col min="14596" max="14596" width="13.7109375" style="208" bestFit="1" customWidth="1"/>
    <col min="14597" max="14597" width="11.42578125" style="208"/>
    <col min="14598" max="14598" width="13.7109375" style="208" bestFit="1" customWidth="1"/>
    <col min="14599" max="14599" width="16" style="208" customWidth="1"/>
    <col min="14600" max="14600" width="18.85546875" style="208" customWidth="1"/>
    <col min="14601" max="14601" width="17" style="208" bestFit="1" customWidth="1"/>
    <col min="14602" max="14826" width="11.42578125" style="208"/>
    <col min="14827" max="14827" width="13.28515625" style="208" bestFit="1" customWidth="1"/>
    <col min="14828" max="14828" width="11.42578125" style="208"/>
    <col min="14829" max="14829" width="12.7109375" style="208" bestFit="1" customWidth="1"/>
    <col min="14830" max="14830" width="11.42578125" style="208"/>
    <col min="14831" max="14831" width="17.85546875" style="208" bestFit="1" customWidth="1"/>
    <col min="14832" max="14832" width="13.7109375" style="208" bestFit="1" customWidth="1"/>
    <col min="14833" max="14834" width="11.42578125" style="208"/>
    <col min="14835" max="14835" width="13.28515625" style="208" bestFit="1" customWidth="1"/>
    <col min="14836" max="14836" width="11.42578125" style="208"/>
    <col min="14837" max="14838" width="12.7109375" style="208" bestFit="1" customWidth="1"/>
    <col min="14839" max="14839" width="17.85546875" style="208" bestFit="1" customWidth="1"/>
    <col min="14840" max="14840" width="14.7109375" style="208" bestFit="1" customWidth="1"/>
    <col min="14841" max="14842" width="11.42578125" style="208"/>
    <col min="14843" max="14843" width="14.85546875" style="208" bestFit="1" customWidth="1"/>
    <col min="14844" max="14844" width="9.42578125" style="208" bestFit="1" customWidth="1"/>
    <col min="14845" max="14846" width="13.7109375" style="208" bestFit="1" customWidth="1"/>
    <col min="14847" max="14847" width="17.85546875" style="208" bestFit="1" customWidth="1"/>
    <col min="14848" max="14848" width="17" style="208" customWidth="1"/>
    <col min="14849" max="14849" width="12.85546875" style="208" customWidth="1"/>
    <col min="14850" max="14851" width="11.42578125" style="208"/>
    <col min="14852" max="14852" width="13.7109375" style="208" bestFit="1" customWidth="1"/>
    <col min="14853" max="14853" width="11.42578125" style="208"/>
    <col min="14854" max="14854" width="13.7109375" style="208" bestFit="1" customWidth="1"/>
    <col min="14855" max="14855" width="16" style="208" customWidth="1"/>
    <col min="14856" max="14856" width="18.85546875" style="208" customWidth="1"/>
    <col min="14857" max="14857" width="17" style="208" bestFit="1" customWidth="1"/>
    <col min="14858" max="15082" width="11.42578125" style="208"/>
    <col min="15083" max="15083" width="13.28515625" style="208" bestFit="1" customWidth="1"/>
    <col min="15084" max="15084" width="11.42578125" style="208"/>
    <col min="15085" max="15085" width="12.7109375" style="208" bestFit="1" customWidth="1"/>
    <col min="15086" max="15086" width="11.42578125" style="208"/>
    <col min="15087" max="15087" width="17.85546875" style="208" bestFit="1" customWidth="1"/>
    <col min="15088" max="15088" width="13.7109375" style="208" bestFit="1" customWidth="1"/>
    <col min="15089" max="15090" width="11.42578125" style="208"/>
    <col min="15091" max="15091" width="13.28515625" style="208" bestFit="1" customWidth="1"/>
    <col min="15092" max="15092" width="11.42578125" style="208"/>
    <col min="15093" max="15094" width="12.7109375" style="208" bestFit="1" customWidth="1"/>
    <col min="15095" max="15095" width="17.85546875" style="208" bestFit="1" customWidth="1"/>
    <col min="15096" max="15096" width="14.7109375" style="208" bestFit="1" customWidth="1"/>
    <col min="15097" max="15098" width="11.42578125" style="208"/>
    <col min="15099" max="15099" width="14.85546875" style="208" bestFit="1" customWidth="1"/>
    <col min="15100" max="15100" width="9.42578125" style="208" bestFit="1" customWidth="1"/>
    <col min="15101" max="15102" width="13.7109375" style="208" bestFit="1" customWidth="1"/>
    <col min="15103" max="15103" width="17.85546875" style="208" bestFit="1" customWidth="1"/>
    <col min="15104" max="15104" width="17" style="208" customWidth="1"/>
    <col min="15105" max="15105" width="12.85546875" style="208" customWidth="1"/>
    <col min="15106" max="15107" width="11.42578125" style="208"/>
    <col min="15108" max="15108" width="13.7109375" style="208" bestFit="1" customWidth="1"/>
    <col min="15109" max="15109" width="11.42578125" style="208"/>
    <col min="15110" max="15110" width="13.7109375" style="208" bestFit="1" customWidth="1"/>
    <col min="15111" max="15111" width="16" style="208" customWidth="1"/>
    <col min="15112" max="15112" width="18.85546875" style="208" customWidth="1"/>
    <col min="15113" max="15113" width="17" style="208" bestFit="1" customWidth="1"/>
    <col min="15114" max="15338" width="11.42578125" style="208"/>
    <col min="15339" max="15339" width="13.28515625" style="208" bestFit="1" customWidth="1"/>
    <col min="15340" max="15340" width="11.42578125" style="208"/>
    <col min="15341" max="15341" width="12.7109375" style="208" bestFit="1" customWidth="1"/>
    <col min="15342" max="15342" width="11.42578125" style="208"/>
    <col min="15343" max="15343" width="17.85546875" style="208" bestFit="1" customWidth="1"/>
    <col min="15344" max="15344" width="13.7109375" style="208" bestFit="1" customWidth="1"/>
    <col min="15345" max="15346" width="11.42578125" style="208"/>
    <col min="15347" max="15347" width="13.28515625" style="208" bestFit="1" customWidth="1"/>
    <col min="15348" max="15348" width="11.42578125" style="208"/>
    <col min="15349" max="15350" width="12.7109375" style="208" bestFit="1" customWidth="1"/>
    <col min="15351" max="15351" width="17.85546875" style="208" bestFit="1" customWidth="1"/>
    <col min="15352" max="15352" width="14.7109375" style="208" bestFit="1" customWidth="1"/>
    <col min="15353" max="15354" width="11.42578125" style="208"/>
    <col min="15355" max="15355" width="14.85546875" style="208" bestFit="1" customWidth="1"/>
    <col min="15356" max="15356" width="9.42578125" style="208" bestFit="1" customWidth="1"/>
    <col min="15357" max="15358" width="13.7109375" style="208" bestFit="1" customWidth="1"/>
    <col min="15359" max="15359" width="17.85546875" style="208" bestFit="1" customWidth="1"/>
    <col min="15360" max="15360" width="17" style="208" customWidth="1"/>
    <col min="15361" max="15361" width="12.85546875" style="208" customWidth="1"/>
    <col min="15362" max="15363" width="11.42578125" style="208"/>
    <col min="15364" max="15364" width="13.7109375" style="208" bestFit="1" customWidth="1"/>
    <col min="15365" max="15365" width="11.42578125" style="208"/>
    <col min="15366" max="15366" width="13.7109375" style="208" bestFit="1" customWidth="1"/>
    <col min="15367" max="15367" width="16" style="208" customWidth="1"/>
    <col min="15368" max="15368" width="18.85546875" style="208" customWidth="1"/>
    <col min="15369" max="15369" width="17" style="208" bestFit="1" customWidth="1"/>
    <col min="15370" max="15594" width="11.42578125" style="208"/>
    <col min="15595" max="15595" width="13.28515625" style="208" bestFit="1" customWidth="1"/>
    <col min="15596" max="15596" width="11.42578125" style="208"/>
    <col min="15597" max="15597" width="12.7109375" style="208" bestFit="1" customWidth="1"/>
    <col min="15598" max="15598" width="11.42578125" style="208"/>
    <col min="15599" max="15599" width="17.85546875" style="208" bestFit="1" customWidth="1"/>
    <col min="15600" max="15600" width="13.7109375" style="208" bestFit="1" customWidth="1"/>
    <col min="15601" max="15602" width="11.42578125" style="208"/>
    <col min="15603" max="15603" width="13.28515625" style="208" bestFit="1" customWidth="1"/>
    <col min="15604" max="15604" width="11.42578125" style="208"/>
    <col min="15605" max="15606" width="12.7109375" style="208" bestFit="1" customWidth="1"/>
    <col min="15607" max="15607" width="17.85546875" style="208" bestFit="1" customWidth="1"/>
    <col min="15608" max="15608" width="14.7109375" style="208" bestFit="1" customWidth="1"/>
    <col min="15609" max="15610" width="11.42578125" style="208"/>
    <col min="15611" max="15611" width="14.85546875" style="208" bestFit="1" customWidth="1"/>
    <col min="15612" max="15612" width="9.42578125" style="208" bestFit="1" customWidth="1"/>
    <col min="15613" max="15614" width="13.7109375" style="208" bestFit="1" customWidth="1"/>
    <col min="15615" max="15615" width="17.85546875" style="208" bestFit="1" customWidth="1"/>
    <col min="15616" max="15616" width="17" style="208" customWidth="1"/>
    <col min="15617" max="15617" width="12.85546875" style="208" customWidth="1"/>
    <col min="15618" max="15619" width="11.42578125" style="208"/>
    <col min="15620" max="15620" width="13.7109375" style="208" bestFit="1" customWidth="1"/>
    <col min="15621" max="15621" width="11.42578125" style="208"/>
    <col min="15622" max="15622" width="13.7109375" style="208" bestFit="1" customWidth="1"/>
    <col min="15623" max="15623" width="16" style="208" customWidth="1"/>
    <col min="15624" max="15624" width="18.85546875" style="208" customWidth="1"/>
    <col min="15625" max="15625" width="17" style="208" bestFit="1" customWidth="1"/>
    <col min="15626" max="15850" width="11.42578125" style="208"/>
    <col min="15851" max="15851" width="13.28515625" style="208" bestFit="1" customWidth="1"/>
    <col min="15852" max="15852" width="11.42578125" style="208"/>
    <col min="15853" max="15853" width="12.7109375" style="208" bestFit="1" customWidth="1"/>
    <col min="15854" max="15854" width="11.42578125" style="208"/>
    <col min="15855" max="15855" width="17.85546875" style="208" bestFit="1" customWidth="1"/>
    <col min="15856" max="15856" width="13.7109375" style="208" bestFit="1" customWidth="1"/>
    <col min="15857" max="15858" width="11.42578125" style="208"/>
    <col min="15859" max="15859" width="13.28515625" style="208" bestFit="1" customWidth="1"/>
    <col min="15860" max="15860" width="11.42578125" style="208"/>
    <col min="15861" max="15862" width="12.7109375" style="208" bestFit="1" customWidth="1"/>
    <col min="15863" max="15863" width="17.85546875" style="208" bestFit="1" customWidth="1"/>
    <col min="15864" max="15864" width="14.7109375" style="208" bestFit="1" customWidth="1"/>
    <col min="15865" max="15866" width="11.42578125" style="208"/>
    <col min="15867" max="15867" width="14.85546875" style="208" bestFit="1" customWidth="1"/>
    <col min="15868" max="15868" width="9.42578125" style="208" bestFit="1" customWidth="1"/>
    <col min="15869" max="15870" width="13.7109375" style="208" bestFit="1" customWidth="1"/>
    <col min="15871" max="15871" width="17.85546875" style="208" bestFit="1" customWidth="1"/>
    <col min="15872" max="15872" width="17" style="208" customWidth="1"/>
    <col min="15873" max="15873" width="12.85546875" style="208" customWidth="1"/>
    <col min="15874" max="15875" width="11.42578125" style="208"/>
    <col min="15876" max="15876" width="13.7109375" style="208" bestFit="1" customWidth="1"/>
    <col min="15877" max="15877" width="11.42578125" style="208"/>
    <col min="15878" max="15878" width="13.7109375" style="208" bestFit="1" customWidth="1"/>
    <col min="15879" max="15879" width="16" style="208" customWidth="1"/>
    <col min="15880" max="15880" width="18.85546875" style="208" customWidth="1"/>
    <col min="15881" max="15881" width="17" style="208" bestFit="1" customWidth="1"/>
    <col min="15882" max="16106" width="11.42578125" style="208"/>
    <col min="16107" max="16107" width="13.28515625" style="208" bestFit="1" customWidth="1"/>
    <col min="16108" max="16108" width="11.42578125" style="208"/>
    <col min="16109" max="16109" width="12.7109375" style="208" bestFit="1" customWidth="1"/>
    <col min="16110" max="16110" width="11.42578125" style="208"/>
    <col min="16111" max="16111" width="17.85546875" style="208" bestFit="1" customWidth="1"/>
    <col min="16112" max="16112" width="13.7109375" style="208" bestFit="1" customWidth="1"/>
    <col min="16113" max="16114" width="11.42578125" style="208"/>
    <col min="16115" max="16115" width="13.28515625" style="208" bestFit="1" customWidth="1"/>
    <col min="16116" max="16116" width="11.42578125" style="208"/>
    <col min="16117" max="16118" width="12.7109375" style="208" bestFit="1" customWidth="1"/>
    <col min="16119" max="16119" width="17.85546875" style="208" bestFit="1" customWidth="1"/>
    <col min="16120" max="16120" width="14.7109375" style="208" bestFit="1" customWidth="1"/>
    <col min="16121" max="16122" width="11.42578125" style="208"/>
    <col min="16123" max="16123" width="14.85546875" style="208" bestFit="1" customWidth="1"/>
    <col min="16124" max="16124" width="9.42578125" style="208" bestFit="1" customWidth="1"/>
    <col min="16125" max="16126" width="13.7109375" style="208" bestFit="1" customWidth="1"/>
    <col min="16127" max="16127" width="17.85546875" style="208" bestFit="1" customWidth="1"/>
    <col min="16128" max="16128" width="17" style="208" customWidth="1"/>
    <col min="16129" max="16129" width="12.85546875" style="208" customWidth="1"/>
    <col min="16130" max="16131" width="11.42578125" style="208"/>
    <col min="16132" max="16132" width="13.7109375" style="208" bestFit="1" customWidth="1"/>
    <col min="16133" max="16133" width="11.42578125" style="208"/>
    <col min="16134" max="16134" width="13.7109375" style="208" bestFit="1" customWidth="1"/>
    <col min="16135" max="16135" width="16" style="208" customWidth="1"/>
    <col min="16136" max="16136" width="18.85546875" style="208" customWidth="1"/>
    <col min="16137" max="16137" width="17" style="208" bestFit="1" customWidth="1"/>
    <col min="16138" max="16384" width="11.42578125" style="208"/>
  </cols>
  <sheetData>
    <row r="1" spans="2:11" x14ac:dyDescent="0.2">
      <c r="D1" s="354" t="s">
        <v>1234</v>
      </c>
      <c r="E1" s="354" t="s">
        <v>1235</v>
      </c>
      <c r="F1" s="354" t="s">
        <v>1236</v>
      </c>
      <c r="G1" s="354" t="s">
        <v>1237</v>
      </c>
      <c r="H1" s="354" t="s">
        <v>1238</v>
      </c>
    </row>
    <row r="2" spans="2:11" x14ac:dyDescent="0.2">
      <c r="B2" s="208" t="s">
        <v>1239</v>
      </c>
      <c r="C2" s="210">
        <v>2000000000</v>
      </c>
      <c r="D2" s="215">
        <v>0</v>
      </c>
      <c r="E2" s="209"/>
      <c r="F2" s="209"/>
      <c r="G2" s="209"/>
      <c r="H2" s="211">
        <f>+C2</f>
        <v>2000000000</v>
      </c>
    </row>
    <row r="3" spans="2:11" x14ac:dyDescent="0.2">
      <c r="B3" s="208" t="s">
        <v>1240</v>
      </c>
      <c r="C3" s="208">
        <v>36</v>
      </c>
      <c r="D3" s="215">
        <v>1</v>
      </c>
      <c r="E3" s="212">
        <f>+$C$5</f>
        <v>72304791.07183367</v>
      </c>
      <c r="F3" s="212">
        <f>+H2*$C$4</f>
        <v>30000000</v>
      </c>
      <c r="G3" s="212">
        <f>+E3-F3</f>
        <v>42304791.07183367</v>
      </c>
      <c r="H3" s="211">
        <f>+H2-G3</f>
        <v>1957695208.9281664</v>
      </c>
    </row>
    <row r="4" spans="2:11" ht="15" x14ac:dyDescent="0.25">
      <c r="B4" s="208" t="s">
        <v>1241</v>
      </c>
      <c r="C4" s="214">
        <f>+C9</f>
        <v>1.4999999999999999E-2</v>
      </c>
      <c r="D4" s="215">
        <v>2</v>
      </c>
      <c r="E4" s="212">
        <f t="shared" ref="E4:E38" si="0">+$C$5</f>
        <v>72304791.07183367</v>
      </c>
      <c r="F4" s="212">
        <f t="shared" ref="F4:F15" si="1">+H3*$C$4</f>
        <v>29365428.133922495</v>
      </c>
      <c r="G4" s="212">
        <f t="shared" ref="G4:G15" si="2">+E4-F4</f>
        <v>42939362.937911175</v>
      </c>
      <c r="H4" s="211">
        <f t="shared" ref="H4:H15" si="3">+H3-G4</f>
        <v>1914755845.9902551</v>
      </c>
    </row>
    <row r="5" spans="2:11" x14ac:dyDescent="0.2">
      <c r="B5" s="208" t="s">
        <v>1242</v>
      </c>
      <c r="C5" s="213">
        <f>+PMT(C4,C3,-C2)</f>
        <v>72304791.07183367</v>
      </c>
      <c r="D5" s="215">
        <v>3</v>
      </c>
      <c r="E5" s="212">
        <f t="shared" si="0"/>
        <v>72304791.07183367</v>
      </c>
      <c r="F5" s="212">
        <f t="shared" si="1"/>
        <v>28721337.689853825</v>
      </c>
      <c r="G5" s="212">
        <f t="shared" si="2"/>
        <v>43583453.381979845</v>
      </c>
      <c r="H5" s="211">
        <f t="shared" si="3"/>
        <v>1871172392.6082752</v>
      </c>
    </row>
    <row r="6" spans="2:11" x14ac:dyDescent="0.2">
      <c r="D6" s="215">
        <v>4</v>
      </c>
      <c r="E6" s="212">
        <f t="shared" si="0"/>
        <v>72304791.07183367</v>
      </c>
      <c r="F6" s="212">
        <f t="shared" si="1"/>
        <v>28067585.889124125</v>
      </c>
      <c r="G6" s="212">
        <f t="shared" si="2"/>
        <v>44237205.182709545</v>
      </c>
      <c r="H6" s="211">
        <f t="shared" si="3"/>
        <v>1826935187.4255657</v>
      </c>
    </row>
    <row r="7" spans="2:11" x14ac:dyDescent="0.2">
      <c r="D7" s="215">
        <v>5</v>
      </c>
      <c r="E7" s="212">
        <f t="shared" si="0"/>
        <v>72304791.07183367</v>
      </c>
      <c r="F7" s="212">
        <f t="shared" si="1"/>
        <v>27404027.811383486</v>
      </c>
      <c r="G7" s="212">
        <f t="shared" si="2"/>
        <v>44900763.260450184</v>
      </c>
      <c r="H7" s="211">
        <f t="shared" si="3"/>
        <v>1782034424.1651156</v>
      </c>
    </row>
    <row r="8" spans="2:11" x14ac:dyDescent="0.2">
      <c r="B8" s="208" t="s">
        <v>1309</v>
      </c>
      <c r="C8" s="255">
        <v>0.18</v>
      </c>
      <c r="D8" s="215">
        <v>6</v>
      </c>
      <c r="E8" s="212">
        <f t="shared" si="0"/>
        <v>72304791.07183367</v>
      </c>
      <c r="F8" s="212">
        <f t="shared" si="1"/>
        <v>26730516.362476733</v>
      </c>
      <c r="G8" s="212">
        <f t="shared" si="2"/>
        <v>45574274.709356934</v>
      </c>
      <c r="H8" s="211">
        <f t="shared" si="3"/>
        <v>1736460149.4557586</v>
      </c>
    </row>
    <row r="9" spans="2:11" x14ac:dyDescent="0.2">
      <c r="C9" s="218">
        <f>+C8/12</f>
        <v>1.4999999999999999E-2</v>
      </c>
      <c r="D9" s="215">
        <v>7</v>
      </c>
      <c r="E9" s="212">
        <f t="shared" si="0"/>
        <v>72304791.07183367</v>
      </c>
      <c r="F9" s="212">
        <f t="shared" si="1"/>
        <v>26046902.241836376</v>
      </c>
      <c r="G9" s="212">
        <f t="shared" si="2"/>
        <v>46257888.829997294</v>
      </c>
      <c r="H9" s="211">
        <f t="shared" si="3"/>
        <v>1690202260.6257613</v>
      </c>
    </row>
    <row r="10" spans="2:11" x14ac:dyDescent="0.2">
      <c r="D10" s="215">
        <v>8</v>
      </c>
      <c r="E10" s="212">
        <f t="shared" si="0"/>
        <v>72304791.07183367</v>
      </c>
      <c r="F10" s="212">
        <f t="shared" si="1"/>
        <v>25353033.909386419</v>
      </c>
      <c r="G10" s="212">
        <f t="shared" si="2"/>
        <v>46951757.162447251</v>
      </c>
      <c r="H10" s="211">
        <f t="shared" si="3"/>
        <v>1643250503.4633141</v>
      </c>
    </row>
    <row r="11" spans="2:11" x14ac:dyDescent="0.2">
      <c r="D11" s="215">
        <v>9</v>
      </c>
      <c r="E11" s="212">
        <f t="shared" si="0"/>
        <v>72304791.07183367</v>
      </c>
      <c r="F11" s="212">
        <f t="shared" si="1"/>
        <v>24648757.55194971</v>
      </c>
      <c r="G11" s="212">
        <f t="shared" si="2"/>
        <v>47656033.51988396</v>
      </c>
      <c r="H11" s="211">
        <f t="shared" si="3"/>
        <v>1595594469.9434302</v>
      </c>
    </row>
    <row r="12" spans="2:11" x14ac:dyDescent="0.2">
      <c r="D12" s="215">
        <v>10</v>
      </c>
      <c r="E12" s="212">
        <f t="shared" si="0"/>
        <v>72304791.07183367</v>
      </c>
      <c r="F12" s="212">
        <f t="shared" si="1"/>
        <v>23933917.04915145</v>
      </c>
      <c r="G12" s="212">
        <f t="shared" si="2"/>
        <v>48370874.02268222</v>
      </c>
      <c r="H12" s="211">
        <f t="shared" si="3"/>
        <v>1547223595.920748</v>
      </c>
      <c r="K12" s="221"/>
    </row>
    <row r="13" spans="2:11" x14ac:dyDescent="0.2">
      <c r="D13" s="215">
        <v>11</v>
      </c>
      <c r="E13" s="212">
        <f t="shared" si="0"/>
        <v>72304791.07183367</v>
      </c>
      <c r="F13" s="212">
        <f t="shared" si="1"/>
        <v>23208353.93881122</v>
      </c>
      <c r="G13" s="212">
        <f t="shared" si="2"/>
        <v>49096437.13302245</v>
      </c>
      <c r="H13" s="211">
        <f t="shared" si="3"/>
        <v>1498127158.7877254</v>
      </c>
    </row>
    <row r="14" spans="2:11" x14ac:dyDescent="0.2">
      <c r="D14" s="215">
        <v>12</v>
      </c>
      <c r="E14" s="212">
        <f t="shared" si="0"/>
        <v>72304791.07183367</v>
      </c>
      <c r="F14" s="212">
        <f t="shared" si="1"/>
        <v>22471907.381815881</v>
      </c>
      <c r="G14" s="212">
        <f t="shared" si="2"/>
        <v>49832883.69001779</v>
      </c>
      <c r="H14" s="211">
        <f t="shared" si="3"/>
        <v>1448294275.0977077</v>
      </c>
      <c r="K14" s="218"/>
    </row>
    <row r="15" spans="2:11" x14ac:dyDescent="0.2">
      <c r="D15" s="216">
        <v>13</v>
      </c>
      <c r="E15" s="212">
        <f t="shared" si="0"/>
        <v>72304791.07183367</v>
      </c>
      <c r="F15" s="212">
        <f t="shared" si="1"/>
        <v>21724414.126465615</v>
      </c>
      <c r="G15" s="212">
        <f t="shared" si="2"/>
        <v>50580376.945368052</v>
      </c>
      <c r="H15" s="211">
        <f t="shared" si="3"/>
        <v>1397713898.1523397</v>
      </c>
    </row>
    <row r="16" spans="2:11" x14ac:dyDescent="0.2">
      <c r="D16" s="216">
        <v>14</v>
      </c>
      <c r="E16" s="212">
        <f t="shared" si="0"/>
        <v>72304791.07183367</v>
      </c>
      <c r="F16" s="212">
        <f t="shared" ref="F16:F38" si="4">+H15*$C$4</f>
        <v>20965708.472285096</v>
      </c>
      <c r="G16" s="212">
        <f t="shared" ref="G16:G38" si="5">+E16-F16</f>
        <v>51339082.599548578</v>
      </c>
      <c r="H16" s="211">
        <f t="shared" ref="H16:H38" si="6">+H15-G16</f>
        <v>1346374815.5527911</v>
      </c>
    </row>
    <row r="17" spans="4:10" x14ac:dyDescent="0.2">
      <c r="D17" s="216">
        <v>15</v>
      </c>
      <c r="E17" s="212">
        <f t="shared" si="0"/>
        <v>72304791.07183367</v>
      </c>
      <c r="F17" s="212">
        <f t="shared" si="4"/>
        <v>20195622.233291864</v>
      </c>
      <c r="G17" s="212">
        <f t="shared" si="5"/>
        <v>52109168.838541806</v>
      </c>
      <c r="H17" s="211">
        <f t="shared" si="6"/>
        <v>1294265646.7142494</v>
      </c>
    </row>
    <row r="18" spans="4:10" x14ac:dyDescent="0.2">
      <c r="D18" s="216">
        <v>16</v>
      </c>
      <c r="E18" s="212">
        <f t="shared" si="0"/>
        <v>72304791.07183367</v>
      </c>
      <c r="F18" s="212">
        <f t="shared" si="4"/>
        <v>19413984.700713739</v>
      </c>
      <c r="G18" s="212">
        <f t="shared" si="5"/>
        <v>52890806.371119931</v>
      </c>
      <c r="H18" s="211">
        <f t="shared" si="6"/>
        <v>1241374840.3431294</v>
      </c>
      <c r="J18" s="218"/>
    </row>
    <row r="19" spans="4:10" x14ac:dyDescent="0.2">
      <c r="D19" s="216">
        <v>17</v>
      </c>
      <c r="E19" s="212">
        <f t="shared" si="0"/>
        <v>72304791.07183367</v>
      </c>
      <c r="F19" s="212">
        <f t="shared" si="4"/>
        <v>18620622.605146941</v>
      </c>
      <c r="G19" s="212">
        <f t="shared" si="5"/>
        <v>53684168.466686726</v>
      </c>
      <c r="H19" s="211">
        <f t="shared" si="6"/>
        <v>1187690671.8764427</v>
      </c>
    </row>
    <row r="20" spans="4:10" x14ac:dyDescent="0.2">
      <c r="D20" s="216">
        <v>18</v>
      </c>
      <c r="E20" s="212">
        <f t="shared" si="0"/>
        <v>72304791.07183367</v>
      </c>
      <c r="F20" s="212">
        <f t="shared" si="4"/>
        <v>17815360.07814664</v>
      </c>
      <c r="G20" s="212">
        <f t="shared" si="5"/>
        <v>54489430.993687034</v>
      </c>
      <c r="H20" s="211">
        <f t="shared" si="6"/>
        <v>1133201240.8827558</v>
      </c>
    </row>
    <row r="21" spans="4:10" x14ac:dyDescent="0.2">
      <c r="D21" s="216">
        <v>19</v>
      </c>
      <c r="E21" s="212">
        <f t="shared" si="0"/>
        <v>72304791.07183367</v>
      </c>
      <c r="F21" s="212">
        <f t="shared" si="4"/>
        <v>16998018.613241337</v>
      </c>
      <c r="G21" s="212">
        <f t="shared" si="5"/>
        <v>55306772.458592333</v>
      </c>
      <c r="H21" s="211">
        <f t="shared" si="6"/>
        <v>1077894468.4241633</v>
      </c>
    </row>
    <row r="22" spans="4:10" x14ac:dyDescent="0.2">
      <c r="D22" s="216">
        <v>20</v>
      </c>
      <c r="E22" s="212">
        <f t="shared" si="0"/>
        <v>72304791.07183367</v>
      </c>
      <c r="F22" s="212">
        <f t="shared" si="4"/>
        <v>16168417.026362449</v>
      </c>
      <c r="G22" s="212">
        <f t="shared" si="5"/>
        <v>56136374.045471221</v>
      </c>
      <c r="H22" s="211">
        <f t="shared" si="6"/>
        <v>1021758094.3786922</v>
      </c>
    </row>
    <row r="23" spans="4:10" x14ac:dyDescent="0.2">
      <c r="D23" s="216">
        <v>21</v>
      </c>
      <c r="E23" s="212">
        <f t="shared" si="0"/>
        <v>72304791.07183367</v>
      </c>
      <c r="F23" s="212">
        <f t="shared" si="4"/>
        <v>15326371.415680382</v>
      </c>
      <c r="G23" s="212">
        <f t="shared" si="5"/>
        <v>56978419.656153291</v>
      </c>
      <c r="H23" s="211">
        <f t="shared" si="6"/>
        <v>964779674.72253883</v>
      </c>
    </row>
    <row r="24" spans="4:10" x14ac:dyDescent="0.2">
      <c r="D24" s="216">
        <v>22</v>
      </c>
      <c r="E24" s="212">
        <f t="shared" si="0"/>
        <v>72304791.07183367</v>
      </c>
      <c r="F24" s="212">
        <f t="shared" si="4"/>
        <v>14471695.120838081</v>
      </c>
      <c r="G24" s="212">
        <f t="shared" si="5"/>
        <v>57833095.950995587</v>
      </c>
      <c r="H24" s="211">
        <f t="shared" si="6"/>
        <v>906946578.77154326</v>
      </c>
    </row>
    <row r="25" spans="4:10" x14ac:dyDescent="0.2">
      <c r="D25" s="216">
        <v>23</v>
      </c>
      <c r="E25" s="212">
        <f t="shared" si="0"/>
        <v>72304791.07183367</v>
      </c>
      <c r="F25" s="212">
        <f t="shared" si="4"/>
        <v>13604198.681573149</v>
      </c>
      <c r="G25" s="212">
        <f t="shared" si="5"/>
        <v>58700592.390260518</v>
      </c>
      <c r="H25" s="211">
        <f t="shared" si="6"/>
        <v>848245986.38128281</v>
      </c>
    </row>
    <row r="26" spans="4:10" x14ac:dyDescent="0.2">
      <c r="D26" s="216">
        <v>24</v>
      </c>
      <c r="E26" s="212">
        <f t="shared" si="0"/>
        <v>72304791.07183367</v>
      </c>
      <c r="F26" s="212">
        <f t="shared" si="4"/>
        <v>12723689.795719242</v>
      </c>
      <c r="G26" s="212">
        <f t="shared" si="5"/>
        <v>59581101.276114427</v>
      </c>
      <c r="H26" s="211">
        <f t="shared" si="6"/>
        <v>788664885.10516834</v>
      </c>
    </row>
    <row r="27" spans="4:10" x14ac:dyDescent="0.2">
      <c r="D27" s="217">
        <v>25</v>
      </c>
      <c r="E27" s="212">
        <f t="shared" si="0"/>
        <v>72304791.07183367</v>
      </c>
      <c r="F27" s="212">
        <f t="shared" si="4"/>
        <v>11829973.276577525</v>
      </c>
      <c r="G27" s="212">
        <f t="shared" si="5"/>
        <v>60474817.795256145</v>
      </c>
      <c r="H27" s="211">
        <f t="shared" si="6"/>
        <v>728190067.3099122</v>
      </c>
    </row>
    <row r="28" spans="4:10" x14ac:dyDescent="0.2">
      <c r="D28" s="217">
        <v>26</v>
      </c>
      <c r="E28" s="212">
        <f t="shared" si="0"/>
        <v>72304791.07183367</v>
      </c>
      <c r="F28" s="212">
        <f t="shared" si="4"/>
        <v>10922851.009648683</v>
      </c>
      <c r="G28" s="212">
        <f t="shared" si="5"/>
        <v>61381940.062184989</v>
      </c>
      <c r="H28" s="211">
        <f t="shared" si="6"/>
        <v>666808127.24772716</v>
      </c>
    </row>
    <row r="29" spans="4:10" x14ac:dyDescent="0.2">
      <c r="D29" s="217">
        <v>27</v>
      </c>
      <c r="E29" s="212">
        <f t="shared" si="0"/>
        <v>72304791.07183367</v>
      </c>
      <c r="F29" s="212">
        <f t="shared" si="4"/>
        <v>10002121.908715907</v>
      </c>
      <c r="G29" s="212">
        <f t="shared" si="5"/>
        <v>62302669.163117766</v>
      </c>
      <c r="H29" s="211">
        <f t="shared" si="6"/>
        <v>604505458.08460939</v>
      </c>
    </row>
    <row r="30" spans="4:10" x14ac:dyDescent="0.2">
      <c r="D30" s="217">
        <v>28</v>
      </c>
      <c r="E30" s="212">
        <f t="shared" si="0"/>
        <v>72304791.07183367</v>
      </c>
      <c r="F30" s="212">
        <f t="shared" si="4"/>
        <v>9067581.8712691404</v>
      </c>
      <c r="G30" s="212">
        <f t="shared" si="5"/>
        <v>63237209.200564533</v>
      </c>
      <c r="H30" s="211">
        <f t="shared" si="6"/>
        <v>541268248.88404489</v>
      </c>
    </row>
    <row r="31" spans="4:10" x14ac:dyDescent="0.2">
      <c r="D31" s="217">
        <v>29</v>
      </c>
      <c r="E31" s="212">
        <f t="shared" si="0"/>
        <v>72304791.07183367</v>
      </c>
      <c r="F31" s="212">
        <f t="shared" si="4"/>
        <v>8119023.7332606725</v>
      </c>
      <c r="G31" s="212">
        <f t="shared" si="5"/>
        <v>64185767.338572994</v>
      </c>
      <c r="H31" s="211">
        <f t="shared" si="6"/>
        <v>477082481.54547191</v>
      </c>
    </row>
    <row r="32" spans="4:10" x14ac:dyDescent="0.2">
      <c r="D32" s="217">
        <v>30</v>
      </c>
      <c r="E32" s="212">
        <f t="shared" si="0"/>
        <v>72304791.07183367</v>
      </c>
      <c r="F32" s="212">
        <f t="shared" si="4"/>
        <v>7156237.2231820785</v>
      </c>
      <c r="G32" s="212">
        <f t="shared" si="5"/>
        <v>65148553.848651588</v>
      </c>
      <c r="H32" s="211">
        <f t="shared" si="6"/>
        <v>411933927.69682032</v>
      </c>
    </row>
    <row r="33" spans="4:8" x14ac:dyDescent="0.2">
      <c r="D33" s="217">
        <v>31</v>
      </c>
      <c r="E33" s="212">
        <f t="shared" si="0"/>
        <v>72304791.07183367</v>
      </c>
      <c r="F33" s="212">
        <f t="shared" si="4"/>
        <v>6179008.9154523043</v>
      </c>
      <c r="G33" s="212">
        <f t="shared" si="5"/>
        <v>66125782.156381369</v>
      </c>
      <c r="H33" s="211">
        <f t="shared" si="6"/>
        <v>345808145.54043895</v>
      </c>
    </row>
    <row r="34" spans="4:8" x14ac:dyDescent="0.2">
      <c r="D34" s="217">
        <v>32</v>
      </c>
      <c r="E34" s="212">
        <f t="shared" si="0"/>
        <v>72304791.07183367</v>
      </c>
      <c r="F34" s="212">
        <f t="shared" si="4"/>
        <v>5187122.1831065845</v>
      </c>
      <c r="G34" s="212">
        <f t="shared" si="5"/>
        <v>67117668.888727084</v>
      </c>
      <c r="H34" s="211">
        <f t="shared" si="6"/>
        <v>278690476.65171188</v>
      </c>
    </row>
    <row r="35" spans="4:8" x14ac:dyDescent="0.2">
      <c r="D35" s="217">
        <v>33</v>
      </c>
      <c r="E35" s="212">
        <f t="shared" si="0"/>
        <v>72304791.07183367</v>
      </c>
      <c r="F35" s="212">
        <f t="shared" si="4"/>
        <v>4180357.1497756783</v>
      </c>
      <c r="G35" s="212">
        <f t="shared" si="5"/>
        <v>68124433.922057986</v>
      </c>
      <c r="H35" s="211">
        <f t="shared" si="6"/>
        <v>210566042.72965389</v>
      </c>
    </row>
    <row r="36" spans="4:8" x14ac:dyDescent="0.2">
      <c r="D36" s="217">
        <v>34</v>
      </c>
      <c r="E36" s="212">
        <f t="shared" si="0"/>
        <v>72304791.07183367</v>
      </c>
      <c r="F36" s="212">
        <f t="shared" si="4"/>
        <v>3158490.6409448083</v>
      </c>
      <c r="G36" s="212">
        <f t="shared" si="5"/>
        <v>69146300.430888861</v>
      </c>
      <c r="H36" s="211">
        <f t="shared" si="6"/>
        <v>141419742.29876503</v>
      </c>
    </row>
    <row r="37" spans="4:8" x14ac:dyDescent="0.2">
      <c r="D37" s="217">
        <v>35</v>
      </c>
      <c r="E37" s="212">
        <f t="shared" si="0"/>
        <v>72304791.07183367</v>
      </c>
      <c r="F37" s="212">
        <f t="shared" si="4"/>
        <v>2121296.1344814752</v>
      </c>
      <c r="G37" s="212">
        <f t="shared" si="5"/>
        <v>70183494.937352195</v>
      </c>
      <c r="H37" s="211">
        <f t="shared" si="6"/>
        <v>71236247.361412838</v>
      </c>
    </row>
    <row r="38" spans="4:8" x14ac:dyDescent="0.2">
      <c r="D38" s="217">
        <v>36</v>
      </c>
      <c r="E38" s="212">
        <f t="shared" si="0"/>
        <v>72304791.07183367</v>
      </c>
      <c r="F38" s="212">
        <f t="shared" si="4"/>
        <v>1068543.7104211925</v>
      </c>
      <c r="G38" s="212">
        <f t="shared" si="5"/>
        <v>71236247.36141248</v>
      </c>
      <c r="H38" s="211">
        <f t="shared" si="6"/>
        <v>3.5762786865234375E-7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C2:I94"/>
  <sheetViews>
    <sheetView topLeftCell="B73" workbookViewId="0">
      <selection activeCell="D88" sqref="D88"/>
    </sheetView>
  </sheetViews>
  <sheetFormatPr baseColWidth="10" defaultRowHeight="15" x14ac:dyDescent="0.25"/>
  <cols>
    <col min="3" max="3" width="70.140625" customWidth="1"/>
    <col min="4" max="4" width="22.85546875" bestFit="1" customWidth="1"/>
    <col min="5" max="5" width="26.42578125" bestFit="1" customWidth="1"/>
    <col min="6" max="6" width="19.28515625" customWidth="1"/>
    <col min="7" max="7" width="22.140625" bestFit="1" customWidth="1"/>
    <col min="8" max="8" width="23.28515625" bestFit="1" customWidth="1"/>
    <col min="9" max="9" width="17.7109375" bestFit="1" customWidth="1"/>
  </cols>
  <sheetData>
    <row r="2" spans="3:9" x14ac:dyDescent="0.25">
      <c r="C2" s="728" t="s">
        <v>1421</v>
      </c>
      <c r="D2" s="728"/>
      <c r="E2" s="728"/>
      <c r="F2" s="728"/>
      <c r="G2" s="728"/>
      <c r="H2" s="728"/>
      <c r="I2" s="728"/>
    </row>
    <row r="4" spans="3:9" x14ac:dyDescent="0.25">
      <c r="C4" s="4"/>
      <c r="D4" s="310" t="s">
        <v>1289</v>
      </c>
      <c r="E4" s="310" t="s">
        <v>0</v>
      </c>
      <c r="F4" s="310" t="s">
        <v>1</v>
      </c>
      <c r="G4" s="310" t="s">
        <v>2</v>
      </c>
      <c r="H4" s="310" t="s">
        <v>496</v>
      </c>
      <c r="I4" s="310" t="s">
        <v>497</v>
      </c>
    </row>
    <row r="5" spans="3:9" x14ac:dyDescent="0.25">
      <c r="C5" s="1"/>
      <c r="D5" s="310">
        <v>2021</v>
      </c>
      <c r="E5" s="310">
        <v>2022</v>
      </c>
      <c r="F5" s="310">
        <v>2023</v>
      </c>
      <c r="G5" s="310">
        <v>2024</v>
      </c>
      <c r="H5" s="310">
        <v>2025</v>
      </c>
      <c r="I5" s="310">
        <v>2026</v>
      </c>
    </row>
    <row r="6" spans="3:9" x14ac:dyDescent="0.25">
      <c r="C6" s="1" t="s">
        <v>1826</v>
      </c>
      <c r="D6" s="293"/>
      <c r="E6" s="34">
        <f>+'Calculos oferta -demanda 2'!G59</f>
        <v>7596.9144639850483</v>
      </c>
      <c r="F6" s="34">
        <f>+'Calculos oferta -demanda 2'!H59</f>
        <v>7761.7675078535221</v>
      </c>
      <c r="G6" s="34">
        <f>+'Calculos oferta -demanda 2'!I59</f>
        <v>7930.1978627739445</v>
      </c>
      <c r="H6" s="34">
        <f>+'Calculos oferta -demanda 2'!J59</f>
        <v>8102.2831563961381</v>
      </c>
      <c r="I6" s="34">
        <f>+'Calculos oferta -demanda 2'!K59</f>
        <v>8278.1027008899346</v>
      </c>
    </row>
    <row r="7" spans="3:9" x14ac:dyDescent="0.25">
      <c r="C7" s="1" t="s">
        <v>1827</v>
      </c>
      <c r="D7" s="293"/>
      <c r="E7" s="325">
        <v>0.2</v>
      </c>
      <c r="F7" s="325">
        <f>+E7</f>
        <v>0.2</v>
      </c>
      <c r="G7" s="325">
        <f t="shared" ref="G7:I7" si="0">+F7</f>
        <v>0.2</v>
      </c>
      <c r="H7" s="325">
        <f t="shared" si="0"/>
        <v>0.2</v>
      </c>
      <c r="I7" s="325">
        <f t="shared" si="0"/>
        <v>0.2</v>
      </c>
    </row>
    <row r="8" spans="3:9" x14ac:dyDescent="0.25">
      <c r="C8" s="310" t="s">
        <v>1828</v>
      </c>
      <c r="D8" s="741" t="s">
        <v>1829</v>
      </c>
      <c r="E8" s="742"/>
      <c r="F8" s="742"/>
      <c r="G8" s="742"/>
      <c r="H8" s="742"/>
      <c r="I8" s="743"/>
    </row>
    <row r="9" spans="3:9" x14ac:dyDescent="0.25">
      <c r="C9" s="310"/>
      <c r="D9" s="310"/>
      <c r="E9" s="31"/>
      <c r="F9" s="2"/>
      <c r="G9" s="2"/>
      <c r="H9" s="2"/>
      <c r="I9" s="2"/>
    </row>
    <row r="10" spans="3:9" x14ac:dyDescent="0.25">
      <c r="C10" s="1" t="s">
        <v>507</v>
      </c>
      <c r="D10" s="30">
        <v>90000</v>
      </c>
      <c r="E10" s="2">
        <f>+(D10*'Calculos oferta -demanda 2'!$C$76)+'Servicios complementarios'!D10</f>
        <v>93510</v>
      </c>
      <c r="F10" s="2">
        <f>+(E10*'Calculos oferta -demanda 2'!$C$76)+'Servicios complementarios'!E10</f>
        <v>97156.89</v>
      </c>
      <c r="G10" s="2">
        <f>+(F10*'Calculos oferta -demanda 2'!$C$76)+'Servicios complementarios'!F10</f>
        <v>100946.00870999999</v>
      </c>
      <c r="H10" s="2">
        <f>+(G10*'Calculos oferta -demanda 2'!$C$76)+'Servicios complementarios'!G10</f>
        <v>104882.90304968999</v>
      </c>
      <c r="I10" s="2">
        <f>+(H10*'Calculos oferta -demanda 2'!$C$76)+'Servicios complementarios'!H10</f>
        <v>108973.3362686279</v>
      </c>
    </row>
    <row r="11" spans="3:9" x14ac:dyDescent="0.25">
      <c r="C11" s="1" t="s">
        <v>510</v>
      </c>
      <c r="D11" s="30">
        <v>30000</v>
      </c>
      <c r="E11" s="2">
        <f>+(D11*'Calculos oferta -demanda 2'!$C$76)+'Servicios complementarios'!D11</f>
        <v>31170</v>
      </c>
      <c r="F11" s="2">
        <f>+(E11*'Calculos oferta -demanda 2'!$C$76)+'Servicios complementarios'!E11</f>
        <v>32385.63</v>
      </c>
      <c r="G11" s="2">
        <f>+(F11*'Calculos oferta -demanda 2'!$C$76)+'Servicios complementarios'!F11</f>
        <v>33648.669569999998</v>
      </c>
      <c r="H11" s="2">
        <f>+(G11*'Calculos oferta -demanda 2'!$C$76)+'Servicios complementarios'!G11</f>
        <v>34960.967683229996</v>
      </c>
      <c r="I11" s="2">
        <f>+(H11*'Calculos oferta -demanda 2'!$C$76)+'Servicios complementarios'!H11</f>
        <v>36324.445422875964</v>
      </c>
    </row>
    <row r="12" spans="3:9" x14ac:dyDescent="0.25">
      <c r="C12" s="1" t="s">
        <v>512</v>
      </c>
      <c r="D12" s="30">
        <v>40000</v>
      </c>
      <c r="E12" s="2">
        <f>+(D12*'Calculos oferta -demanda 2'!$C$76)+'Servicios complementarios'!D12</f>
        <v>41560</v>
      </c>
      <c r="F12" s="2">
        <f>+(E12*'Calculos oferta -demanda 2'!$C$76)+'Servicios complementarios'!E12</f>
        <v>43180.84</v>
      </c>
      <c r="G12" s="2">
        <f>+(F12*'Calculos oferta -demanda 2'!$C$76)+'Servicios complementarios'!F12</f>
        <v>44864.892759999995</v>
      </c>
      <c r="H12" s="2">
        <f>+(G12*'Calculos oferta -demanda 2'!$C$76)+'Servicios complementarios'!G12</f>
        <v>46614.623577639992</v>
      </c>
      <c r="I12" s="2">
        <f>+(H12*'Calculos oferta -demanda 2'!$C$76)+'Servicios complementarios'!H12</f>
        <v>48432.59389716795</v>
      </c>
    </row>
    <row r="13" spans="3:9" x14ac:dyDescent="0.25">
      <c r="C13" s="1" t="s">
        <v>513</v>
      </c>
      <c r="D13" s="30">
        <v>40000</v>
      </c>
      <c r="E13" s="2">
        <f>+(D13*'Calculos oferta -demanda 2'!$C$76)+'Servicios complementarios'!D13</f>
        <v>41560</v>
      </c>
      <c r="F13" s="2">
        <f>+(E13*'Calculos oferta -demanda 2'!$C$76)+'Servicios complementarios'!E13</f>
        <v>43180.84</v>
      </c>
      <c r="G13" s="2">
        <f>+(F13*'Calculos oferta -demanda 2'!$C$76)+'Servicios complementarios'!F13</f>
        <v>44864.892759999995</v>
      </c>
      <c r="H13" s="2">
        <f>+(G13*'Calculos oferta -demanda 2'!$C$76)+'Servicios complementarios'!G13</f>
        <v>46614.623577639992</v>
      </c>
      <c r="I13" s="2">
        <f>+(H13*'Calculos oferta -demanda 2'!$C$76)+'Servicios complementarios'!H13</f>
        <v>48432.59389716795</v>
      </c>
    </row>
    <row r="14" spans="3:9" x14ac:dyDescent="0.25">
      <c r="C14" s="1" t="s">
        <v>514</v>
      </c>
      <c r="D14" s="30">
        <v>30000</v>
      </c>
      <c r="E14" s="2">
        <f>+(D14*'Calculos oferta -demanda 2'!$C$76)+'Servicios complementarios'!D14</f>
        <v>31170</v>
      </c>
      <c r="F14" s="2">
        <f>+(E14*'Calculos oferta -demanda 2'!$C$76)+'Servicios complementarios'!E14</f>
        <v>32385.63</v>
      </c>
      <c r="G14" s="2">
        <f>+(F14*'Calculos oferta -demanda 2'!$C$76)+'Servicios complementarios'!F14</f>
        <v>33648.669569999998</v>
      </c>
      <c r="H14" s="2">
        <f>+(G14*'Calculos oferta -demanda 2'!$C$76)+'Servicios complementarios'!G14</f>
        <v>34960.967683229996</v>
      </c>
      <c r="I14" s="2">
        <f>+(H14*'Calculos oferta -demanda 2'!$C$76)+'Servicios complementarios'!H14</f>
        <v>36324.445422875964</v>
      </c>
    </row>
    <row r="15" spans="3:9" x14ac:dyDescent="0.25">
      <c r="C15" s="1" t="s">
        <v>50</v>
      </c>
      <c r="D15" s="30">
        <v>30000</v>
      </c>
      <c r="E15" s="2">
        <f>+(D15*'Calculos oferta -demanda 2'!$C$76)+'Servicios complementarios'!D15</f>
        <v>31170</v>
      </c>
      <c r="F15" s="2">
        <f>+(E15*'Calculos oferta -demanda 2'!$C$76)+'Servicios complementarios'!E15</f>
        <v>32385.63</v>
      </c>
      <c r="G15" s="2">
        <f>+(F15*'Calculos oferta -demanda 2'!$C$76)+'Servicios complementarios'!F15</f>
        <v>33648.669569999998</v>
      </c>
      <c r="H15" s="2">
        <f>+(G15*'Calculos oferta -demanda 2'!$C$76)+'Servicios complementarios'!G15</f>
        <v>34960.967683229996</v>
      </c>
      <c r="I15" s="2">
        <f>+(H15*'Calculos oferta -demanda 2'!$C$76)+'Servicios complementarios'!H15</f>
        <v>36324.445422875964</v>
      </c>
    </row>
    <row r="16" spans="3:9" x14ac:dyDescent="0.25">
      <c r="C16" s="310"/>
      <c r="D16" s="310"/>
      <c r="E16" s="31"/>
      <c r="F16" s="2"/>
      <c r="G16" s="2"/>
      <c r="H16" s="2"/>
      <c r="I16" s="2"/>
    </row>
    <row r="17" spans="3:9" x14ac:dyDescent="0.25">
      <c r="C17" s="4"/>
      <c r="D17" s="293"/>
      <c r="E17" s="28"/>
      <c r="F17" s="2"/>
      <c r="G17" s="2"/>
      <c r="H17" s="2"/>
      <c r="I17" s="2"/>
    </row>
    <row r="18" spans="3:9" x14ac:dyDescent="0.25">
      <c r="C18" s="318" t="s">
        <v>1425</v>
      </c>
      <c r="D18" s="319"/>
      <c r="E18" s="138">
        <f>+AVERAGE(E10:E15)*E7*E6</f>
        <v>68407682.443364039</v>
      </c>
      <c r="F18" s="138">
        <f t="shared" ref="F18:I18" si="1">+AVERAGE(F10:F15)*F7*F6</f>
        <v>72617922.189328015</v>
      </c>
      <c r="G18" s="138">
        <f t="shared" si="1"/>
        <v>77087286.613769069</v>
      </c>
      <c r="H18" s="138">
        <f t="shared" si="1"/>
        <v>81831723.88188608</v>
      </c>
      <c r="I18" s="138">
        <f t="shared" si="1"/>
        <v>86868163.709437802</v>
      </c>
    </row>
    <row r="20" spans="3:9" x14ac:dyDescent="0.25">
      <c r="E20" s="35"/>
    </row>
    <row r="21" spans="3:9" x14ac:dyDescent="0.25">
      <c r="C21" s="322" t="s">
        <v>505</v>
      </c>
      <c r="D21" s="75"/>
      <c r="E21" s="35"/>
    </row>
    <row r="22" spans="3:9" x14ac:dyDescent="0.25">
      <c r="C22" s="1"/>
      <c r="D22" s="68"/>
    </row>
    <row r="23" spans="3:9" x14ac:dyDescent="0.25">
      <c r="C23" s="1" t="s">
        <v>506</v>
      </c>
      <c r="D23" s="341"/>
    </row>
    <row r="24" spans="3:9" x14ac:dyDescent="0.25">
      <c r="C24" s="1" t="s">
        <v>509</v>
      </c>
      <c r="D24" s="341"/>
    </row>
    <row r="25" spans="3:9" x14ac:dyDescent="0.25">
      <c r="C25" s="1" t="s">
        <v>508</v>
      </c>
      <c r="D25" s="341"/>
    </row>
    <row r="26" spans="3:9" x14ac:dyDescent="0.25">
      <c r="C26" s="1" t="s">
        <v>507</v>
      </c>
      <c r="D26" s="341"/>
    </row>
    <row r="27" spans="3:9" x14ac:dyDescent="0.25">
      <c r="C27" s="1" t="s">
        <v>510</v>
      </c>
      <c r="D27" s="341"/>
    </row>
    <row r="28" spans="3:9" x14ac:dyDescent="0.25">
      <c r="C28" s="1" t="s">
        <v>511</v>
      </c>
      <c r="D28" s="341"/>
      <c r="E28" s="49"/>
    </row>
    <row r="29" spans="3:9" x14ac:dyDescent="0.25">
      <c r="C29" s="1" t="s">
        <v>512</v>
      </c>
      <c r="D29" s="341"/>
    </row>
    <row r="30" spans="3:9" x14ac:dyDescent="0.25">
      <c r="C30" s="1" t="s">
        <v>513</v>
      </c>
      <c r="D30" s="341"/>
    </row>
    <row r="31" spans="3:9" x14ac:dyDescent="0.25">
      <c r="C31" s="1" t="s">
        <v>514</v>
      </c>
      <c r="D31" s="341"/>
    </row>
    <row r="32" spans="3:9" x14ac:dyDescent="0.25">
      <c r="C32" s="1" t="s">
        <v>50</v>
      </c>
      <c r="D32" s="341"/>
    </row>
    <row r="33" spans="3:9" x14ac:dyDescent="0.25">
      <c r="C33" s="1" t="s">
        <v>515</v>
      </c>
      <c r="D33" s="341"/>
    </row>
    <row r="34" spans="3:9" x14ac:dyDescent="0.25">
      <c r="C34" s="1" t="s">
        <v>516</v>
      </c>
      <c r="D34" s="341"/>
    </row>
    <row r="35" spans="3:9" x14ac:dyDescent="0.25">
      <c r="C35" s="1" t="s">
        <v>517</v>
      </c>
      <c r="D35" s="341"/>
    </row>
    <row r="36" spans="3:9" x14ac:dyDescent="0.25">
      <c r="C36" s="1" t="s">
        <v>518</v>
      </c>
      <c r="D36" s="341"/>
    </row>
    <row r="37" spans="3:9" x14ac:dyDescent="0.25">
      <c r="C37" s="1" t="s">
        <v>519</v>
      </c>
      <c r="D37" s="341"/>
    </row>
    <row r="40" spans="3:9" x14ac:dyDescent="0.25">
      <c r="C40" s="728" t="s">
        <v>1422</v>
      </c>
      <c r="D40" s="728"/>
      <c r="E40" s="728"/>
      <c r="F40" s="728"/>
      <c r="G40" s="728"/>
      <c r="H40" s="728"/>
      <c r="I40" s="728"/>
    </row>
    <row r="42" spans="3:9" ht="15" customHeight="1" x14ac:dyDescent="0.25">
      <c r="C42" s="740" t="s">
        <v>1423</v>
      </c>
      <c r="D42" s="740"/>
      <c r="E42" s="740"/>
      <c r="F42" s="740"/>
      <c r="G42" s="740"/>
      <c r="H42" s="740"/>
      <c r="I42" s="740"/>
    </row>
    <row r="43" spans="3:9" x14ac:dyDescent="0.25">
      <c r="C43" s="740"/>
      <c r="D43" s="740"/>
      <c r="E43" s="740"/>
      <c r="F43" s="740"/>
      <c r="G43" s="740"/>
      <c r="H43" s="740"/>
      <c r="I43" s="740"/>
    </row>
    <row r="44" spans="3:9" x14ac:dyDescent="0.25">
      <c r="C44" s="740"/>
      <c r="D44" s="740"/>
      <c r="E44" s="740"/>
      <c r="F44" s="740"/>
      <c r="G44" s="740"/>
      <c r="H44" s="740"/>
      <c r="I44" s="740"/>
    </row>
    <row r="47" spans="3:9" x14ac:dyDescent="0.25">
      <c r="C47" s="4"/>
      <c r="D47" s="310" t="s">
        <v>1289</v>
      </c>
      <c r="E47" s="310" t="s">
        <v>0</v>
      </c>
      <c r="F47" s="310" t="s">
        <v>1</v>
      </c>
      <c r="G47" s="310" t="s">
        <v>2</v>
      </c>
      <c r="H47" s="310" t="s">
        <v>496</v>
      </c>
      <c r="I47" s="310" t="s">
        <v>497</v>
      </c>
    </row>
    <row r="48" spans="3:9" x14ac:dyDescent="0.25">
      <c r="C48" s="1"/>
      <c r="D48" s="310">
        <v>2021</v>
      </c>
      <c r="E48" s="310">
        <v>2022</v>
      </c>
      <c r="F48" s="310">
        <v>2023</v>
      </c>
      <c r="G48" s="310">
        <v>2024</v>
      </c>
      <c r="H48" s="310">
        <v>2025</v>
      </c>
      <c r="I48" s="310">
        <v>2026</v>
      </c>
    </row>
    <row r="49" spans="3:9" x14ac:dyDescent="0.25">
      <c r="C49" s="1" t="s">
        <v>1826</v>
      </c>
      <c r="D49" s="293"/>
      <c r="E49" s="34">
        <f>+'Calculos oferta -demanda 2'!G59</f>
        <v>7596.9144639850483</v>
      </c>
      <c r="F49" s="34">
        <f>+'Calculos oferta -demanda 2'!H59</f>
        <v>7761.7675078535221</v>
      </c>
      <c r="G49" s="34">
        <f>+'Calculos oferta -demanda 2'!I59</f>
        <v>7930.1978627739445</v>
      </c>
      <c r="H49" s="34">
        <f>+'Calculos oferta -demanda 2'!J59</f>
        <v>8102.2831563961381</v>
      </c>
      <c r="I49" s="34">
        <f>+'Calculos oferta -demanda 2'!K59</f>
        <v>8278.1027008899346</v>
      </c>
    </row>
    <row r="50" spans="3:9" x14ac:dyDescent="0.25">
      <c r="C50" s="1" t="s">
        <v>1830</v>
      </c>
      <c r="D50" s="293"/>
      <c r="E50" s="325">
        <v>0.4</v>
      </c>
      <c r="F50" s="325">
        <v>0.4</v>
      </c>
      <c r="G50" s="325">
        <v>0.4</v>
      </c>
      <c r="H50" s="325">
        <v>0.4</v>
      </c>
      <c r="I50" s="325">
        <v>0.4</v>
      </c>
    </row>
    <row r="51" spans="3:9" x14ac:dyDescent="0.25">
      <c r="C51" s="310" t="s">
        <v>504</v>
      </c>
      <c r="D51" s="310" t="s">
        <v>1401</v>
      </c>
      <c r="E51" s="31"/>
      <c r="F51" s="2"/>
      <c r="G51" s="2"/>
      <c r="H51" s="2"/>
      <c r="I51" s="2"/>
    </row>
    <row r="52" spans="3:9" x14ac:dyDescent="0.25">
      <c r="C52" s="4" t="s">
        <v>1424</v>
      </c>
      <c r="D52" s="28">
        <v>120000</v>
      </c>
      <c r="E52" s="28">
        <f>+(D52*'Calculos oferta -demanda 2'!$C$76)+'Servicios complementarios'!D52</f>
        <v>124680</v>
      </c>
      <c r="F52" s="28">
        <f>+(E52*'Calculos oferta -demanda 2'!$C$76)+'Servicios complementarios'!E52</f>
        <v>129542.52</v>
      </c>
      <c r="G52" s="28">
        <f>+(F52*'Calculos oferta -demanda 2'!$C$76)+'Servicios complementarios'!F52</f>
        <v>134594.67827999999</v>
      </c>
      <c r="H52" s="28">
        <f>+(G52*'Calculos oferta -demanda 2'!$C$76)+'Servicios complementarios'!G52</f>
        <v>139843.87073291998</v>
      </c>
      <c r="I52" s="28">
        <f>+(H52*'Calculos oferta -demanda 2'!$C$76)+'Servicios complementarios'!H52</f>
        <v>145297.78169150386</v>
      </c>
    </row>
    <row r="53" spans="3:9" x14ac:dyDescent="0.25">
      <c r="C53" s="4" t="s">
        <v>1427</v>
      </c>
      <c r="D53" s="28">
        <f>+D52*40%</f>
        <v>48000</v>
      </c>
      <c r="E53" s="28">
        <f>+(D53*'Calculos oferta -demanda 2'!$C$76)+'Servicios complementarios'!D53</f>
        <v>49872</v>
      </c>
      <c r="F53" s="28">
        <f>+(E53*'Calculos oferta -demanda 2'!$C$76)+'Servicios complementarios'!E53</f>
        <v>51817.008000000002</v>
      </c>
      <c r="G53" s="28">
        <f>+(F53*'Calculos oferta -demanda 2'!$C$76)+'Servicios complementarios'!F53</f>
        <v>53837.871312000003</v>
      </c>
      <c r="H53" s="28">
        <f>+(G53*'Calculos oferta -demanda 2'!$C$76)+'Servicios complementarios'!G53</f>
        <v>55937.548293168002</v>
      </c>
      <c r="I53" s="28">
        <f>+(H53*'Calculos oferta -demanda 2'!$C$76)+'Servicios complementarios'!H53</f>
        <v>58119.112676601551</v>
      </c>
    </row>
    <row r="54" spans="3:9" x14ac:dyDescent="0.25">
      <c r="C54" s="4"/>
      <c r="D54" s="28"/>
      <c r="E54" s="28"/>
      <c r="F54" s="28"/>
      <c r="G54" s="28"/>
      <c r="H54" s="28"/>
      <c r="I54" s="28"/>
    </row>
    <row r="55" spans="3:9" x14ac:dyDescent="0.25">
      <c r="C55" s="318" t="s">
        <v>1253</v>
      </c>
      <c r="D55" s="319"/>
      <c r="E55" s="138">
        <f>+E52*$E$50*$E$49</f>
        <v>378873318.14786232</v>
      </c>
      <c r="F55" s="138">
        <f t="shared" ref="F55:I55" si="2">+F52*F50*F49</f>
        <v>402191569.04858601</v>
      </c>
      <c r="G55" s="138">
        <f t="shared" si="2"/>
        <v>426944972.0147211</v>
      </c>
      <c r="H55" s="138">
        <f t="shared" si="2"/>
        <v>453221855.34583056</v>
      </c>
      <c r="I55" s="138">
        <f t="shared" si="2"/>
        <v>481115983.62150168</v>
      </c>
    </row>
    <row r="56" spans="3:9" x14ac:dyDescent="0.25">
      <c r="C56" s="318" t="s">
        <v>1426</v>
      </c>
      <c r="D56" s="318"/>
      <c r="E56" s="138">
        <f>+E53*$E$50*$E$49</f>
        <v>151549327.25914496</v>
      </c>
      <c r="F56" s="138">
        <f t="shared" ref="F56:I56" si="3">+F53*$E$50*$E$49</f>
        <v>157459751.02225161</v>
      </c>
      <c r="G56" s="138">
        <f t="shared" si="3"/>
        <v>163600681.31211942</v>
      </c>
      <c r="H56" s="138">
        <f t="shared" si="3"/>
        <v>169981107.88329205</v>
      </c>
      <c r="I56" s="138">
        <f t="shared" si="3"/>
        <v>176610371.09074044</v>
      </c>
    </row>
    <row r="58" spans="3:9" x14ac:dyDescent="0.25">
      <c r="E58" s="161"/>
      <c r="F58" s="161"/>
      <c r="G58" s="161"/>
      <c r="H58" s="161"/>
      <c r="I58" s="161"/>
    </row>
    <row r="59" spans="3:9" x14ac:dyDescent="0.25">
      <c r="E59" s="53"/>
      <c r="F59" s="53"/>
      <c r="G59" s="53"/>
      <c r="H59" s="53"/>
      <c r="I59" s="53"/>
    </row>
    <row r="60" spans="3:9" x14ac:dyDescent="0.25">
      <c r="E60" s="46"/>
      <c r="F60" s="46"/>
      <c r="G60" s="46"/>
      <c r="H60" s="46"/>
      <c r="I60" s="46"/>
    </row>
    <row r="61" spans="3:9" x14ac:dyDescent="0.25">
      <c r="C61" s="728" t="s">
        <v>1451</v>
      </c>
      <c r="D61" s="728"/>
      <c r="E61" s="728"/>
      <c r="F61" s="728"/>
      <c r="G61" s="728"/>
      <c r="H61" s="728"/>
      <c r="I61" s="728"/>
    </row>
    <row r="63" spans="3:9" x14ac:dyDescent="0.25">
      <c r="C63" s="4"/>
      <c r="D63" s="310" t="s">
        <v>1289</v>
      </c>
      <c r="E63" s="310" t="s">
        <v>0</v>
      </c>
      <c r="F63" s="310" t="s">
        <v>1</v>
      </c>
      <c r="G63" s="310" t="s">
        <v>2</v>
      </c>
      <c r="H63" s="310" t="s">
        <v>496</v>
      </c>
      <c r="I63" s="310" t="s">
        <v>497</v>
      </c>
    </row>
    <row r="64" spans="3:9" x14ac:dyDescent="0.25">
      <c r="C64" s="1"/>
      <c r="D64" s="310">
        <v>2021</v>
      </c>
      <c r="E64" s="310">
        <v>2022</v>
      </c>
      <c r="F64" s="310">
        <v>2023</v>
      </c>
      <c r="G64" s="310">
        <v>2024</v>
      </c>
      <c r="H64" s="310">
        <v>2025</v>
      </c>
      <c r="I64" s="310">
        <v>2026</v>
      </c>
    </row>
    <row r="65" spans="3:9" x14ac:dyDescent="0.25">
      <c r="C65" s="1" t="s">
        <v>1831</v>
      </c>
      <c r="D65" s="293"/>
      <c r="E65" s="34">
        <f>+'Calculos oferta -demanda 2'!G43</f>
        <v>4795.3121688000001</v>
      </c>
      <c r="F65" s="34">
        <f>+'Calculos oferta -demanda 2'!H43</f>
        <v>4942.6061181825607</v>
      </c>
      <c r="G65" s="34">
        <f>+'Calculos oferta -demanda 2'!I43</f>
        <v>5058.1725058527463</v>
      </c>
      <c r="H65" s="34">
        <f>+'Calculos oferta -demanda 2'!J43</f>
        <v>5112.1526450897745</v>
      </c>
      <c r="I65" s="34">
        <f>+'Calculos oferta -demanda 2'!K43</f>
        <v>5245.5307313722551</v>
      </c>
    </row>
    <row r="66" spans="3:9" x14ac:dyDescent="0.25">
      <c r="C66" s="1" t="s">
        <v>1455</v>
      </c>
      <c r="D66" s="293"/>
      <c r="E66" s="325">
        <v>0.15</v>
      </c>
      <c r="F66" s="325">
        <f>+E66</f>
        <v>0.15</v>
      </c>
      <c r="G66" s="325">
        <f t="shared" ref="G66:I66" si="4">+F66</f>
        <v>0.15</v>
      </c>
      <c r="H66" s="325">
        <f t="shared" si="4"/>
        <v>0.15</v>
      </c>
      <c r="I66" s="325">
        <f t="shared" si="4"/>
        <v>0.15</v>
      </c>
    </row>
    <row r="67" spans="3:9" x14ac:dyDescent="0.25">
      <c r="C67" s="310" t="s">
        <v>54</v>
      </c>
      <c r="D67" s="310" t="s">
        <v>1401</v>
      </c>
      <c r="E67" s="31"/>
      <c r="F67" s="2"/>
      <c r="G67" s="2"/>
      <c r="H67" s="2"/>
      <c r="I67" s="2"/>
    </row>
    <row r="68" spans="3:9" x14ac:dyDescent="0.25">
      <c r="C68" s="4" t="s">
        <v>1452</v>
      </c>
      <c r="D68" s="28">
        <f>+H94*2</f>
        <v>5129856</v>
      </c>
      <c r="E68" s="28">
        <f>+((D68*'Calculos oferta -demanda 2'!$C$76)+'Servicios complementarios'!D68)*2%</f>
        <v>106598.40767999999</v>
      </c>
      <c r="F68" s="28">
        <f>+(E68*'Calculos oferta -demanda 2'!$C$76)+'Servicios complementarios'!E68</f>
        <v>110755.74557951999</v>
      </c>
      <c r="G68" s="28">
        <f>+(F68*'Calculos oferta -demanda 2'!$C$76)+'Servicios complementarios'!F68</f>
        <v>115075.21965712127</v>
      </c>
      <c r="H68" s="28">
        <f>+(G68*'Calculos oferta -demanda 2'!$C$76)+'Servicios complementarios'!G68</f>
        <v>119563.153223749</v>
      </c>
      <c r="I68" s="28">
        <f>+(H68*'Calculos oferta -demanda 2'!$C$76)+'Servicios complementarios'!H68</f>
        <v>124226.11619947522</v>
      </c>
    </row>
    <row r="69" spans="3:9" x14ac:dyDescent="0.25">
      <c r="C69" s="4" t="s">
        <v>1454</v>
      </c>
      <c r="D69" s="28">
        <f>+H94</f>
        <v>2564928</v>
      </c>
      <c r="E69" s="28">
        <f>+((D69*'Calculos oferta -demanda 2'!$C$76)+'Servicios complementarios'!D69)*2%</f>
        <v>53299.203839999995</v>
      </c>
      <c r="F69" s="28">
        <f>+(E69*'Calculos oferta -demanda 2'!$C$76)+'Servicios complementarios'!E69</f>
        <v>55377.872789759997</v>
      </c>
      <c r="G69" s="28">
        <f>+(F69*'Calculos oferta -demanda 2'!$C$76)+'Servicios complementarios'!F69</f>
        <v>57537.609828560635</v>
      </c>
      <c r="H69" s="28">
        <f>+(G69*'Calculos oferta -demanda 2'!$C$76)+'Servicios complementarios'!G69</f>
        <v>59781.576611874501</v>
      </c>
      <c r="I69" s="28">
        <f>+(H69*'Calculos oferta -demanda 2'!$C$76)+'Servicios complementarios'!H69</f>
        <v>62113.058099737609</v>
      </c>
    </row>
    <row r="70" spans="3:9" x14ac:dyDescent="0.25">
      <c r="C70" s="4"/>
      <c r="D70" s="28"/>
      <c r="E70" s="28"/>
      <c r="F70" s="28"/>
      <c r="G70" s="28"/>
      <c r="H70" s="28"/>
      <c r="I70" s="28"/>
    </row>
    <row r="71" spans="3:9" x14ac:dyDescent="0.25">
      <c r="C71" s="318" t="s">
        <v>1253</v>
      </c>
      <c r="D71" s="319"/>
      <c r="E71" s="138">
        <f>+E68*E66*E65</f>
        <v>76675896.228391096</v>
      </c>
      <c r="F71" s="138">
        <f t="shared" ref="F71:I71" si="5">+F68*F66*F65</f>
        <v>82113303.85878098</v>
      </c>
      <c r="G71" s="138">
        <f t="shared" si="5"/>
        <v>87310546.826192439</v>
      </c>
      <c r="H71" s="138">
        <f t="shared" si="5"/>
        <v>91683763.501209378</v>
      </c>
      <c r="I71" s="138">
        <f t="shared" si="5"/>
        <v>97744786.524505198</v>
      </c>
    </row>
    <row r="72" spans="3:9" x14ac:dyDescent="0.25">
      <c r="C72" s="318" t="s">
        <v>1426</v>
      </c>
      <c r="D72" s="318"/>
      <c r="E72" s="138">
        <f>+E69*E66*E65</f>
        <v>38337948.114195548</v>
      </c>
      <c r="F72" s="138">
        <f t="shared" ref="F72:I72" si="6">+F69*F66*F65</f>
        <v>41056651.92939049</v>
      </c>
      <c r="G72" s="138">
        <f t="shared" si="6"/>
        <v>43655273.413096219</v>
      </c>
      <c r="H72" s="138">
        <f t="shared" si="6"/>
        <v>45841881.750604689</v>
      </c>
      <c r="I72" s="138">
        <f t="shared" si="6"/>
        <v>48872393.262252599</v>
      </c>
    </row>
    <row r="74" spans="3:9" x14ac:dyDescent="0.25">
      <c r="E74" s="161"/>
      <c r="F74" s="161"/>
      <c r="G74" s="161"/>
      <c r="H74" s="161"/>
      <c r="I74" s="161"/>
    </row>
    <row r="75" spans="3:9" x14ac:dyDescent="0.25">
      <c r="E75" s="328"/>
      <c r="F75" s="328"/>
      <c r="G75" s="328"/>
      <c r="H75" s="328"/>
      <c r="I75" s="328"/>
    </row>
    <row r="76" spans="3:9" x14ac:dyDescent="0.25">
      <c r="D76" s="15"/>
    </row>
    <row r="77" spans="3:9" x14ac:dyDescent="0.25">
      <c r="C77" s="128" t="s">
        <v>1115</v>
      </c>
      <c r="D77" s="128" t="s">
        <v>1206</v>
      </c>
      <c r="E77" s="128" t="s">
        <v>1233</v>
      </c>
      <c r="F77" s="128" t="s">
        <v>1112</v>
      </c>
      <c r="G77" s="128" t="s">
        <v>1091</v>
      </c>
      <c r="H77" s="128" t="s">
        <v>1092</v>
      </c>
    </row>
    <row r="78" spans="3:9" x14ac:dyDescent="0.25">
      <c r="C78" s="734" t="s">
        <v>1832</v>
      </c>
      <c r="D78" s="29" t="s">
        <v>1207</v>
      </c>
      <c r="E78" s="30">
        <v>1</v>
      </c>
      <c r="F78" s="29">
        <v>18500</v>
      </c>
      <c r="G78" s="29">
        <f t="shared" ref="G78:G93" si="7">+F78*E78</f>
        <v>18500</v>
      </c>
      <c r="H78" s="29">
        <f t="shared" ref="H78:H93" si="8">+F78*E78*12</f>
        <v>222000</v>
      </c>
    </row>
    <row r="79" spans="3:9" x14ac:dyDescent="0.25">
      <c r="C79" s="734"/>
      <c r="D79" s="29" t="s">
        <v>1208</v>
      </c>
      <c r="E79" s="30">
        <v>3</v>
      </c>
      <c r="F79" s="29">
        <v>2300</v>
      </c>
      <c r="G79" s="29">
        <f t="shared" si="7"/>
        <v>6900</v>
      </c>
      <c r="H79" s="29">
        <f t="shared" si="8"/>
        <v>82800</v>
      </c>
    </row>
    <row r="80" spans="3:9" x14ac:dyDescent="0.25">
      <c r="C80" s="734"/>
      <c r="D80" s="29" t="s">
        <v>1209</v>
      </c>
      <c r="E80" s="30">
        <v>3</v>
      </c>
      <c r="F80" s="29">
        <v>7200</v>
      </c>
      <c r="G80" s="29">
        <f t="shared" si="7"/>
        <v>21600</v>
      </c>
      <c r="H80" s="29">
        <f t="shared" si="8"/>
        <v>259200</v>
      </c>
    </row>
    <row r="81" spans="3:8" x14ac:dyDescent="0.25">
      <c r="C81" s="734"/>
      <c r="D81" s="29" t="s">
        <v>1210</v>
      </c>
      <c r="E81" s="30">
        <v>1</v>
      </c>
      <c r="F81" s="29">
        <v>34250</v>
      </c>
      <c r="G81" s="29">
        <f t="shared" si="7"/>
        <v>34250</v>
      </c>
      <c r="H81" s="29">
        <f t="shared" si="8"/>
        <v>411000</v>
      </c>
    </row>
    <row r="82" spans="3:8" x14ac:dyDescent="0.25">
      <c r="C82" s="734"/>
      <c r="D82" s="29" t="s">
        <v>1211</v>
      </c>
      <c r="E82" s="30">
        <v>1</v>
      </c>
      <c r="F82" s="29">
        <v>86250</v>
      </c>
      <c r="G82" s="29">
        <f t="shared" si="7"/>
        <v>86250</v>
      </c>
      <c r="H82" s="29">
        <f t="shared" si="8"/>
        <v>1035000</v>
      </c>
    </row>
    <row r="83" spans="3:8" x14ac:dyDescent="0.25">
      <c r="C83" s="734"/>
      <c r="D83" s="29" t="s">
        <v>1212</v>
      </c>
      <c r="E83" s="30">
        <v>2</v>
      </c>
      <c r="F83" s="29">
        <v>1900</v>
      </c>
      <c r="G83" s="29">
        <f t="shared" si="7"/>
        <v>3800</v>
      </c>
      <c r="H83" s="29">
        <f t="shared" si="8"/>
        <v>45600</v>
      </c>
    </row>
    <row r="84" spans="3:8" x14ac:dyDescent="0.25">
      <c r="C84" s="734"/>
      <c r="D84" s="29" t="s">
        <v>1213</v>
      </c>
      <c r="E84" s="30">
        <v>2</v>
      </c>
      <c r="F84" s="29">
        <v>2530</v>
      </c>
      <c r="G84" s="29">
        <f t="shared" si="7"/>
        <v>5060</v>
      </c>
      <c r="H84" s="29">
        <f t="shared" si="8"/>
        <v>60720</v>
      </c>
    </row>
    <row r="85" spans="3:8" x14ac:dyDescent="0.25">
      <c r="C85" s="734"/>
      <c r="D85" s="29" t="s">
        <v>1214</v>
      </c>
      <c r="E85" s="30">
        <v>2</v>
      </c>
      <c r="F85" s="29">
        <v>2580</v>
      </c>
      <c r="G85" s="29">
        <f t="shared" si="7"/>
        <v>5160</v>
      </c>
      <c r="H85" s="29">
        <f t="shared" si="8"/>
        <v>61920</v>
      </c>
    </row>
    <row r="86" spans="3:8" x14ac:dyDescent="0.25">
      <c r="C86" s="6" t="s">
        <v>1215</v>
      </c>
      <c r="D86" s="203" t="s">
        <v>1216</v>
      </c>
      <c r="E86" s="30">
        <v>4</v>
      </c>
      <c r="F86" s="29">
        <v>2000</v>
      </c>
      <c r="G86" s="29">
        <f t="shared" si="7"/>
        <v>8000</v>
      </c>
      <c r="H86" s="29">
        <f t="shared" si="8"/>
        <v>96000</v>
      </c>
    </row>
    <row r="87" spans="3:8" x14ac:dyDescent="0.25">
      <c r="C87" s="735" t="s">
        <v>1217</v>
      </c>
      <c r="D87" s="203" t="s">
        <v>1218</v>
      </c>
      <c r="E87" s="30">
        <v>2</v>
      </c>
      <c r="F87" s="29">
        <v>2110</v>
      </c>
      <c r="G87" s="29">
        <f t="shared" si="7"/>
        <v>4220</v>
      </c>
      <c r="H87" s="29">
        <f t="shared" si="8"/>
        <v>50640</v>
      </c>
    </row>
    <row r="88" spans="3:8" x14ac:dyDescent="0.25">
      <c r="C88" s="736"/>
      <c r="D88" s="203" t="s">
        <v>1219</v>
      </c>
      <c r="E88" s="30">
        <v>3</v>
      </c>
      <c r="F88" s="29">
        <v>700</v>
      </c>
      <c r="G88" s="29">
        <f t="shared" si="7"/>
        <v>2100</v>
      </c>
      <c r="H88" s="29">
        <f t="shared" si="8"/>
        <v>25200</v>
      </c>
    </row>
    <row r="89" spans="3:8" x14ac:dyDescent="0.25">
      <c r="C89" s="737" t="s">
        <v>1220</v>
      </c>
      <c r="D89" s="29" t="s">
        <v>1221</v>
      </c>
      <c r="E89" s="30">
        <v>4</v>
      </c>
      <c r="F89" s="29">
        <v>441</v>
      </c>
      <c r="G89" s="29">
        <f t="shared" si="7"/>
        <v>1764</v>
      </c>
      <c r="H89" s="29">
        <f t="shared" si="8"/>
        <v>21168</v>
      </c>
    </row>
    <row r="90" spans="3:8" x14ac:dyDescent="0.25">
      <c r="C90" s="738"/>
      <c r="D90" s="29" t="s">
        <v>1222</v>
      </c>
      <c r="E90" s="30">
        <v>4</v>
      </c>
      <c r="F90" s="29">
        <v>1690</v>
      </c>
      <c r="G90" s="29">
        <f t="shared" si="7"/>
        <v>6760</v>
      </c>
      <c r="H90" s="29">
        <f t="shared" si="8"/>
        <v>81120</v>
      </c>
    </row>
    <row r="91" spans="3:8" x14ac:dyDescent="0.25">
      <c r="C91" s="738"/>
      <c r="D91" s="29" t="s">
        <v>1223</v>
      </c>
      <c r="E91" s="30">
        <v>2</v>
      </c>
      <c r="F91" s="29">
        <v>2833</v>
      </c>
      <c r="G91" s="29">
        <f t="shared" si="7"/>
        <v>5666</v>
      </c>
      <c r="H91" s="29">
        <f t="shared" si="8"/>
        <v>67992</v>
      </c>
    </row>
    <row r="92" spans="3:8" x14ac:dyDescent="0.25">
      <c r="C92" s="738"/>
      <c r="D92" s="29" t="s">
        <v>1224</v>
      </c>
      <c r="E92" s="30">
        <v>2</v>
      </c>
      <c r="F92" s="29">
        <v>387</v>
      </c>
      <c r="G92" s="29">
        <f t="shared" si="7"/>
        <v>774</v>
      </c>
      <c r="H92" s="29">
        <f t="shared" si="8"/>
        <v>9288</v>
      </c>
    </row>
    <row r="93" spans="3:8" x14ac:dyDescent="0.25">
      <c r="C93" s="739"/>
      <c r="D93" s="29" t="s">
        <v>1225</v>
      </c>
      <c r="E93" s="30">
        <v>3</v>
      </c>
      <c r="F93" s="29">
        <v>980</v>
      </c>
      <c r="G93" s="29">
        <f t="shared" si="7"/>
        <v>2940</v>
      </c>
      <c r="H93" s="29">
        <f t="shared" si="8"/>
        <v>35280</v>
      </c>
    </row>
    <row r="94" spans="3:8" x14ac:dyDescent="0.25">
      <c r="C94" s="123" t="s">
        <v>1227</v>
      </c>
      <c r="D94" s="123"/>
      <c r="E94" s="123"/>
      <c r="F94" s="123"/>
      <c r="G94" s="123"/>
      <c r="H94" s="160">
        <f>+SUM(H78:H93)</f>
        <v>2564928</v>
      </c>
    </row>
  </sheetData>
  <mergeCells count="8">
    <mergeCell ref="C2:I2"/>
    <mergeCell ref="C78:C85"/>
    <mergeCell ref="C87:C88"/>
    <mergeCell ref="C89:C93"/>
    <mergeCell ref="C61:I61"/>
    <mergeCell ref="C40:I40"/>
    <mergeCell ref="C42:I44"/>
    <mergeCell ref="D8:I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C3:I66"/>
  <sheetViews>
    <sheetView topLeftCell="D45" zoomScaleNormal="100" workbookViewId="0">
      <selection activeCell="L54" sqref="L54"/>
    </sheetView>
  </sheetViews>
  <sheetFormatPr baseColWidth="10" defaultRowHeight="15" x14ac:dyDescent="0.25"/>
  <cols>
    <col min="3" max="3" width="61.140625" bestFit="1" customWidth="1"/>
    <col min="4" max="4" width="41.140625" bestFit="1" customWidth="1"/>
    <col min="5" max="5" width="17.140625" style="15" bestFit="1" customWidth="1"/>
    <col min="6" max="6" width="11.42578125" bestFit="1" customWidth="1"/>
    <col min="7" max="7" width="15.85546875" bestFit="1" customWidth="1"/>
    <col min="8" max="8" width="31.140625" bestFit="1" customWidth="1"/>
    <col min="9" max="9" width="11.7109375" bestFit="1" customWidth="1"/>
  </cols>
  <sheetData>
    <row r="3" spans="3:9" x14ac:dyDescent="0.25">
      <c r="C3" s="19" t="s">
        <v>463</v>
      </c>
      <c r="D3" s="15"/>
    </row>
    <row r="4" spans="3:9" x14ac:dyDescent="0.25">
      <c r="D4" s="15"/>
    </row>
    <row r="5" spans="3:9" x14ac:dyDescent="0.25">
      <c r="C5" s="4" t="s">
        <v>482</v>
      </c>
      <c r="D5" s="58"/>
      <c r="E5" s="58"/>
      <c r="F5" s="1"/>
      <c r="G5" s="1"/>
      <c r="H5" s="1"/>
      <c r="I5" s="1"/>
    </row>
    <row r="6" spans="3:9" x14ac:dyDescent="0.25">
      <c r="C6" s="4" t="s">
        <v>479</v>
      </c>
      <c r="D6" s="6" t="s">
        <v>526</v>
      </c>
      <c r="E6" s="6" t="s">
        <v>474</v>
      </c>
      <c r="F6" s="6" t="s">
        <v>485</v>
      </c>
      <c r="G6" s="6" t="s">
        <v>473</v>
      </c>
      <c r="H6" s="57" t="s">
        <v>475</v>
      </c>
      <c r="I6" s="21" t="s">
        <v>527</v>
      </c>
    </row>
    <row r="7" spans="3:9" x14ac:dyDescent="0.25">
      <c r="C7" s="1" t="s">
        <v>464</v>
      </c>
      <c r="D7" s="58">
        <v>1</v>
      </c>
      <c r="E7" s="58">
        <v>2</v>
      </c>
      <c r="F7" s="58">
        <f>+D7*E7</f>
        <v>2</v>
      </c>
      <c r="G7" s="58" t="s">
        <v>696</v>
      </c>
      <c r="H7" s="40">
        <v>4</v>
      </c>
      <c r="I7" s="23">
        <f>+H7*D7</f>
        <v>4</v>
      </c>
    </row>
    <row r="8" spans="3:9" x14ac:dyDescent="0.25">
      <c r="C8" s="1" t="s">
        <v>465</v>
      </c>
      <c r="D8" s="58">
        <v>1</v>
      </c>
      <c r="E8" s="58">
        <v>1</v>
      </c>
      <c r="F8" s="58">
        <f t="shared" ref="F8:F15" si="0">+D8*E8</f>
        <v>1</v>
      </c>
      <c r="G8" s="58" t="s">
        <v>695</v>
      </c>
      <c r="H8" s="40">
        <v>2</v>
      </c>
      <c r="I8" s="23">
        <f t="shared" ref="I8:I15" si="1">+H8*D8</f>
        <v>2</v>
      </c>
    </row>
    <row r="9" spans="3:9" x14ac:dyDescent="0.25">
      <c r="C9" s="1" t="s">
        <v>466</v>
      </c>
      <c r="D9" s="58">
        <v>1</v>
      </c>
      <c r="E9" s="58">
        <v>1</v>
      </c>
      <c r="F9" s="58">
        <f t="shared" si="0"/>
        <v>1</v>
      </c>
      <c r="G9" s="58" t="s">
        <v>695</v>
      </c>
      <c r="H9" s="40">
        <v>2</v>
      </c>
      <c r="I9" s="23">
        <f t="shared" si="1"/>
        <v>2</v>
      </c>
    </row>
    <row r="10" spans="3:9" x14ac:dyDescent="0.25">
      <c r="C10" s="1" t="s">
        <v>467</v>
      </c>
      <c r="D10" s="58">
        <v>1</v>
      </c>
      <c r="E10" s="58">
        <v>1</v>
      </c>
      <c r="F10" s="58">
        <f t="shared" si="0"/>
        <v>1</v>
      </c>
      <c r="G10" s="58" t="s">
        <v>695</v>
      </c>
      <c r="H10" s="40">
        <v>2</v>
      </c>
      <c r="I10" s="23">
        <f t="shared" si="1"/>
        <v>2</v>
      </c>
    </row>
    <row r="11" spans="3:9" x14ac:dyDescent="0.25">
      <c r="C11" s="1" t="s">
        <v>468</v>
      </c>
      <c r="D11" s="58">
        <v>1</v>
      </c>
      <c r="E11" s="58">
        <v>1</v>
      </c>
      <c r="F11" s="58">
        <f t="shared" si="0"/>
        <v>1</v>
      </c>
      <c r="G11" s="58" t="s">
        <v>695</v>
      </c>
      <c r="H11" s="40">
        <v>2</v>
      </c>
      <c r="I11" s="23">
        <f t="shared" si="1"/>
        <v>2</v>
      </c>
    </row>
    <row r="12" spans="3:9" x14ac:dyDescent="0.25">
      <c r="C12" s="1" t="s">
        <v>469</v>
      </c>
      <c r="D12" s="58">
        <v>1</v>
      </c>
      <c r="E12" s="58">
        <v>2</v>
      </c>
      <c r="F12" s="58">
        <f t="shared" si="0"/>
        <v>2</v>
      </c>
      <c r="G12" s="58" t="s">
        <v>696</v>
      </c>
      <c r="H12" s="40">
        <v>4</v>
      </c>
      <c r="I12" s="23">
        <f t="shared" si="1"/>
        <v>4</v>
      </c>
    </row>
    <row r="13" spans="3:9" x14ac:dyDescent="0.25">
      <c r="C13" s="1" t="s">
        <v>470</v>
      </c>
      <c r="D13" s="58">
        <v>1</v>
      </c>
      <c r="E13" s="58">
        <v>2</v>
      </c>
      <c r="F13" s="58">
        <f t="shared" si="0"/>
        <v>2</v>
      </c>
      <c r="G13" s="58" t="s">
        <v>696</v>
      </c>
      <c r="H13" s="40">
        <v>4</v>
      </c>
      <c r="I13" s="23">
        <f t="shared" si="1"/>
        <v>4</v>
      </c>
    </row>
    <row r="14" spans="3:9" x14ac:dyDescent="0.25">
      <c r="C14" s="1" t="s">
        <v>471</v>
      </c>
      <c r="D14" s="58">
        <v>1</v>
      </c>
      <c r="E14" s="58">
        <v>1</v>
      </c>
      <c r="F14" s="58">
        <f t="shared" si="0"/>
        <v>1</v>
      </c>
      <c r="G14" s="58" t="s">
        <v>695</v>
      </c>
      <c r="H14" s="40">
        <v>2</v>
      </c>
      <c r="I14" s="23">
        <f t="shared" si="1"/>
        <v>2</v>
      </c>
    </row>
    <row r="15" spans="3:9" x14ac:dyDescent="0.25">
      <c r="C15" s="1" t="s">
        <v>472</v>
      </c>
      <c r="D15" s="58">
        <v>1</v>
      </c>
      <c r="E15" s="58">
        <v>1</v>
      </c>
      <c r="F15" s="58">
        <f t="shared" si="0"/>
        <v>1</v>
      </c>
      <c r="G15" s="58" t="s">
        <v>695</v>
      </c>
      <c r="H15" s="40">
        <v>4</v>
      </c>
      <c r="I15" s="23">
        <f t="shared" si="1"/>
        <v>4</v>
      </c>
    </row>
    <row r="16" spans="3:9" x14ac:dyDescent="0.25">
      <c r="C16" s="1"/>
      <c r="D16" s="58"/>
      <c r="E16" s="58"/>
      <c r="F16" s="58"/>
      <c r="G16" s="58"/>
      <c r="H16" s="40"/>
      <c r="I16" s="23"/>
    </row>
    <row r="17" spans="3:9" x14ac:dyDescent="0.25">
      <c r="C17" s="20" t="s">
        <v>476</v>
      </c>
      <c r="D17" s="21">
        <f>+SUM(D7:D15)</f>
        <v>9</v>
      </c>
      <c r="E17" s="21"/>
      <c r="F17" s="21">
        <f>+SUM(F7:F15)</f>
        <v>12</v>
      </c>
      <c r="G17" s="21"/>
      <c r="H17" s="41">
        <f>+SUM(H7:H15)</f>
        <v>26</v>
      </c>
      <c r="I17" s="23"/>
    </row>
    <row r="18" spans="3:9" x14ac:dyDescent="0.25">
      <c r="C18" s="4" t="s">
        <v>477</v>
      </c>
      <c r="D18" s="6"/>
      <c r="E18" s="6"/>
      <c r="F18" s="6"/>
      <c r="G18" s="6"/>
      <c r="H18" s="57"/>
      <c r="I18" s="23"/>
    </row>
    <row r="19" spans="3:9" x14ac:dyDescent="0.25">
      <c r="C19" s="4" t="s">
        <v>478</v>
      </c>
      <c r="D19" s="6"/>
      <c r="E19" s="6"/>
      <c r="F19" s="6"/>
      <c r="G19" s="6"/>
      <c r="H19" s="57"/>
      <c r="I19" s="23"/>
    </row>
    <row r="20" spans="3:9" x14ac:dyDescent="0.25">
      <c r="D20" s="15"/>
      <c r="F20" s="15"/>
      <c r="G20" s="15"/>
      <c r="H20" s="15"/>
      <c r="I20" s="23"/>
    </row>
    <row r="21" spans="3:9" x14ac:dyDescent="0.25">
      <c r="C21" s="4" t="s">
        <v>480</v>
      </c>
      <c r="D21" s="58"/>
      <c r="E21" s="58"/>
      <c r="F21" s="58"/>
      <c r="G21" s="58"/>
      <c r="H21" s="40"/>
      <c r="I21" s="23"/>
    </row>
    <row r="22" spans="3:9" x14ac:dyDescent="0.25">
      <c r="C22" s="1" t="s">
        <v>464</v>
      </c>
      <c r="D22" s="58">
        <v>1</v>
      </c>
      <c r="E22" s="58">
        <v>2</v>
      </c>
      <c r="F22" s="58">
        <f>+E22*D22</f>
        <v>2</v>
      </c>
      <c r="G22" s="58" t="s">
        <v>696</v>
      </c>
      <c r="H22" s="40">
        <v>4</v>
      </c>
      <c r="I22" s="23">
        <f t="shared" ref="I22:I31" si="2">+H22*D22</f>
        <v>4</v>
      </c>
    </row>
    <row r="23" spans="3:9" x14ac:dyDescent="0.25">
      <c r="C23" s="1" t="s">
        <v>465</v>
      </c>
      <c r="D23" s="58">
        <v>1</v>
      </c>
      <c r="E23" s="58">
        <v>2</v>
      </c>
      <c r="F23" s="58">
        <f t="shared" ref="F23:F31" si="3">+E23*D23</f>
        <v>2</v>
      </c>
      <c r="G23" s="58" t="s">
        <v>696</v>
      </c>
      <c r="H23" s="40">
        <v>4</v>
      </c>
      <c r="I23" s="23">
        <f t="shared" si="2"/>
        <v>4</v>
      </c>
    </row>
    <row r="24" spans="3:9" x14ac:dyDescent="0.25">
      <c r="C24" s="1" t="s">
        <v>466</v>
      </c>
      <c r="D24" s="58">
        <v>1</v>
      </c>
      <c r="E24" s="58">
        <v>2</v>
      </c>
      <c r="F24" s="58">
        <f t="shared" si="3"/>
        <v>2</v>
      </c>
      <c r="G24" s="58" t="s">
        <v>696</v>
      </c>
      <c r="H24" s="40">
        <v>4</v>
      </c>
      <c r="I24" s="23">
        <f t="shared" si="2"/>
        <v>4</v>
      </c>
    </row>
    <row r="25" spans="3:9" x14ac:dyDescent="0.25">
      <c r="C25" s="1" t="s">
        <v>467</v>
      </c>
      <c r="D25" s="58">
        <v>1</v>
      </c>
      <c r="E25" s="58">
        <v>2</v>
      </c>
      <c r="F25" s="58">
        <f t="shared" si="3"/>
        <v>2</v>
      </c>
      <c r="G25" s="58" t="s">
        <v>696</v>
      </c>
      <c r="H25" s="40">
        <v>4</v>
      </c>
      <c r="I25" s="23">
        <f t="shared" si="2"/>
        <v>4</v>
      </c>
    </row>
    <row r="26" spans="3:9" x14ac:dyDescent="0.25">
      <c r="C26" s="1" t="s">
        <v>468</v>
      </c>
      <c r="D26" s="58">
        <v>1</v>
      </c>
      <c r="E26" s="58">
        <v>2</v>
      </c>
      <c r="F26" s="58">
        <f t="shared" si="3"/>
        <v>2</v>
      </c>
      <c r="G26" s="58" t="s">
        <v>696</v>
      </c>
      <c r="H26" s="40">
        <v>4</v>
      </c>
      <c r="I26" s="23">
        <f t="shared" si="2"/>
        <v>4</v>
      </c>
    </row>
    <row r="27" spans="3:9" x14ac:dyDescent="0.25">
      <c r="C27" s="1" t="s">
        <v>469</v>
      </c>
      <c r="D27" s="58">
        <v>1</v>
      </c>
      <c r="E27" s="58">
        <v>2</v>
      </c>
      <c r="F27" s="58">
        <f t="shared" si="3"/>
        <v>2</v>
      </c>
      <c r="G27" s="58" t="s">
        <v>696</v>
      </c>
      <c r="H27" s="40">
        <v>4</v>
      </c>
      <c r="I27" s="23">
        <f t="shared" si="2"/>
        <v>4</v>
      </c>
    </row>
    <row r="28" spans="3:9" x14ac:dyDescent="0.25">
      <c r="C28" s="1" t="s">
        <v>470</v>
      </c>
      <c r="D28" s="58">
        <v>1</v>
      </c>
      <c r="E28" s="58">
        <v>2</v>
      </c>
      <c r="F28" s="58">
        <f t="shared" si="3"/>
        <v>2</v>
      </c>
      <c r="G28" s="58" t="s">
        <v>696</v>
      </c>
      <c r="H28" s="40">
        <v>4</v>
      </c>
      <c r="I28" s="23">
        <f t="shared" si="2"/>
        <v>4</v>
      </c>
    </row>
    <row r="29" spans="3:9" x14ac:dyDescent="0.25">
      <c r="C29" s="1" t="s">
        <v>471</v>
      </c>
      <c r="D29" s="58">
        <v>1</v>
      </c>
      <c r="E29" s="58">
        <v>1</v>
      </c>
      <c r="F29" s="58">
        <f t="shared" si="3"/>
        <v>1</v>
      </c>
      <c r="G29" s="58" t="s">
        <v>695</v>
      </c>
      <c r="H29" s="40">
        <v>2</v>
      </c>
      <c r="I29" s="23">
        <f t="shared" si="2"/>
        <v>2</v>
      </c>
    </row>
    <row r="30" spans="3:9" x14ac:dyDescent="0.25">
      <c r="C30" s="1" t="s">
        <v>472</v>
      </c>
      <c r="D30" s="58">
        <v>1</v>
      </c>
      <c r="E30" s="58">
        <v>1</v>
      </c>
      <c r="F30" s="58">
        <f t="shared" si="3"/>
        <v>1</v>
      </c>
      <c r="G30" s="58" t="s">
        <v>695</v>
      </c>
      <c r="H30" s="40">
        <v>2</v>
      </c>
      <c r="I30" s="23">
        <f t="shared" si="2"/>
        <v>2</v>
      </c>
    </row>
    <row r="31" spans="3:9" x14ac:dyDescent="0.25">
      <c r="C31" s="1" t="s">
        <v>481</v>
      </c>
      <c r="D31" s="58">
        <v>1</v>
      </c>
      <c r="E31" s="58">
        <v>1</v>
      </c>
      <c r="F31" s="58">
        <f t="shared" si="3"/>
        <v>1</v>
      </c>
      <c r="G31" s="58" t="s">
        <v>695</v>
      </c>
      <c r="H31" s="40">
        <v>2</v>
      </c>
      <c r="I31" s="23">
        <f t="shared" si="2"/>
        <v>2</v>
      </c>
    </row>
    <row r="32" spans="3:9" x14ac:dyDescent="0.25">
      <c r="C32" s="1"/>
      <c r="D32" s="58"/>
      <c r="E32" s="58"/>
      <c r="F32" s="58"/>
      <c r="G32" s="58"/>
      <c r="H32" s="40"/>
      <c r="I32" s="23"/>
    </row>
    <row r="33" spans="3:9" x14ac:dyDescent="0.25">
      <c r="C33" s="20" t="s">
        <v>476</v>
      </c>
      <c r="D33" s="21">
        <f>+SUM(D22:D31)</f>
        <v>10</v>
      </c>
      <c r="E33" s="21"/>
      <c r="F33" s="21">
        <f>+SUM(F22:F31)</f>
        <v>17</v>
      </c>
      <c r="G33" s="21"/>
      <c r="H33" s="41">
        <f>+SUM(H22:H31)</f>
        <v>34</v>
      </c>
      <c r="I33" s="23"/>
    </row>
    <row r="34" spans="3:9" x14ac:dyDescent="0.25">
      <c r="D34" s="15"/>
      <c r="F34" s="15"/>
      <c r="G34" s="15"/>
      <c r="H34" s="15"/>
      <c r="I34" s="23"/>
    </row>
    <row r="35" spans="3:9" x14ac:dyDescent="0.25">
      <c r="D35" s="15"/>
      <c r="F35" s="15"/>
      <c r="G35" s="15"/>
      <c r="H35" s="15"/>
      <c r="I35" s="23"/>
    </row>
    <row r="36" spans="3:9" x14ac:dyDescent="0.25">
      <c r="C36" s="19" t="s">
        <v>487</v>
      </c>
      <c r="D36" s="15"/>
      <c r="F36" s="15"/>
      <c r="G36" s="15"/>
      <c r="H36" s="15"/>
      <c r="I36" s="23"/>
    </row>
    <row r="37" spans="3:9" x14ac:dyDescent="0.25">
      <c r="D37" s="15"/>
      <c r="F37" s="15"/>
      <c r="G37" s="15"/>
      <c r="H37" s="15"/>
      <c r="I37" s="23"/>
    </row>
    <row r="38" spans="3:9" x14ac:dyDescent="0.25">
      <c r="C38" s="4" t="s">
        <v>483</v>
      </c>
      <c r="D38" s="58"/>
      <c r="E38" s="58"/>
      <c r="F38" s="58"/>
      <c r="G38" s="58"/>
      <c r="H38" s="40"/>
      <c r="I38" s="23"/>
    </row>
    <row r="39" spans="3:9" x14ac:dyDescent="0.25">
      <c r="C39" s="1"/>
      <c r="D39" s="58"/>
      <c r="E39" s="58"/>
      <c r="F39" s="58"/>
      <c r="G39" s="58"/>
      <c r="H39" s="40"/>
      <c r="I39" s="23"/>
    </row>
    <row r="40" spans="3:9" x14ac:dyDescent="0.25">
      <c r="C40" s="1" t="s">
        <v>528</v>
      </c>
      <c r="D40" s="58">
        <v>1</v>
      </c>
      <c r="E40" s="58">
        <v>1</v>
      </c>
      <c r="F40" s="58">
        <f>+D40*E40</f>
        <v>1</v>
      </c>
      <c r="G40" s="58" t="s">
        <v>697</v>
      </c>
      <c r="H40" s="40">
        <v>2</v>
      </c>
      <c r="I40" s="23">
        <f t="shared" ref="I40:I48" si="4">+H40*D40</f>
        <v>2</v>
      </c>
    </row>
    <row r="41" spans="3:9" x14ac:dyDescent="0.25">
      <c r="C41" s="1" t="s">
        <v>529</v>
      </c>
      <c r="D41" s="58">
        <v>1</v>
      </c>
      <c r="E41" s="58">
        <v>1</v>
      </c>
      <c r="F41" s="58">
        <f t="shared" ref="F41:F45" si="5">+D41*E41</f>
        <v>1</v>
      </c>
      <c r="G41" s="58" t="s">
        <v>697</v>
      </c>
      <c r="H41" s="40">
        <v>2</v>
      </c>
      <c r="I41" s="23">
        <f t="shared" si="4"/>
        <v>2</v>
      </c>
    </row>
    <row r="42" spans="3:9" x14ac:dyDescent="0.25">
      <c r="C42" s="1" t="s">
        <v>530</v>
      </c>
      <c r="D42" s="58">
        <v>1</v>
      </c>
      <c r="E42" s="58">
        <v>2</v>
      </c>
      <c r="F42" s="58">
        <f t="shared" si="5"/>
        <v>2</v>
      </c>
      <c r="G42" s="58" t="s">
        <v>695</v>
      </c>
      <c r="H42" s="40">
        <v>4</v>
      </c>
      <c r="I42" s="23">
        <f t="shared" si="4"/>
        <v>4</v>
      </c>
    </row>
    <row r="43" spans="3:9" x14ac:dyDescent="0.25">
      <c r="C43" s="1" t="s">
        <v>531</v>
      </c>
      <c r="D43" s="58">
        <v>1</v>
      </c>
      <c r="E43" s="58">
        <v>2</v>
      </c>
      <c r="F43" s="58">
        <f t="shared" si="5"/>
        <v>2</v>
      </c>
      <c r="G43" s="58" t="s">
        <v>695</v>
      </c>
      <c r="H43" s="40">
        <v>4</v>
      </c>
      <c r="I43" s="23">
        <f t="shared" si="4"/>
        <v>4</v>
      </c>
    </row>
    <row r="44" spans="3:9" x14ac:dyDescent="0.25">
      <c r="C44" s="1" t="s">
        <v>532</v>
      </c>
      <c r="D44" s="58">
        <v>1</v>
      </c>
      <c r="E44" s="58">
        <v>1</v>
      </c>
      <c r="F44" s="58">
        <f t="shared" si="5"/>
        <v>1</v>
      </c>
      <c r="G44" s="58" t="s">
        <v>695</v>
      </c>
      <c r="H44" s="40">
        <v>2</v>
      </c>
      <c r="I44" s="23">
        <f t="shared" si="4"/>
        <v>2</v>
      </c>
    </row>
    <row r="45" spans="3:9" x14ac:dyDescent="0.25">
      <c r="C45" s="1" t="s">
        <v>533</v>
      </c>
      <c r="D45" s="58">
        <v>1</v>
      </c>
      <c r="E45" s="58">
        <v>1</v>
      </c>
      <c r="F45" s="58">
        <f t="shared" si="5"/>
        <v>1</v>
      </c>
      <c r="G45" s="58" t="s">
        <v>695</v>
      </c>
      <c r="H45" s="40">
        <v>2</v>
      </c>
      <c r="I45" s="23">
        <f t="shared" si="4"/>
        <v>2</v>
      </c>
    </row>
    <row r="46" spans="3:9" x14ac:dyDescent="0.25">
      <c r="C46" s="5" t="s">
        <v>486</v>
      </c>
      <c r="D46" s="61">
        <v>1</v>
      </c>
      <c r="E46" s="61">
        <v>1</v>
      </c>
      <c r="F46" s="61">
        <f>+D46*E46</f>
        <v>1</v>
      </c>
      <c r="G46" s="61" t="s">
        <v>697</v>
      </c>
      <c r="H46" s="697">
        <v>2</v>
      </c>
      <c r="I46" s="23">
        <f t="shared" si="4"/>
        <v>2</v>
      </c>
    </row>
    <row r="47" spans="3:9" x14ac:dyDescent="0.25">
      <c r="C47" s="5" t="s">
        <v>486</v>
      </c>
      <c r="D47" s="61">
        <v>1</v>
      </c>
      <c r="E47" s="61">
        <v>1</v>
      </c>
      <c r="F47" s="61">
        <f t="shared" ref="F47:F48" si="6">+D47*E47</f>
        <v>1</v>
      </c>
      <c r="G47" s="61" t="s">
        <v>697</v>
      </c>
      <c r="H47" s="697">
        <v>2</v>
      </c>
      <c r="I47" s="23">
        <f t="shared" si="4"/>
        <v>2</v>
      </c>
    </row>
    <row r="48" spans="3:9" x14ac:dyDescent="0.25">
      <c r="C48" s="5" t="s">
        <v>486</v>
      </c>
      <c r="D48" s="61">
        <v>1</v>
      </c>
      <c r="E48" s="61">
        <v>1</v>
      </c>
      <c r="F48" s="61">
        <f t="shared" si="6"/>
        <v>1</v>
      </c>
      <c r="G48" s="61" t="s">
        <v>697</v>
      </c>
      <c r="H48" s="697">
        <v>2</v>
      </c>
      <c r="I48" s="23">
        <f t="shared" si="4"/>
        <v>2</v>
      </c>
    </row>
    <row r="49" spans="3:9" x14ac:dyDescent="0.25">
      <c r="C49" s="1"/>
      <c r="D49" s="58"/>
      <c r="E49" s="58"/>
      <c r="F49" s="58"/>
      <c r="G49" s="58"/>
      <c r="H49" s="40"/>
      <c r="I49" s="23"/>
    </row>
    <row r="50" spans="3:9" x14ac:dyDescent="0.25">
      <c r="C50" s="20" t="s">
        <v>476</v>
      </c>
      <c r="D50" s="21">
        <f>+SUM(D40:D48)</f>
        <v>9</v>
      </c>
      <c r="E50" s="21"/>
      <c r="F50" s="21">
        <f>+SUM(F40:F48)</f>
        <v>11</v>
      </c>
      <c r="G50" s="21"/>
      <c r="H50" s="41">
        <f>+SUM(H40:H48)</f>
        <v>22</v>
      </c>
      <c r="I50" s="23"/>
    </row>
    <row r="51" spans="3:9" x14ac:dyDescent="0.25">
      <c r="D51" s="15"/>
      <c r="G51" s="15"/>
      <c r="H51" s="15"/>
      <c r="I51" s="23"/>
    </row>
    <row r="52" spans="3:9" x14ac:dyDescent="0.25">
      <c r="D52" s="15"/>
      <c r="H52" s="15"/>
      <c r="I52" s="23"/>
    </row>
    <row r="53" spans="3:9" x14ac:dyDescent="0.25">
      <c r="C53" s="22" t="s">
        <v>488</v>
      </c>
      <c r="D53" s="58"/>
      <c r="E53" s="58"/>
      <c r="F53" s="1"/>
      <c r="G53" s="1"/>
      <c r="H53" s="39"/>
      <c r="I53" s="23"/>
    </row>
    <row r="54" spans="3:9" x14ac:dyDescent="0.25">
      <c r="C54" s="4"/>
      <c r="D54" s="58"/>
      <c r="E54" s="58"/>
      <c r="F54" s="1"/>
      <c r="G54" s="1"/>
      <c r="H54" s="39"/>
      <c r="I54" s="23"/>
    </row>
    <row r="55" spans="3:9" x14ac:dyDescent="0.25">
      <c r="C55" s="4" t="s">
        <v>489</v>
      </c>
      <c r="D55" s="58"/>
      <c r="E55" s="58"/>
      <c r="F55" s="1"/>
      <c r="G55" s="1"/>
      <c r="H55" s="39"/>
      <c r="I55" s="23"/>
    </row>
    <row r="56" spans="3:9" x14ac:dyDescent="0.25">
      <c r="C56" s="1"/>
      <c r="D56" s="58"/>
      <c r="E56" s="58"/>
      <c r="F56" s="1"/>
      <c r="G56" s="58"/>
      <c r="H56" s="39"/>
      <c r="I56" s="23"/>
    </row>
    <row r="57" spans="3:9" x14ac:dyDescent="0.25">
      <c r="C57" s="1" t="s">
        <v>1181</v>
      </c>
      <c r="D57" s="58">
        <v>2</v>
      </c>
      <c r="E57" s="58">
        <v>1</v>
      </c>
      <c r="F57" s="58">
        <f>+D57*E57</f>
        <v>2</v>
      </c>
      <c r="G57" s="58" t="s">
        <v>695</v>
      </c>
      <c r="H57" s="40">
        <v>2</v>
      </c>
      <c r="I57" s="23">
        <f t="shared" ref="I57:I60" si="7">+H57*D57</f>
        <v>4</v>
      </c>
    </row>
    <row r="58" spans="3:9" x14ac:dyDescent="0.25">
      <c r="C58" s="1" t="s">
        <v>1182</v>
      </c>
      <c r="D58" s="58">
        <v>2</v>
      </c>
      <c r="E58" s="58">
        <v>1</v>
      </c>
      <c r="F58" s="58">
        <f t="shared" ref="F58:F60" si="8">+D58*E58</f>
        <v>2</v>
      </c>
      <c r="G58" s="58" t="s">
        <v>695</v>
      </c>
      <c r="H58" s="40">
        <v>2</v>
      </c>
      <c r="I58" s="23">
        <f t="shared" si="7"/>
        <v>4</v>
      </c>
    </row>
    <row r="59" spans="3:9" x14ac:dyDescent="0.25">
      <c r="C59" s="1" t="s">
        <v>1183</v>
      </c>
      <c r="D59" s="58">
        <v>2</v>
      </c>
      <c r="E59" s="58">
        <v>1</v>
      </c>
      <c r="F59" s="58">
        <f t="shared" si="8"/>
        <v>2</v>
      </c>
      <c r="G59" s="58" t="s">
        <v>695</v>
      </c>
      <c r="H59" s="40">
        <v>2</v>
      </c>
      <c r="I59" s="23">
        <f t="shared" si="7"/>
        <v>4</v>
      </c>
    </row>
    <row r="60" spans="3:9" x14ac:dyDescent="0.25">
      <c r="C60" s="1" t="s">
        <v>1184</v>
      </c>
      <c r="D60" s="58">
        <v>2</v>
      </c>
      <c r="E60" s="58">
        <v>1</v>
      </c>
      <c r="F60" s="58">
        <f t="shared" si="8"/>
        <v>2</v>
      </c>
      <c r="G60" s="58" t="s">
        <v>695</v>
      </c>
      <c r="H60" s="40">
        <v>2</v>
      </c>
      <c r="I60" s="23">
        <f t="shared" si="7"/>
        <v>4</v>
      </c>
    </row>
    <row r="61" spans="3:9" x14ac:dyDescent="0.25">
      <c r="C61" s="1"/>
      <c r="D61" s="58"/>
      <c r="E61" s="58"/>
      <c r="F61" s="58"/>
      <c r="G61" s="58"/>
      <c r="H61" s="40"/>
      <c r="I61" s="23"/>
    </row>
    <row r="62" spans="3:9" x14ac:dyDescent="0.25">
      <c r="C62" s="20" t="s">
        <v>476</v>
      </c>
      <c r="D62" s="21">
        <f>+SUM(D57:D60)</f>
        <v>8</v>
      </c>
      <c r="E62" s="21"/>
      <c r="F62" s="21">
        <f>+SUM(F57:F60)</f>
        <v>8</v>
      </c>
      <c r="G62" s="20"/>
      <c r="H62" s="41">
        <f>+SUM(H57:H60)</f>
        <v>8</v>
      </c>
      <c r="I62" s="23"/>
    </row>
    <row r="63" spans="3:9" x14ac:dyDescent="0.25">
      <c r="D63" s="15"/>
      <c r="I63" s="23"/>
    </row>
    <row r="64" spans="3:9" x14ac:dyDescent="0.25">
      <c r="C64" s="4" t="s">
        <v>494</v>
      </c>
      <c r="D64" s="6">
        <f>+D62+D50+D33+D17</f>
        <v>36</v>
      </c>
      <c r="E64" s="6"/>
      <c r="F64" s="6">
        <f>+F62+F50+F33+F17</f>
        <v>48</v>
      </c>
      <c r="G64" s="4"/>
      <c r="H64" s="57">
        <f>+H62+H50+H33+H17</f>
        <v>90</v>
      </c>
      <c r="I64" s="21">
        <f>+SUM(I7:I62)</f>
        <v>98</v>
      </c>
    </row>
    <row r="65" spans="4:9" x14ac:dyDescent="0.25">
      <c r="D65" s="15"/>
    </row>
    <row r="66" spans="4:9" x14ac:dyDescent="0.25">
      <c r="D66" s="15"/>
      <c r="H66" s="32" t="s">
        <v>534</v>
      </c>
      <c r="I66" s="47">
        <f>+I64/D64</f>
        <v>2.7222222222222223</v>
      </c>
    </row>
  </sheetData>
  <autoFilter ref="C5:I15"/>
  <pageMargins left="0.7" right="0.7" top="0.75" bottom="0.75" header="0.3" footer="0.3"/>
  <pageSetup paperSize="9" orientation="portrait" horizontalDpi="360" verticalDpi="36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E2:E60"/>
  <sheetViews>
    <sheetView workbookViewId="0">
      <selection activeCell="K65" sqref="K65"/>
    </sheetView>
  </sheetViews>
  <sheetFormatPr baseColWidth="10" defaultRowHeight="15" x14ac:dyDescent="0.25"/>
  <cols>
    <col min="5" max="5" width="37.85546875" bestFit="1" customWidth="1"/>
  </cols>
  <sheetData>
    <row r="2" spans="5:5" x14ac:dyDescent="0.25">
      <c r="E2" s="3" t="s">
        <v>3</v>
      </c>
    </row>
    <row r="3" spans="5:5" x14ac:dyDescent="0.25">
      <c r="E3" t="s">
        <v>4</v>
      </c>
    </row>
    <row r="4" spans="5:5" x14ac:dyDescent="0.25">
      <c r="E4" t="s">
        <v>5</v>
      </c>
    </row>
    <row r="6" spans="5:5" x14ac:dyDescent="0.25">
      <c r="E6" s="3" t="s">
        <v>6</v>
      </c>
    </row>
    <row r="7" spans="5:5" x14ac:dyDescent="0.25">
      <c r="E7" t="s">
        <v>7</v>
      </c>
    </row>
    <row r="8" spans="5:5" x14ac:dyDescent="0.25">
      <c r="E8" t="s">
        <v>8</v>
      </c>
    </row>
    <row r="10" spans="5:5" x14ac:dyDescent="0.25">
      <c r="E10" s="3" t="s">
        <v>51</v>
      </c>
    </row>
    <row r="11" spans="5:5" x14ac:dyDescent="0.25">
      <c r="E11" t="s">
        <v>9</v>
      </c>
    </row>
    <row r="12" spans="5:5" x14ac:dyDescent="0.25">
      <c r="E12" t="s">
        <v>10</v>
      </c>
    </row>
    <row r="13" spans="5:5" x14ac:dyDescent="0.25">
      <c r="E13" t="s">
        <v>11</v>
      </c>
    </row>
    <row r="15" spans="5:5" x14ac:dyDescent="0.25">
      <c r="E15" s="3" t="s">
        <v>12</v>
      </c>
    </row>
    <row r="16" spans="5:5" x14ac:dyDescent="0.25">
      <c r="E16" t="s">
        <v>13</v>
      </c>
    </row>
    <row r="17" spans="5:5" x14ac:dyDescent="0.25">
      <c r="E17" t="s">
        <v>14</v>
      </c>
    </row>
    <row r="18" spans="5:5" x14ac:dyDescent="0.25">
      <c r="E18" t="s">
        <v>15</v>
      </c>
    </row>
    <row r="19" spans="5:5" x14ac:dyDescent="0.25">
      <c r="E19" t="s">
        <v>16</v>
      </c>
    </row>
    <row r="20" spans="5:5" x14ac:dyDescent="0.25">
      <c r="E20" t="s">
        <v>17</v>
      </c>
    </row>
    <row r="21" spans="5:5" x14ac:dyDescent="0.25">
      <c r="E21" t="s">
        <v>18</v>
      </c>
    </row>
    <row r="22" spans="5:5" x14ac:dyDescent="0.25">
      <c r="E22" t="s">
        <v>19</v>
      </c>
    </row>
    <row r="23" spans="5:5" x14ac:dyDescent="0.25">
      <c r="E23" t="s">
        <v>20</v>
      </c>
    </row>
    <row r="24" spans="5:5" x14ac:dyDescent="0.25">
      <c r="E24" t="s">
        <v>21</v>
      </c>
    </row>
    <row r="25" spans="5:5" x14ac:dyDescent="0.25">
      <c r="E25" t="s">
        <v>22</v>
      </c>
    </row>
    <row r="27" spans="5:5" x14ac:dyDescent="0.25">
      <c r="E27" s="3" t="s">
        <v>23</v>
      </c>
    </row>
    <row r="28" spans="5:5" x14ac:dyDescent="0.25">
      <c r="E28" t="s">
        <v>24</v>
      </c>
    </row>
    <row r="29" spans="5:5" x14ac:dyDescent="0.25">
      <c r="E29" t="s">
        <v>25</v>
      </c>
    </row>
    <row r="30" spans="5:5" x14ac:dyDescent="0.25">
      <c r="E30" t="s">
        <v>26</v>
      </c>
    </row>
    <row r="31" spans="5:5" x14ac:dyDescent="0.25">
      <c r="E31" t="s">
        <v>27</v>
      </c>
    </row>
    <row r="32" spans="5:5" x14ac:dyDescent="0.25">
      <c r="E32" t="s">
        <v>28</v>
      </c>
    </row>
    <row r="33" spans="5:5" x14ac:dyDescent="0.25">
      <c r="E33" t="s">
        <v>29</v>
      </c>
    </row>
    <row r="34" spans="5:5" x14ac:dyDescent="0.25">
      <c r="E34" t="s">
        <v>30</v>
      </c>
    </row>
    <row r="35" spans="5:5" x14ac:dyDescent="0.25">
      <c r="E35" t="s">
        <v>31</v>
      </c>
    </row>
    <row r="36" spans="5:5" x14ac:dyDescent="0.25">
      <c r="E36" t="s">
        <v>32</v>
      </c>
    </row>
    <row r="37" spans="5:5" x14ac:dyDescent="0.25">
      <c r="E37" t="s">
        <v>33</v>
      </c>
    </row>
    <row r="39" spans="5:5" x14ac:dyDescent="0.25">
      <c r="E39" s="3" t="s">
        <v>34</v>
      </c>
    </row>
    <row r="40" spans="5:5" x14ac:dyDescent="0.25">
      <c r="E40" t="s">
        <v>35</v>
      </c>
    </row>
    <row r="41" spans="5:5" x14ac:dyDescent="0.25">
      <c r="E41" t="s">
        <v>36</v>
      </c>
    </row>
    <row r="42" spans="5:5" x14ac:dyDescent="0.25">
      <c r="E42" t="s">
        <v>37</v>
      </c>
    </row>
    <row r="44" spans="5:5" x14ac:dyDescent="0.25">
      <c r="E44" s="3" t="s">
        <v>38</v>
      </c>
    </row>
    <row r="45" spans="5:5" x14ac:dyDescent="0.25">
      <c r="E45" t="s">
        <v>39</v>
      </c>
    </row>
    <row r="46" spans="5:5" x14ac:dyDescent="0.25">
      <c r="E46" t="s">
        <v>40</v>
      </c>
    </row>
    <row r="47" spans="5:5" x14ac:dyDescent="0.25">
      <c r="E47" t="s">
        <v>41</v>
      </c>
    </row>
    <row r="48" spans="5:5" x14ac:dyDescent="0.25">
      <c r="E48" t="s">
        <v>42</v>
      </c>
    </row>
    <row r="49" spans="5:5" x14ac:dyDescent="0.25">
      <c r="E49" t="s">
        <v>43</v>
      </c>
    </row>
    <row r="50" spans="5:5" x14ac:dyDescent="0.25">
      <c r="E50" t="s">
        <v>44</v>
      </c>
    </row>
    <row r="51" spans="5:5" x14ac:dyDescent="0.25">
      <c r="E51" t="s">
        <v>48</v>
      </c>
    </row>
    <row r="53" spans="5:5" x14ac:dyDescent="0.25">
      <c r="E53" s="3" t="s">
        <v>49</v>
      </c>
    </row>
    <row r="54" spans="5:5" x14ac:dyDescent="0.25">
      <c r="E54" t="s">
        <v>45</v>
      </c>
    </row>
    <row r="55" spans="5:5" x14ac:dyDescent="0.25">
      <c r="E55" t="s">
        <v>46</v>
      </c>
    </row>
    <row r="56" spans="5:5" x14ac:dyDescent="0.25">
      <c r="E56" t="s">
        <v>47</v>
      </c>
    </row>
    <row r="57" spans="5:5" x14ac:dyDescent="0.25">
      <c r="E57" t="s">
        <v>50</v>
      </c>
    </row>
    <row r="60" spans="5:5" x14ac:dyDescent="0.25">
      <c r="E60" s="3" t="s">
        <v>588</v>
      </c>
    </row>
  </sheetData>
  <pageMargins left="0.7" right="0.7" top="0.75" bottom="0.75" header="0.3" footer="0.3"/>
  <pageSetup paperSize="9" scale="80" orientation="portrait" horizontalDpi="360" verticalDpi="36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E2:K476"/>
  <sheetViews>
    <sheetView topLeftCell="F19" workbookViewId="0">
      <selection activeCell="G21" sqref="G21"/>
    </sheetView>
  </sheetViews>
  <sheetFormatPr baseColWidth="10" defaultRowHeight="15" x14ac:dyDescent="0.25"/>
  <cols>
    <col min="4" max="4" width="15.5703125" bestFit="1" customWidth="1"/>
    <col min="5" max="5" width="15.7109375" bestFit="1" customWidth="1"/>
    <col min="6" max="6" width="32.5703125" bestFit="1" customWidth="1"/>
    <col min="7" max="7" width="221.28515625" bestFit="1" customWidth="1"/>
    <col min="8" max="8" width="25.28515625" bestFit="1" customWidth="1"/>
    <col min="9" max="9" width="19.85546875" bestFit="1" customWidth="1"/>
  </cols>
  <sheetData>
    <row r="2" spans="5:11" x14ac:dyDescent="0.25">
      <c r="E2" s="785" t="s">
        <v>71</v>
      </c>
      <c r="F2" s="785"/>
      <c r="G2" s="785"/>
      <c r="H2" s="785"/>
      <c r="I2" s="785"/>
      <c r="J2" s="785"/>
      <c r="K2" s="785"/>
    </row>
    <row r="6" spans="5:11" x14ac:dyDescent="0.25">
      <c r="F6" s="6" t="s">
        <v>72</v>
      </c>
      <c r="G6" s="6" t="s">
        <v>73</v>
      </c>
      <c r="H6" s="6" t="s">
        <v>74</v>
      </c>
    </row>
    <row r="7" spans="5:11" x14ac:dyDescent="0.25">
      <c r="F7" s="1"/>
      <c r="G7" s="1"/>
      <c r="H7" s="1"/>
      <c r="I7" s="786" t="s">
        <v>101</v>
      </c>
    </row>
    <row r="8" spans="5:11" x14ac:dyDescent="0.25">
      <c r="F8" s="1" t="s">
        <v>75</v>
      </c>
      <c r="G8" s="1" t="s">
        <v>82</v>
      </c>
      <c r="H8" s="1" t="s">
        <v>45</v>
      </c>
      <c r="I8" s="786"/>
    </row>
    <row r="9" spans="5:11" x14ac:dyDescent="0.25">
      <c r="F9" s="1" t="s">
        <v>79</v>
      </c>
      <c r="G9" s="1" t="s">
        <v>83</v>
      </c>
      <c r="H9" s="1" t="s">
        <v>98</v>
      </c>
      <c r="I9" s="786"/>
    </row>
    <row r="10" spans="5:11" x14ac:dyDescent="0.25">
      <c r="F10" s="1" t="s">
        <v>76</v>
      </c>
      <c r="G10" s="1" t="s">
        <v>84</v>
      </c>
      <c r="H10" s="1" t="s">
        <v>99</v>
      </c>
      <c r="I10" s="786"/>
    </row>
    <row r="11" spans="5:11" x14ac:dyDescent="0.25">
      <c r="F11" s="1" t="s">
        <v>77</v>
      </c>
      <c r="G11" s="1" t="s">
        <v>85</v>
      </c>
      <c r="H11" s="1" t="s">
        <v>100</v>
      </c>
      <c r="I11" s="786"/>
    </row>
    <row r="12" spans="5:11" x14ac:dyDescent="0.25">
      <c r="F12" s="1" t="s">
        <v>78</v>
      </c>
      <c r="G12" s="1" t="s">
        <v>86</v>
      </c>
      <c r="H12" s="1"/>
    </row>
    <row r="13" spans="5:11" x14ac:dyDescent="0.25">
      <c r="F13" s="1" t="s">
        <v>80</v>
      </c>
      <c r="G13" s="5" t="s">
        <v>96</v>
      </c>
      <c r="H13" s="1"/>
    </row>
    <row r="14" spans="5:11" x14ac:dyDescent="0.25">
      <c r="F14" s="1" t="s">
        <v>81</v>
      </c>
      <c r="G14" s="1" t="s">
        <v>87</v>
      </c>
      <c r="H14" s="1"/>
    </row>
    <row r="15" spans="5:11" x14ac:dyDescent="0.25">
      <c r="F15" s="1"/>
      <c r="G15" s="1" t="s">
        <v>88</v>
      </c>
      <c r="H15" s="1"/>
    </row>
    <row r="16" spans="5:11" x14ac:dyDescent="0.25">
      <c r="F16" s="1"/>
      <c r="G16" s="1" t="s">
        <v>89</v>
      </c>
      <c r="H16" s="1"/>
    </row>
    <row r="17" spans="6:8" x14ac:dyDescent="0.25">
      <c r="F17" s="1"/>
      <c r="G17" s="1" t="s">
        <v>90</v>
      </c>
      <c r="H17" s="1"/>
    </row>
    <row r="18" spans="6:8" x14ac:dyDescent="0.25">
      <c r="F18" s="1"/>
      <c r="G18" s="1" t="s">
        <v>91</v>
      </c>
      <c r="H18" s="1"/>
    </row>
    <row r="19" spans="6:8" x14ac:dyDescent="0.25">
      <c r="F19" s="1"/>
      <c r="G19" s="7" t="s">
        <v>106</v>
      </c>
      <c r="H19" s="1"/>
    </row>
    <row r="20" spans="6:8" x14ac:dyDescent="0.25">
      <c r="F20" s="1"/>
      <c r="G20" s="5" t="s">
        <v>92</v>
      </c>
      <c r="H20" s="1"/>
    </row>
    <row r="21" spans="6:8" x14ac:dyDescent="0.25">
      <c r="F21" s="1"/>
      <c r="G21" s="5" t="s">
        <v>94</v>
      </c>
      <c r="H21" s="1"/>
    </row>
    <row r="22" spans="6:8" x14ac:dyDescent="0.25">
      <c r="G22" s="5" t="s">
        <v>93</v>
      </c>
    </row>
    <row r="23" spans="6:8" x14ac:dyDescent="0.25">
      <c r="G23" s="5" t="s">
        <v>95</v>
      </c>
    </row>
    <row r="24" spans="6:8" x14ac:dyDescent="0.25">
      <c r="G24" s="5" t="s">
        <v>97</v>
      </c>
    </row>
    <row r="25" spans="6:8" x14ac:dyDescent="0.25">
      <c r="G25" s="13" t="s">
        <v>445</v>
      </c>
    </row>
    <row r="26" spans="6:8" x14ac:dyDescent="0.25">
      <c r="G26" s="11"/>
    </row>
    <row r="27" spans="6:8" x14ac:dyDescent="0.25">
      <c r="G27" s="11"/>
    </row>
    <row r="29" spans="6:8" x14ac:dyDescent="0.25">
      <c r="G29" s="7" t="s">
        <v>102</v>
      </c>
    </row>
    <row r="30" spans="6:8" x14ac:dyDescent="0.25">
      <c r="G30" s="7" t="s">
        <v>103</v>
      </c>
    </row>
    <row r="31" spans="6:8" x14ac:dyDescent="0.25">
      <c r="G31" s="7" t="s">
        <v>104</v>
      </c>
    </row>
    <row r="32" spans="6:8" x14ac:dyDescent="0.25">
      <c r="G32" s="7" t="s">
        <v>105</v>
      </c>
    </row>
    <row r="34" spans="7:7" x14ac:dyDescent="0.25">
      <c r="G34" s="8" t="s">
        <v>107</v>
      </c>
    </row>
    <row r="35" spans="7:7" x14ac:dyDescent="0.25">
      <c r="G35" s="8" t="s">
        <v>108</v>
      </c>
    </row>
    <row r="36" spans="7:7" x14ac:dyDescent="0.25">
      <c r="G36" s="8" t="s">
        <v>109</v>
      </c>
    </row>
    <row r="38" spans="7:7" x14ac:dyDescent="0.25">
      <c r="G38" s="8" t="s">
        <v>110</v>
      </c>
    </row>
    <row r="39" spans="7:7" x14ac:dyDescent="0.25">
      <c r="G39" s="9" t="s">
        <v>111</v>
      </c>
    </row>
    <row r="40" spans="7:7" x14ac:dyDescent="0.25">
      <c r="G40" s="9" t="s">
        <v>112</v>
      </c>
    </row>
    <row r="41" spans="7:7" x14ac:dyDescent="0.25">
      <c r="G41" s="9" t="s">
        <v>113</v>
      </c>
    </row>
    <row r="42" spans="7:7" x14ac:dyDescent="0.25">
      <c r="G42" s="9" t="s">
        <v>114</v>
      </c>
    </row>
    <row r="43" spans="7:7" x14ac:dyDescent="0.25">
      <c r="G43" s="9" t="s">
        <v>115</v>
      </c>
    </row>
    <row r="44" spans="7:7" x14ac:dyDescent="0.25">
      <c r="G44" s="9" t="s">
        <v>116</v>
      </c>
    </row>
    <row r="45" spans="7:7" x14ac:dyDescent="0.25">
      <c r="G45" s="9"/>
    </row>
    <row r="46" spans="7:7" x14ac:dyDescent="0.25">
      <c r="G46" s="8" t="s">
        <v>117</v>
      </c>
    </row>
    <row r="47" spans="7:7" x14ac:dyDescent="0.25">
      <c r="G47" s="9" t="s">
        <v>118</v>
      </c>
    </row>
    <row r="48" spans="7:7" x14ac:dyDescent="0.25">
      <c r="G48" s="9" t="s">
        <v>119</v>
      </c>
    </row>
    <row r="49" spans="7:7" x14ac:dyDescent="0.25">
      <c r="G49" s="9" t="s">
        <v>120</v>
      </c>
    </row>
    <row r="50" spans="7:7" x14ac:dyDescent="0.25">
      <c r="G50" s="9" t="s">
        <v>121</v>
      </c>
    </row>
    <row r="51" spans="7:7" x14ac:dyDescent="0.25">
      <c r="G51" s="9" t="s">
        <v>122</v>
      </c>
    </row>
    <row r="53" spans="7:7" x14ac:dyDescent="0.25">
      <c r="G53" s="8" t="s">
        <v>123</v>
      </c>
    </row>
    <row r="54" spans="7:7" x14ac:dyDescent="0.25">
      <c r="G54" s="9" t="s">
        <v>124</v>
      </c>
    </row>
    <row r="55" spans="7:7" x14ac:dyDescent="0.25">
      <c r="G55" s="9" t="s">
        <v>125</v>
      </c>
    </row>
    <row r="56" spans="7:7" x14ac:dyDescent="0.25">
      <c r="G56" s="9" t="s">
        <v>126</v>
      </c>
    </row>
    <row r="58" spans="7:7" x14ac:dyDescent="0.25">
      <c r="G58" s="8" t="s">
        <v>127</v>
      </c>
    </row>
    <row r="59" spans="7:7" x14ac:dyDescent="0.25">
      <c r="G59" s="9" t="s">
        <v>128</v>
      </c>
    </row>
    <row r="61" spans="7:7" x14ac:dyDescent="0.25">
      <c r="G61" s="3" t="s">
        <v>129</v>
      </c>
    </row>
    <row r="62" spans="7:7" x14ac:dyDescent="0.25">
      <c r="G62" t="s">
        <v>130</v>
      </c>
    </row>
    <row r="63" spans="7:7" x14ac:dyDescent="0.25">
      <c r="G63" t="s">
        <v>131</v>
      </c>
    </row>
    <row r="64" spans="7:7" x14ac:dyDescent="0.25">
      <c r="G64" t="s">
        <v>132</v>
      </c>
    </row>
    <row r="65" spans="7:7" x14ac:dyDescent="0.25">
      <c r="G65" t="s">
        <v>133</v>
      </c>
    </row>
    <row r="66" spans="7:7" x14ac:dyDescent="0.25">
      <c r="G66" t="s">
        <v>134</v>
      </c>
    </row>
    <row r="67" spans="7:7" x14ac:dyDescent="0.25">
      <c r="G67" t="s">
        <v>135</v>
      </c>
    </row>
    <row r="68" spans="7:7" x14ac:dyDescent="0.25">
      <c r="G68" t="s">
        <v>136</v>
      </c>
    </row>
    <row r="69" spans="7:7" x14ac:dyDescent="0.25">
      <c r="G69" t="s">
        <v>137</v>
      </c>
    </row>
    <row r="70" spans="7:7" x14ac:dyDescent="0.25">
      <c r="G70" t="s">
        <v>138</v>
      </c>
    </row>
    <row r="71" spans="7:7" x14ac:dyDescent="0.25">
      <c r="G71" t="s">
        <v>139</v>
      </c>
    </row>
    <row r="72" spans="7:7" x14ac:dyDescent="0.25">
      <c r="G72" t="s">
        <v>140</v>
      </c>
    </row>
    <row r="73" spans="7:7" x14ac:dyDescent="0.25">
      <c r="G73" t="s">
        <v>141</v>
      </c>
    </row>
    <row r="74" spans="7:7" x14ac:dyDescent="0.25">
      <c r="G74" t="s">
        <v>142</v>
      </c>
    </row>
    <row r="75" spans="7:7" x14ac:dyDescent="0.25">
      <c r="G75" t="s">
        <v>143</v>
      </c>
    </row>
    <row r="76" spans="7:7" x14ac:dyDescent="0.25">
      <c r="G76" t="s">
        <v>144</v>
      </c>
    </row>
    <row r="77" spans="7:7" x14ac:dyDescent="0.25">
      <c r="G77" t="s">
        <v>145</v>
      </c>
    </row>
    <row r="78" spans="7:7" x14ac:dyDescent="0.25">
      <c r="G78" t="s">
        <v>146</v>
      </c>
    </row>
    <row r="79" spans="7:7" x14ac:dyDescent="0.25">
      <c r="G79" t="s">
        <v>147</v>
      </c>
    </row>
    <row r="80" spans="7:7" x14ac:dyDescent="0.25">
      <c r="G80" t="s">
        <v>148</v>
      </c>
    </row>
    <row r="81" spans="7:7" x14ac:dyDescent="0.25">
      <c r="G81" t="s">
        <v>149</v>
      </c>
    </row>
    <row r="82" spans="7:7" x14ac:dyDescent="0.25">
      <c r="G82" t="s">
        <v>150</v>
      </c>
    </row>
    <row r="83" spans="7:7" x14ac:dyDescent="0.25">
      <c r="G83" t="s">
        <v>151</v>
      </c>
    </row>
    <row r="84" spans="7:7" x14ac:dyDescent="0.25">
      <c r="G84" t="s">
        <v>152</v>
      </c>
    </row>
    <row r="85" spans="7:7" x14ac:dyDescent="0.25">
      <c r="G85" t="s">
        <v>153</v>
      </c>
    </row>
    <row r="86" spans="7:7" x14ac:dyDescent="0.25">
      <c r="G86" t="s">
        <v>154</v>
      </c>
    </row>
    <row r="87" spans="7:7" x14ac:dyDescent="0.25">
      <c r="G87" t="s">
        <v>155</v>
      </c>
    </row>
    <row r="88" spans="7:7" x14ac:dyDescent="0.25">
      <c r="G88" t="s">
        <v>156</v>
      </c>
    </row>
    <row r="89" spans="7:7" x14ac:dyDescent="0.25">
      <c r="G89" t="s">
        <v>157</v>
      </c>
    </row>
    <row r="90" spans="7:7" x14ac:dyDescent="0.25">
      <c r="G90" t="s">
        <v>158</v>
      </c>
    </row>
    <row r="92" spans="7:7" x14ac:dyDescent="0.25">
      <c r="G92" s="3" t="s">
        <v>159</v>
      </c>
    </row>
    <row r="93" spans="7:7" x14ac:dyDescent="0.25">
      <c r="G93" t="s">
        <v>160</v>
      </c>
    </row>
    <row r="94" spans="7:7" x14ac:dyDescent="0.25">
      <c r="G94" t="s">
        <v>161</v>
      </c>
    </row>
    <row r="95" spans="7:7" x14ac:dyDescent="0.25">
      <c r="G95" t="s">
        <v>162</v>
      </c>
    </row>
    <row r="96" spans="7:7" x14ac:dyDescent="0.25">
      <c r="G96" t="s">
        <v>163</v>
      </c>
    </row>
    <row r="97" spans="7:7" x14ac:dyDescent="0.25">
      <c r="G97" t="s">
        <v>164</v>
      </c>
    </row>
    <row r="98" spans="7:7" x14ac:dyDescent="0.25">
      <c r="G98" t="s">
        <v>165</v>
      </c>
    </row>
    <row r="99" spans="7:7" x14ac:dyDescent="0.25">
      <c r="G99" t="s">
        <v>166</v>
      </c>
    </row>
    <row r="100" spans="7:7" x14ac:dyDescent="0.25">
      <c r="G100" t="s">
        <v>167</v>
      </c>
    </row>
    <row r="101" spans="7:7" x14ac:dyDescent="0.25">
      <c r="G101" t="s">
        <v>168</v>
      </c>
    </row>
    <row r="102" spans="7:7" x14ac:dyDescent="0.25">
      <c r="G102" t="s">
        <v>169</v>
      </c>
    </row>
    <row r="103" spans="7:7" x14ac:dyDescent="0.25">
      <c r="G103" t="s">
        <v>170</v>
      </c>
    </row>
    <row r="105" spans="7:7" x14ac:dyDescent="0.25">
      <c r="G105" t="s">
        <v>171</v>
      </c>
    </row>
    <row r="107" spans="7:7" x14ac:dyDescent="0.25">
      <c r="G107" t="s">
        <v>172</v>
      </c>
    </row>
    <row r="109" spans="7:7" x14ac:dyDescent="0.25">
      <c r="G109" t="s">
        <v>173</v>
      </c>
    </row>
    <row r="112" spans="7:7" x14ac:dyDescent="0.25">
      <c r="G112" s="3" t="s">
        <v>174</v>
      </c>
    </row>
    <row r="114" spans="7:7" x14ac:dyDescent="0.25">
      <c r="G114" t="s">
        <v>175</v>
      </c>
    </row>
    <row r="115" spans="7:7" x14ac:dyDescent="0.25">
      <c r="G115" t="s">
        <v>176</v>
      </c>
    </row>
    <row r="116" spans="7:7" x14ac:dyDescent="0.25">
      <c r="G116" t="s">
        <v>177</v>
      </c>
    </row>
    <row r="117" spans="7:7" x14ac:dyDescent="0.25">
      <c r="G117" t="s">
        <v>178</v>
      </c>
    </row>
    <row r="118" spans="7:7" x14ac:dyDescent="0.25">
      <c r="G118" t="s">
        <v>179</v>
      </c>
    </row>
    <row r="119" spans="7:7" x14ac:dyDescent="0.25">
      <c r="G119" t="s">
        <v>180</v>
      </c>
    </row>
    <row r="120" spans="7:7" x14ac:dyDescent="0.25">
      <c r="G120" t="s">
        <v>137</v>
      </c>
    </row>
    <row r="121" spans="7:7" x14ac:dyDescent="0.25">
      <c r="G121" t="s">
        <v>139</v>
      </c>
    </row>
    <row r="122" spans="7:7" x14ac:dyDescent="0.25">
      <c r="G122" t="s">
        <v>181</v>
      </c>
    </row>
    <row r="123" spans="7:7" x14ac:dyDescent="0.25">
      <c r="G123" t="s">
        <v>141</v>
      </c>
    </row>
    <row r="125" spans="7:7" x14ac:dyDescent="0.25">
      <c r="G125" s="3" t="s">
        <v>182</v>
      </c>
    </row>
    <row r="127" spans="7:7" x14ac:dyDescent="0.25">
      <c r="G127" t="s">
        <v>183</v>
      </c>
    </row>
    <row r="128" spans="7:7" x14ac:dyDescent="0.25">
      <c r="G128" t="s">
        <v>184</v>
      </c>
    </row>
    <row r="129" spans="7:7" x14ac:dyDescent="0.25">
      <c r="G129" t="s">
        <v>185</v>
      </c>
    </row>
    <row r="130" spans="7:7" x14ac:dyDescent="0.25">
      <c r="G130" t="s">
        <v>145</v>
      </c>
    </row>
    <row r="131" spans="7:7" x14ac:dyDescent="0.25">
      <c r="G131" t="s">
        <v>186</v>
      </c>
    </row>
    <row r="134" spans="7:7" x14ac:dyDescent="0.25">
      <c r="G134" s="3" t="s">
        <v>187</v>
      </c>
    </row>
    <row r="136" spans="7:7" x14ac:dyDescent="0.25">
      <c r="G136" t="s">
        <v>188</v>
      </c>
    </row>
    <row r="137" spans="7:7" x14ac:dyDescent="0.25">
      <c r="G137" t="s">
        <v>189</v>
      </c>
    </row>
    <row r="138" spans="7:7" x14ac:dyDescent="0.25">
      <c r="G138" t="s">
        <v>190</v>
      </c>
    </row>
    <row r="139" spans="7:7" x14ac:dyDescent="0.25">
      <c r="G139" t="s">
        <v>191</v>
      </c>
    </row>
    <row r="141" spans="7:7" x14ac:dyDescent="0.25">
      <c r="G141" s="3" t="s">
        <v>192</v>
      </c>
    </row>
    <row r="143" spans="7:7" x14ac:dyDescent="0.25">
      <c r="G143" t="s">
        <v>193</v>
      </c>
    </row>
    <row r="144" spans="7:7" x14ac:dyDescent="0.25">
      <c r="G144" t="s">
        <v>194</v>
      </c>
    </row>
    <row r="146" spans="7:7" x14ac:dyDescent="0.25">
      <c r="G146" s="3" t="s">
        <v>195</v>
      </c>
    </row>
    <row r="148" spans="7:7" x14ac:dyDescent="0.25">
      <c r="G148" t="s">
        <v>196</v>
      </c>
    </row>
    <row r="150" spans="7:7" x14ac:dyDescent="0.25">
      <c r="G150" s="3" t="s">
        <v>197</v>
      </c>
    </row>
    <row r="152" spans="7:7" x14ac:dyDescent="0.25">
      <c r="G152" t="s">
        <v>198</v>
      </c>
    </row>
    <row r="153" spans="7:7" x14ac:dyDescent="0.25">
      <c r="G153" t="s">
        <v>199</v>
      </c>
    </row>
    <row r="154" spans="7:7" x14ac:dyDescent="0.25">
      <c r="G154" t="s">
        <v>200</v>
      </c>
    </row>
    <row r="155" spans="7:7" x14ac:dyDescent="0.25">
      <c r="G155" t="s">
        <v>201</v>
      </c>
    </row>
    <row r="156" spans="7:7" x14ac:dyDescent="0.25">
      <c r="G156" t="s">
        <v>202</v>
      </c>
    </row>
    <row r="157" spans="7:7" x14ac:dyDescent="0.25">
      <c r="G157" t="s">
        <v>203</v>
      </c>
    </row>
    <row r="158" spans="7:7" x14ac:dyDescent="0.25">
      <c r="G158" t="s">
        <v>204</v>
      </c>
    </row>
    <row r="159" spans="7:7" x14ac:dyDescent="0.25">
      <c r="G159" t="s">
        <v>205</v>
      </c>
    </row>
    <row r="160" spans="7:7" x14ac:dyDescent="0.25">
      <c r="G160" t="s">
        <v>206</v>
      </c>
    </row>
    <row r="161" spans="7:7" x14ac:dyDescent="0.25">
      <c r="G161" t="s">
        <v>207</v>
      </c>
    </row>
    <row r="163" spans="7:7" x14ac:dyDescent="0.25">
      <c r="G163" s="3" t="s">
        <v>208</v>
      </c>
    </row>
    <row r="165" spans="7:7" x14ac:dyDescent="0.25">
      <c r="G165" t="s">
        <v>209</v>
      </c>
    </row>
    <row r="166" spans="7:7" x14ac:dyDescent="0.25">
      <c r="G166" t="s">
        <v>210</v>
      </c>
    </row>
    <row r="167" spans="7:7" x14ac:dyDescent="0.25">
      <c r="G167" t="s">
        <v>211</v>
      </c>
    </row>
    <row r="168" spans="7:7" x14ac:dyDescent="0.25">
      <c r="G168" t="s">
        <v>212</v>
      </c>
    </row>
    <row r="169" spans="7:7" x14ac:dyDescent="0.25">
      <c r="G169" t="s">
        <v>213</v>
      </c>
    </row>
    <row r="171" spans="7:7" x14ac:dyDescent="0.25">
      <c r="G171" s="3" t="s">
        <v>214</v>
      </c>
    </row>
    <row r="173" spans="7:7" x14ac:dyDescent="0.25">
      <c r="G173" t="s">
        <v>215</v>
      </c>
    </row>
    <row r="174" spans="7:7" x14ac:dyDescent="0.25">
      <c r="G174" t="s">
        <v>216</v>
      </c>
    </row>
    <row r="175" spans="7:7" x14ac:dyDescent="0.25">
      <c r="G175" t="s">
        <v>217</v>
      </c>
    </row>
    <row r="176" spans="7:7" x14ac:dyDescent="0.25">
      <c r="G176" t="s">
        <v>218</v>
      </c>
    </row>
    <row r="177" spans="7:7" x14ac:dyDescent="0.25">
      <c r="G177" t="s">
        <v>219</v>
      </c>
    </row>
    <row r="178" spans="7:7" x14ac:dyDescent="0.25">
      <c r="G178" t="s">
        <v>220</v>
      </c>
    </row>
    <row r="179" spans="7:7" x14ac:dyDescent="0.25">
      <c r="G179" t="s">
        <v>221</v>
      </c>
    </row>
    <row r="181" spans="7:7" x14ac:dyDescent="0.25">
      <c r="G181" s="3" t="s">
        <v>222</v>
      </c>
    </row>
    <row r="183" spans="7:7" x14ac:dyDescent="0.25">
      <c r="G183" s="3" t="s">
        <v>223</v>
      </c>
    </row>
    <row r="184" spans="7:7" x14ac:dyDescent="0.25">
      <c r="G184" t="s">
        <v>224</v>
      </c>
    </row>
    <row r="185" spans="7:7" x14ac:dyDescent="0.25">
      <c r="G185" t="s">
        <v>225</v>
      </c>
    </row>
    <row r="186" spans="7:7" x14ac:dyDescent="0.25">
      <c r="G186" t="s">
        <v>226</v>
      </c>
    </row>
    <row r="187" spans="7:7" x14ac:dyDescent="0.25">
      <c r="G187" t="s">
        <v>227</v>
      </c>
    </row>
    <row r="188" spans="7:7" x14ac:dyDescent="0.25">
      <c r="G188" t="s">
        <v>228</v>
      </c>
    </row>
    <row r="189" spans="7:7" x14ac:dyDescent="0.25">
      <c r="G189" t="s">
        <v>229</v>
      </c>
    </row>
    <row r="191" spans="7:7" x14ac:dyDescent="0.25">
      <c r="G191" s="3" t="s">
        <v>230</v>
      </c>
    </row>
    <row r="192" spans="7:7" x14ac:dyDescent="0.25">
      <c r="G192" t="s">
        <v>231</v>
      </c>
    </row>
    <row r="193" spans="7:7" x14ac:dyDescent="0.25">
      <c r="G193" t="s">
        <v>232</v>
      </c>
    </row>
    <row r="194" spans="7:7" x14ac:dyDescent="0.25">
      <c r="G194" t="s">
        <v>233</v>
      </c>
    </row>
    <row r="195" spans="7:7" x14ac:dyDescent="0.25">
      <c r="G195" t="s">
        <v>234</v>
      </c>
    </row>
    <row r="196" spans="7:7" x14ac:dyDescent="0.25">
      <c r="G196" t="s">
        <v>235</v>
      </c>
    </row>
    <row r="197" spans="7:7" x14ac:dyDescent="0.25">
      <c r="G197" t="s">
        <v>236</v>
      </c>
    </row>
    <row r="198" spans="7:7" x14ac:dyDescent="0.25">
      <c r="G198" t="s">
        <v>237</v>
      </c>
    </row>
    <row r="199" spans="7:7" x14ac:dyDescent="0.25">
      <c r="G199" t="s">
        <v>238</v>
      </c>
    </row>
    <row r="201" spans="7:7" x14ac:dyDescent="0.25">
      <c r="G201" s="3" t="s">
        <v>123</v>
      </c>
    </row>
    <row r="202" spans="7:7" x14ac:dyDescent="0.25">
      <c r="G202" t="s">
        <v>239</v>
      </c>
    </row>
    <row r="203" spans="7:7" x14ac:dyDescent="0.25">
      <c r="G203" t="s">
        <v>240</v>
      </c>
    </row>
    <row r="204" spans="7:7" x14ac:dyDescent="0.25">
      <c r="G204" t="s">
        <v>241</v>
      </c>
    </row>
    <row r="206" spans="7:7" x14ac:dyDescent="0.25">
      <c r="G206" s="3" t="s">
        <v>242</v>
      </c>
    </row>
    <row r="207" spans="7:7" x14ac:dyDescent="0.25">
      <c r="G207" t="s">
        <v>243</v>
      </c>
    </row>
    <row r="208" spans="7:7" x14ac:dyDescent="0.25">
      <c r="G208" t="s">
        <v>244</v>
      </c>
    </row>
    <row r="211" spans="7:7" x14ac:dyDescent="0.25">
      <c r="G211" s="3" t="s">
        <v>245</v>
      </c>
    </row>
    <row r="213" spans="7:7" x14ac:dyDescent="0.25">
      <c r="G213" t="s">
        <v>246</v>
      </c>
    </row>
    <row r="214" spans="7:7" x14ac:dyDescent="0.25">
      <c r="G214" t="s">
        <v>247</v>
      </c>
    </row>
    <row r="216" spans="7:7" x14ac:dyDescent="0.25">
      <c r="G216" s="3" t="s">
        <v>248</v>
      </c>
    </row>
    <row r="217" spans="7:7" x14ac:dyDescent="0.25">
      <c r="G217" t="s">
        <v>249</v>
      </c>
    </row>
    <row r="218" spans="7:7" x14ac:dyDescent="0.25">
      <c r="G218" t="s">
        <v>250</v>
      </c>
    </row>
    <row r="219" spans="7:7" x14ac:dyDescent="0.25">
      <c r="G219" t="s">
        <v>251</v>
      </c>
    </row>
    <row r="220" spans="7:7" x14ac:dyDescent="0.25">
      <c r="G220" t="s">
        <v>252</v>
      </c>
    </row>
    <row r="221" spans="7:7" x14ac:dyDescent="0.25">
      <c r="G221" t="s">
        <v>253</v>
      </c>
    </row>
    <row r="222" spans="7:7" x14ac:dyDescent="0.25">
      <c r="G222" t="s">
        <v>254</v>
      </c>
    </row>
    <row r="224" spans="7:7" x14ac:dyDescent="0.25">
      <c r="G224" s="3" t="s">
        <v>255</v>
      </c>
    </row>
    <row r="226" spans="7:7" x14ac:dyDescent="0.25">
      <c r="G226" t="s">
        <v>256</v>
      </c>
    </row>
    <row r="227" spans="7:7" x14ac:dyDescent="0.25">
      <c r="G227" t="s">
        <v>257</v>
      </c>
    </row>
    <row r="228" spans="7:7" x14ac:dyDescent="0.25">
      <c r="G228" t="s">
        <v>258</v>
      </c>
    </row>
    <row r="229" spans="7:7" x14ac:dyDescent="0.25">
      <c r="G229" t="s">
        <v>259</v>
      </c>
    </row>
    <row r="230" spans="7:7" x14ac:dyDescent="0.25">
      <c r="G230" t="s">
        <v>260</v>
      </c>
    </row>
    <row r="231" spans="7:7" x14ac:dyDescent="0.25">
      <c r="G231" t="s">
        <v>261</v>
      </c>
    </row>
    <row r="232" spans="7:7" x14ac:dyDescent="0.25">
      <c r="G232" t="s">
        <v>262</v>
      </c>
    </row>
    <row r="233" spans="7:7" x14ac:dyDescent="0.25">
      <c r="G233" t="s">
        <v>263</v>
      </c>
    </row>
    <row r="234" spans="7:7" x14ac:dyDescent="0.25">
      <c r="G234" t="s">
        <v>264</v>
      </c>
    </row>
    <row r="235" spans="7:7" x14ac:dyDescent="0.25">
      <c r="G235" t="s">
        <v>265</v>
      </c>
    </row>
    <row r="236" spans="7:7" x14ac:dyDescent="0.25">
      <c r="G236" t="s">
        <v>266</v>
      </c>
    </row>
    <row r="237" spans="7:7" x14ac:dyDescent="0.25">
      <c r="G237" t="s">
        <v>267</v>
      </c>
    </row>
    <row r="238" spans="7:7" x14ac:dyDescent="0.25">
      <c r="G238" t="s">
        <v>268</v>
      </c>
    </row>
    <row r="240" spans="7:7" x14ac:dyDescent="0.25">
      <c r="G240" s="3" t="s">
        <v>269</v>
      </c>
    </row>
    <row r="242" spans="7:7" x14ac:dyDescent="0.25">
      <c r="G242" t="s">
        <v>256</v>
      </c>
    </row>
    <row r="243" spans="7:7" x14ac:dyDescent="0.25">
      <c r="G243" t="s">
        <v>270</v>
      </c>
    </row>
    <row r="244" spans="7:7" x14ac:dyDescent="0.25">
      <c r="G244" t="s">
        <v>271</v>
      </c>
    </row>
    <row r="245" spans="7:7" x14ac:dyDescent="0.25">
      <c r="G245" t="s">
        <v>272</v>
      </c>
    </row>
    <row r="246" spans="7:7" x14ac:dyDescent="0.25">
      <c r="G246" t="s">
        <v>273</v>
      </c>
    </row>
    <row r="247" spans="7:7" x14ac:dyDescent="0.25">
      <c r="G247" t="s">
        <v>274</v>
      </c>
    </row>
    <row r="248" spans="7:7" x14ac:dyDescent="0.25">
      <c r="G248" t="s">
        <v>275</v>
      </c>
    </row>
    <row r="249" spans="7:7" x14ac:dyDescent="0.25">
      <c r="G249" t="s">
        <v>276</v>
      </c>
    </row>
    <row r="250" spans="7:7" x14ac:dyDescent="0.25">
      <c r="G250" t="s">
        <v>277</v>
      </c>
    </row>
    <row r="252" spans="7:7" x14ac:dyDescent="0.25">
      <c r="G252" s="3" t="s">
        <v>278</v>
      </c>
    </row>
    <row r="254" spans="7:7" x14ac:dyDescent="0.25">
      <c r="G254" t="s">
        <v>279</v>
      </c>
    </row>
    <row r="256" spans="7:7" x14ac:dyDescent="0.25">
      <c r="G256" t="s">
        <v>280</v>
      </c>
    </row>
    <row r="257" spans="7:7" x14ac:dyDescent="0.25">
      <c r="G257" t="s">
        <v>281</v>
      </c>
    </row>
    <row r="258" spans="7:7" x14ac:dyDescent="0.25">
      <c r="G258" t="s">
        <v>282</v>
      </c>
    </row>
    <row r="259" spans="7:7" x14ac:dyDescent="0.25">
      <c r="G259" t="s">
        <v>283</v>
      </c>
    </row>
    <row r="260" spans="7:7" x14ac:dyDescent="0.25">
      <c r="G260" t="s">
        <v>284</v>
      </c>
    </row>
    <row r="261" spans="7:7" x14ac:dyDescent="0.25">
      <c r="G261" t="s">
        <v>285</v>
      </c>
    </row>
    <row r="262" spans="7:7" x14ac:dyDescent="0.25">
      <c r="G262" t="s">
        <v>286</v>
      </c>
    </row>
    <row r="263" spans="7:7" x14ac:dyDescent="0.25">
      <c r="G263" t="s">
        <v>287</v>
      </c>
    </row>
    <row r="264" spans="7:7" x14ac:dyDescent="0.25">
      <c r="G264" t="s">
        <v>288</v>
      </c>
    </row>
    <row r="265" spans="7:7" x14ac:dyDescent="0.25">
      <c r="G265" t="s">
        <v>289</v>
      </c>
    </row>
    <row r="267" spans="7:7" x14ac:dyDescent="0.25">
      <c r="G267" s="3" t="s">
        <v>290</v>
      </c>
    </row>
    <row r="269" spans="7:7" x14ac:dyDescent="0.25">
      <c r="G269" t="s">
        <v>291</v>
      </c>
    </row>
    <row r="270" spans="7:7" x14ac:dyDescent="0.25">
      <c r="G270" t="s">
        <v>292</v>
      </c>
    </row>
    <row r="271" spans="7:7" x14ac:dyDescent="0.25">
      <c r="G271" t="s">
        <v>293</v>
      </c>
    </row>
    <row r="272" spans="7:7" x14ac:dyDescent="0.25">
      <c r="G272" t="s">
        <v>294</v>
      </c>
    </row>
    <row r="273" spans="7:7" x14ac:dyDescent="0.25">
      <c r="G273" t="s">
        <v>295</v>
      </c>
    </row>
    <row r="274" spans="7:7" x14ac:dyDescent="0.25">
      <c r="G274" t="s">
        <v>296</v>
      </c>
    </row>
    <row r="275" spans="7:7" x14ac:dyDescent="0.25">
      <c r="G275" s="10" t="s">
        <v>297</v>
      </c>
    </row>
    <row r="276" spans="7:7" x14ac:dyDescent="0.25">
      <c r="G276" s="10" t="s">
        <v>298</v>
      </c>
    </row>
    <row r="277" spans="7:7" x14ac:dyDescent="0.25">
      <c r="G277" s="10" t="s">
        <v>299</v>
      </c>
    </row>
    <row r="278" spans="7:7" x14ac:dyDescent="0.25">
      <c r="G278" s="10" t="s">
        <v>300</v>
      </c>
    </row>
    <row r="280" spans="7:7" x14ac:dyDescent="0.25">
      <c r="G280" s="3" t="s">
        <v>301</v>
      </c>
    </row>
    <row r="282" spans="7:7" x14ac:dyDescent="0.25">
      <c r="G282" t="s">
        <v>302</v>
      </c>
    </row>
    <row r="283" spans="7:7" x14ac:dyDescent="0.25">
      <c r="G283" t="s">
        <v>303</v>
      </c>
    </row>
    <row r="284" spans="7:7" x14ac:dyDescent="0.25">
      <c r="G284" t="s">
        <v>304</v>
      </c>
    </row>
    <row r="285" spans="7:7" x14ac:dyDescent="0.25">
      <c r="G285" t="s">
        <v>305</v>
      </c>
    </row>
    <row r="286" spans="7:7" x14ac:dyDescent="0.25">
      <c r="G286" t="s">
        <v>306</v>
      </c>
    </row>
    <row r="287" spans="7:7" x14ac:dyDescent="0.25">
      <c r="G287" t="s">
        <v>307</v>
      </c>
    </row>
    <row r="288" spans="7:7" x14ac:dyDescent="0.25">
      <c r="G288" t="s">
        <v>308</v>
      </c>
    </row>
    <row r="289" spans="7:7" x14ac:dyDescent="0.25">
      <c r="G289" t="s">
        <v>309</v>
      </c>
    </row>
    <row r="290" spans="7:7" x14ac:dyDescent="0.25">
      <c r="G290" t="s">
        <v>310</v>
      </c>
    </row>
    <row r="291" spans="7:7" x14ac:dyDescent="0.25">
      <c r="G291" t="s">
        <v>311</v>
      </c>
    </row>
    <row r="292" spans="7:7" x14ac:dyDescent="0.25">
      <c r="G292" t="s">
        <v>312</v>
      </c>
    </row>
    <row r="293" spans="7:7" x14ac:dyDescent="0.25">
      <c r="G293" t="s">
        <v>313</v>
      </c>
    </row>
    <row r="294" spans="7:7" x14ac:dyDescent="0.25">
      <c r="G294" t="s">
        <v>314</v>
      </c>
    </row>
    <row r="296" spans="7:7" x14ac:dyDescent="0.25">
      <c r="G296" s="3" t="s">
        <v>315</v>
      </c>
    </row>
    <row r="298" spans="7:7" x14ac:dyDescent="0.25">
      <c r="G298" s="10" t="s">
        <v>316</v>
      </c>
    </row>
    <row r="299" spans="7:7" x14ac:dyDescent="0.25">
      <c r="G299" s="11" t="s">
        <v>317</v>
      </c>
    </row>
    <row r="300" spans="7:7" x14ac:dyDescent="0.25">
      <c r="G300" s="10"/>
    </row>
    <row r="301" spans="7:7" x14ac:dyDescent="0.25">
      <c r="G301" s="12" t="s">
        <v>129</v>
      </c>
    </row>
    <row r="303" spans="7:7" x14ac:dyDescent="0.25">
      <c r="G303" t="s">
        <v>318</v>
      </c>
    </row>
    <row r="305" spans="7:7" x14ac:dyDescent="0.25">
      <c r="G305" t="s">
        <v>319</v>
      </c>
    </row>
    <row r="307" spans="7:7" x14ac:dyDescent="0.25">
      <c r="G307" s="3" t="s">
        <v>320</v>
      </c>
    </row>
    <row r="309" spans="7:7" x14ac:dyDescent="0.25">
      <c r="G309" t="s">
        <v>321</v>
      </c>
    </row>
    <row r="310" spans="7:7" x14ac:dyDescent="0.25">
      <c r="G310" t="s">
        <v>148</v>
      </c>
    </row>
    <row r="311" spans="7:7" x14ac:dyDescent="0.25">
      <c r="G311" t="s">
        <v>322</v>
      </c>
    </row>
    <row r="312" spans="7:7" x14ac:dyDescent="0.25">
      <c r="G312" t="s">
        <v>323</v>
      </c>
    </row>
    <row r="313" spans="7:7" x14ac:dyDescent="0.25">
      <c r="G313" t="s">
        <v>324</v>
      </c>
    </row>
    <row r="314" spans="7:7" x14ac:dyDescent="0.25">
      <c r="G314" t="s">
        <v>325</v>
      </c>
    </row>
    <row r="315" spans="7:7" x14ac:dyDescent="0.25">
      <c r="G315" t="s">
        <v>326</v>
      </c>
    </row>
    <row r="316" spans="7:7" x14ac:dyDescent="0.25">
      <c r="G316" t="s">
        <v>154</v>
      </c>
    </row>
    <row r="317" spans="7:7" x14ac:dyDescent="0.25">
      <c r="G317" t="s">
        <v>327</v>
      </c>
    </row>
    <row r="318" spans="7:7" x14ac:dyDescent="0.25">
      <c r="G318" t="s">
        <v>151</v>
      </c>
    </row>
    <row r="319" spans="7:7" x14ac:dyDescent="0.25">
      <c r="G319" t="s">
        <v>328</v>
      </c>
    </row>
    <row r="320" spans="7:7" x14ac:dyDescent="0.25">
      <c r="G320" t="s">
        <v>329</v>
      </c>
    </row>
    <row r="321" spans="7:7" x14ac:dyDescent="0.25">
      <c r="G321" t="s">
        <v>330</v>
      </c>
    </row>
    <row r="322" spans="7:7" x14ac:dyDescent="0.25">
      <c r="G322" t="s">
        <v>331</v>
      </c>
    </row>
    <row r="323" spans="7:7" x14ac:dyDescent="0.25">
      <c r="G323" t="s">
        <v>332</v>
      </c>
    </row>
    <row r="325" spans="7:7" x14ac:dyDescent="0.25">
      <c r="G325" s="3" t="s">
        <v>333</v>
      </c>
    </row>
    <row r="327" spans="7:7" x14ac:dyDescent="0.25">
      <c r="G327" t="s">
        <v>334</v>
      </c>
    </row>
    <row r="328" spans="7:7" x14ac:dyDescent="0.25">
      <c r="G328" t="s">
        <v>335</v>
      </c>
    </row>
    <row r="330" spans="7:7" x14ac:dyDescent="0.25">
      <c r="G330" s="3" t="s">
        <v>336</v>
      </c>
    </row>
    <row r="332" spans="7:7" x14ac:dyDescent="0.25">
      <c r="G332" t="s">
        <v>337</v>
      </c>
    </row>
    <row r="333" spans="7:7" x14ac:dyDescent="0.25">
      <c r="G333" t="s">
        <v>338</v>
      </c>
    </row>
    <row r="334" spans="7:7" x14ac:dyDescent="0.25">
      <c r="G334" t="s">
        <v>339</v>
      </c>
    </row>
    <row r="335" spans="7:7" x14ac:dyDescent="0.25">
      <c r="G335" t="s">
        <v>340</v>
      </c>
    </row>
    <row r="336" spans="7:7" x14ac:dyDescent="0.25">
      <c r="G336" t="s">
        <v>341</v>
      </c>
    </row>
    <row r="337" spans="7:7" x14ac:dyDescent="0.25">
      <c r="G337" t="s">
        <v>342</v>
      </c>
    </row>
    <row r="338" spans="7:7" x14ac:dyDescent="0.25">
      <c r="G338" t="s">
        <v>343</v>
      </c>
    </row>
    <row r="340" spans="7:7" x14ac:dyDescent="0.25">
      <c r="G340" s="3" t="s">
        <v>344</v>
      </c>
    </row>
    <row r="342" spans="7:7" x14ac:dyDescent="0.25">
      <c r="G342" s="3" t="s">
        <v>345</v>
      </c>
    </row>
    <row r="344" spans="7:7" x14ac:dyDescent="0.25">
      <c r="G344" t="s">
        <v>346</v>
      </c>
    </row>
    <row r="345" spans="7:7" x14ac:dyDescent="0.25">
      <c r="G345" t="s">
        <v>347</v>
      </c>
    </row>
    <row r="346" spans="7:7" x14ac:dyDescent="0.25">
      <c r="G346" t="s">
        <v>348</v>
      </c>
    </row>
    <row r="347" spans="7:7" x14ac:dyDescent="0.25">
      <c r="G347" t="s">
        <v>349</v>
      </c>
    </row>
    <row r="348" spans="7:7" x14ac:dyDescent="0.25">
      <c r="G348" t="s">
        <v>350</v>
      </c>
    </row>
    <row r="349" spans="7:7" x14ac:dyDescent="0.25">
      <c r="G349" t="s">
        <v>351</v>
      </c>
    </row>
    <row r="350" spans="7:7" x14ac:dyDescent="0.25">
      <c r="G350" t="s">
        <v>352</v>
      </c>
    </row>
    <row r="351" spans="7:7" x14ac:dyDescent="0.25">
      <c r="G351" t="s">
        <v>353</v>
      </c>
    </row>
    <row r="353" spans="7:7" x14ac:dyDescent="0.25">
      <c r="G353" t="s">
        <v>354</v>
      </c>
    </row>
    <row r="355" spans="7:7" x14ac:dyDescent="0.25">
      <c r="G355" t="s">
        <v>355</v>
      </c>
    </row>
    <row r="356" spans="7:7" x14ac:dyDescent="0.25">
      <c r="G356" t="s">
        <v>356</v>
      </c>
    </row>
    <row r="357" spans="7:7" x14ac:dyDescent="0.25">
      <c r="G357" t="s">
        <v>357</v>
      </c>
    </row>
    <row r="358" spans="7:7" x14ac:dyDescent="0.25">
      <c r="G358" t="s">
        <v>358</v>
      </c>
    </row>
    <row r="359" spans="7:7" x14ac:dyDescent="0.25">
      <c r="G359" t="s">
        <v>168</v>
      </c>
    </row>
    <row r="360" spans="7:7" x14ac:dyDescent="0.25">
      <c r="G360" t="s">
        <v>359</v>
      </c>
    </row>
    <row r="362" spans="7:7" x14ac:dyDescent="0.25">
      <c r="G362" s="3" t="s">
        <v>360</v>
      </c>
    </row>
    <row r="364" spans="7:7" x14ac:dyDescent="0.25">
      <c r="G364" t="s">
        <v>361</v>
      </c>
    </row>
    <row r="365" spans="7:7" x14ac:dyDescent="0.25">
      <c r="G365" t="s">
        <v>362</v>
      </c>
    </row>
    <row r="366" spans="7:7" x14ac:dyDescent="0.25">
      <c r="G366" t="s">
        <v>363</v>
      </c>
    </row>
    <row r="367" spans="7:7" x14ac:dyDescent="0.25">
      <c r="G367" t="s">
        <v>364</v>
      </c>
    </row>
    <row r="368" spans="7:7" x14ac:dyDescent="0.25">
      <c r="G368" t="s">
        <v>365</v>
      </c>
    </row>
    <row r="371" spans="7:7" x14ac:dyDescent="0.25">
      <c r="G371" s="3" t="s">
        <v>366</v>
      </c>
    </row>
    <row r="373" spans="7:7" x14ac:dyDescent="0.25">
      <c r="G373" t="s">
        <v>367</v>
      </c>
    </row>
    <row r="374" spans="7:7" x14ac:dyDescent="0.25">
      <c r="G374" t="s">
        <v>368</v>
      </c>
    </row>
    <row r="375" spans="7:7" x14ac:dyDescent="0.25">
      <c r="G375" t="s">
        <v>369</v>
      </c>
    </row>
    <row r="376" spans="7:7" x14ac:dyDescent="0.25">
      <c r="G376" t="s">
        <v>370</v>
      </c>
    </row>
    <row r="378" spans="7:7" x14ac:dyDescent="0.25">
      <c r="G378" s="3" t="s">
        <v>371</v>
      </c>
    </row>
    <row r="379" spans="7:7" x14ac:dyDescent="0.25">
      <c r="G379" t="s">
        <v>372</v>
      </c>
    </row>
    <row r="380" spans="7:7" x14ac:dyDescent="0.25">
      <c r="G380" t="s">
        <v>373</v>
      </c>
    </row>
    <row r="381" spans="7:7" x14ac:dyDescent="0.25">
      <c r="G381" t="s">
        <v>374</v>
      </c>
    </row>
    <row r="383" spans="7:7" x14ac:dyDescent="0.25">
      <c r="G383" s="3" t="s">
        <v>375</v>
      </c>
    </row>
    <row r="385" spans="7:7" x14ac:dyDescent="0.25">
      <c r="G385" t="s">
        <v>376</v>
      </c>
    </row>
    <row r="386" spans="7:7" x14ac:dyDescent="0.25">
      <c r="G386" t="s">
        <v>377</v>
      </c>
    </row>
    <row r="388" spans="7:7" x14ac:dyDescent="0.25">
      <c r="G388" s="3" t="s">
        <v>378</v>
      </c>
    </row>
    <row r="390" spans="7:7" x14ac:dyDescent="0.25">
      <c r="G390" t="s">
        <v>379</v>
      </c>
    </row>
    <row r="391" spans="7:7" x14ac:dyDescent="0.25">
      <c r="G391" t="s">
        <v>380</v>
      </c>
    </row>
    <row r="392" spans="7:7" x14ac:dyDescent="0.25">
      <c r="G392" t="s">
        <v>381</v>
      </c>
    </row>
    <row r="394" spans="7:7" x14ac:dyDescent="0.25">
      <c r="G394" s="3" t="s">
        <v>382</v>
      </c>
    </row>
    <row r="396" spans="7:7" x14ac:dyDescent="0.25">
      <c r="G396" t="s">
        <v>383</v>
      </c>
    </row>
    <row r="398" spans="7:7" x14ac:dyDescent="0.25">
      <c r="G398" s="3" t="s">
        <v>384</v>
      </c>
    </row>
    <row r="400" spans="7:7" x14ac:dyDescent="0.25">
      <c r="G400" t="s">
        <v>385</v>
      </c>
    </row>
    <row r="401" spans="7:7" x14ac:dyDescent="0.25">
      <c r="G401" t="s">
        <v>386</v>
      </c>
    </row>
    <row r="402" spans="7:7" x14ac:dyDescent="0.25">
      <c r="G402" t="s">
        <v>387</v>
      </c>
    </row>
    <row r="403" spans="7:7" x14ac:dyDescent="0.25">
      <c r="G403" t="s">
        <v>388</v>
      </c>
    </row>
    <row r="405" spans="7:7" x14ac:dyDescent="0.25">
      <c r="G405" s="3" t="s">
        <v>389</v>
      </c>
    </row>
    <row r="407" spans="7:7" x14ac:dyDescent="0.25">
      <c r="G407" t="s">
        <v>390</v>
      </c>
    </row>
    <row r="408" spans="7:7" x14ac:dyDescent="0.25">
      <c r="G408" t="s">
        <v>391</v>
      </c>
    </row>
    <row r="409" spans="7:7" x14ac:dyDescent="0.25">
      <c r="G409" t="s">
        <v>392</v>
      </c>
    </row>
    <row r="410" spans="7:7" x14ac:dyDescent="0.25">
      <c r="G410" t="s">
        <v>393</v>
      </c>
    </row>
    <row r="411" spans="7:7" x14ac:dyDescent="0.25">
      <c r="G411" t="s">
        <v>394</v>
      </c>
    </row>
    <row r="412" spans="7:7" x14ac:dyDescent="0.25">
      <c r="G412" t="s">
        <v>395</v>
      </c>
    </row>
    <row r="413" spans="7:7" x14ac:dyDescent="0.25">
      <c r="G413" t="s">
        <v>396</v>
      </c>
    </row>
    <row r="414" spans="7:7" x14ac:dyDescent="0.25">
      <c r="G414" t="s">
        <v>397</v>
      </c>
    </row>
    <row r="416" spans="7:7" x14ac:dyDescent="0.25">
      <c r="G416" s="3" t="s">
        <v>398</v>
      </c>
    </row>
    <row r="418" spans="7:7" x14ac:dyDescent="0.25">
      <c r="G418" t="s">
        <v>399</v>
      </c>
    </row>
    <row r="419" spans="7:7" x14ac:dyDescent="0.25">
      <c r="G419" t="s">
        <v>400</v>
      </c>
    </row>
    <row r="420" spans="7:7" x14ac:dyDescent="0.25">
      <c r="G420" t="s">
        <v>401</v>
      </c>
    </row>
    <row r="421" spans="7:7" x14ac:dyDescent="0.25">
      <c r="G421" t="s">
        <v>402</v>
      </c>
    </row>
    <row r="422" spans="7:7" x14ac:dyDescent="0.25">
      <c r="G422" t="s">
        <v>403</v>
      </c>
    </row>
    <row r="423" spans="7:7" x14ac:dyDescent="0.25">
      <c r="G423" t="s">
        <v>404</v>
      </c>
    </row>
    <row r="424" spans="7:7" x14ac:dyDescent="0.25">
      <c r="G424" t="s">
        <v>405</v>
      </c>
    </row>
    <row r="425" spans="7:7" x14ac:dyDescent="0.25">
      <c r="G425" t="s">
        <v>406</v>
      </c>
    </row>
    <row r="427" spans="7:7" x14ac:dyDescent="0.25">
      <c r="G427" s="3" t="s">
        <v>407</v>
      </c>
    </row>
    <row r="429" spans="7:7" x14ac:dyDescent="0.25">
      <c r="G429" t="s">
        <v>408</v>
      </c>
    </row>
    <row r="430" spans="7:7" x14ac:dyDescent="0.25">
      <c r="G430" t="s">
        <v>409</v>
      </c>
    </row>
    <row r="431" spans="7:7" x14ac:dyDescent="0.25">
      <c r="G431" t="s">
        <v>410</v>
      </c>
    </row>
    <row r="432" spans="7:7" x14ac:dyDescent="0.25">
      <c r="G432" t="s">
        <v>411</v>
      </c>
    </row>
    <row r="433" spans="7:7" x14ac:dyDescent="0.25">
      <c r="G433" t="s">
        <v>412</v>
      </c>
    </row>
    <row r="434" spans="7:7" x14ac:dyDescent="0.25">
      <c r="G434" t="s">
        <v>413</v>
      </c>
    </row>
    <row r="436" spans="7:7" x14ac:dyDescent="0.25">
      <c r="G436" s="3" t="s">
        <v>414</v>
      </c>
    </row>
    <row r="438" spans="7:7" x14ac:dyDescent="0.25">
      <c r="G438" t="s">
        <v>415</v>
      </c>
    </row>
    <row r="439" spans="7:7" x14ac:dyDescent="0.25">
      <c r="G439" t="s">
        <v>416</v>
      </c>
    </row>
    <row r="440" spans="7:7" x14ac:dyDescent="0.25">
      <c r="G440" t="s">
        <v>417</v>
      </c>
    </row>
    <row r="441" spans="7:7" x14ac:dyDescent="0.25">
      <c r="G441" t="s">
        <v>418</v>
      </c>
    </row>
    <row r="442" spans="7:7" x14ac:dyDescent="0.25">
      <c r="G442" t="s">
        <v>419</v>
      </c>
    </row>
    <row r="443" spans="7:7" x14ac:dyDescent="0.25">
      <c r="G443" t="s">
        <v>420</v>
      </c>
    </row>
    <row r="444" spans="7:7" x14ac:dyDescent="0.25">
      <c r="G444" t="s">
        <v>421</v>
      </c>
    </row>
    <row r="445" spans="7:7" x14ac:dyDescent="0.25">
      <c r="G445" t="s">
        <v>422</v>
      </c>
    </row>
    <row r="446" spans="7:7" x14ac:dyDescent="0.25">
      <c r="G446" t="s">
        <v>423</v>
      </c>
    </row>
    <row r="447" spans="7:7" x14ac:dyDescent="0.25">
      <c r="G447" t="s">
        <v>424</v>
      </c>
    </row>
    <row r="448" spans="7:7" x14ac:dyDescent="0.25">
      <c r="G448" t="s">
        <v>425</v>
      </c>
    </row>
    <row r="450" spans="7:7" x14ac:dyDescent="0.25">
      <c r="G450" s="3" t="s">
        <v>426</v>
      </c>
    </row>
    <row r="452" spans="7:7" x14ac:dyDescent="0.25">
      <c r="G452" t="s">
        <v>427</v>
      </c>
    </row>
    <row r="453" spans="7:7" x14ac:dyDescent="0.25">
      <c r="G453" t="s">
        <v>428</v>
      </c>
    </row>
    <row r="454" spans="7:7" x14ac:dyDescent="0.25">
      <c r="G454" t="s">
        <v>429</v>
      </c>
    </row>
    <row r="455" spans="7:7" x14ac:dyDescent="0.25">
      <c r="G455" t="s">
        <v>430</v>
      </c>
    </row>
    <row r="456" spans="7:7" x14ac:dyDescent="0.25">
      <c r="G456" t="s">
        <v>431</v>
      </c>
    </row>
    <row r="457" spans="7:7" x14ac:dyDescent="0.25">
      <c r="G457" t="s">
        <v>432</v>
      </c>
    </row>
    <row r="458" spans="7:7" x14ac:dyDescent="0.25">
      <c r="G458" t="s">
        <v>433</v>
      </c>
    </row>
    <row r="460" spans="7:7" x14ac:dyDescent="0.25">
      <c r="G460" s="3" t="s">
        <v>434</v>
      </c>
    </row>
    <row r="462" spans="7:7" x14ac:dyDescent="0.25">
      <c r="G462" t="s">
        <v>435</v>
      </c>
    </row>
    <row r="464" spans="7:7" x14ac:dyDescent="0.25">
      <c r="G464" s="3" t="s">
        <v>436</v>
      </c>
    </row>
    <row r="466" spans="7:7" x14ac:dyDescent="0.25">
      <c r="G466" s="3" t="s">
        <v>437</v>
      </c>
    </row>
    <row r="468" spans="7:7" x14ac:dyDescent="0.25">
      <c r="G468" t="s">
        <v>438</v>
      </c>
    </row>
    <row r="469" spans="7:7" x14ac:dyDescent="0.25">
      <c r="G469" t="s">
        <v>439</v>
      </c>
    </row>
    <row r="470" spans="7:7" x14ac:dyDescent="0.25">
      <c r="G470" t="s">
        <v>440</v>
      </c>
    </row>
    <row r="472" spans="7:7" x14ac:dyDescent="0.25">
      <c r="G472" s="3" t="s">
        <v>441</v>
      </c>
    </row>
    <row r="474" spans="7:7" x14ac:dyDescent="0.25">
      <c r="G474" t="s">
        <v>442</v>
      </c>
    </row>
    <row r="475" spans="7:7" x14ac:dyDescent="0.25">
      <c r="G475" t="s">
        <v>443</v>
      </c>
    </row>
    <row r="476" spans="7:7" x14ac:dyDescent="0.25">
      <c r="G476" t="s">
        <v>444</v>
      </c>
    </row>
  </sheetData>
  <mergeCells count="2">
    <mergeCell ref="E2:K2"/>
    <mergeCell ref="I7:I11"/>
  </mergeCells>
  <pageMargins left="0.7" right="0.7" top="0.75" bottom="0.75" header="0.3" footer="0.3"/>
  <pageSetup paperSize="9" scale="85" orientation="landscape" horizontalDpi="360" verticalDpi="36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E2:F41"/>
  <sheetViews>
    <sheetView topLeftCell="A7" workbookViewId="0">
      <selection activeCell="E27" sqref="E27"/>
    </sheetView>
  </sheetViews>
  <sheetFormatPr baseColWidth="10" defaultRowHeight="15" x14ac:dyDescent="0.25"/>
  <cols>
    <col min="5" max="5" width="43.85546875" bestFit="1" customWidth="1"/>
    <col min="6" max="6" width="39.140625" bestFit="1" customWidth="1"/>
  </cols>
  <sheetData>
    <row r="2" spans="5:5" x14ac:dyDescent="0.25">
      <c r="E2" t="s">
        <v>446</v>
      </c>
    </row>
    <row r="3" spans="5:5" x14ac:dyDescent="0.25">
      <c r="E3" t="s">
        <v>447</v>
      </c>
    </row>
    <row r="4" spans="5:5" x14ac:dyDescent="0.25">
      <c r="E4" t="s">
        <v>448</v>
      </c>
    </row>
    <row r="5" spans="5:5" x14ac:dyDescent="0.25">
      <c r="E5" t="s">
        <v>449</v>
      </c>
    </row>
    <row r="6" spans="5:5" x14ac:dyDescent="0.25">
      <c r="E6" t="s">
        <v>450</v>
      </c>
    </row>
    <row r="7" spans="5:5" x14ac:dyDescent="0.25">
      <c r="E7" t="s">
        <v>451</v>
      </c>
    </row>
    <row r="8" spans="5:5" x14ac:dyDescent="0.25">
      <c r="E8" t="s">
        <v>452</v>
      </c>
    </row>
    <row r="9" spans="5:5" x14ac:dyDescent="0.25">
      <c r="E9" t="s">
        <v>453</v>
      </c>
    </row>
    <row r="10" spans="5:5" x14ac:dyDescent="0.25">
      <c r="E10" t="s">
        <v>1103</v>
      </c>
    </row>
    <row r="12" spans="5:5" x14ac:dyDescent="0.25">
      <c r="E12" t="s">
        <v>1128</v>
      </c>
    </row>
    <row r="13" spans="5:5" x14ac:dyDescent="0.25">
      <c r="E13" t="s">
        <v>1129</v>
      </c>
    </row>
    <row r="14" spans="5:5" x14ac:dyDescent="0.25">
      <c r="E14" t="s">
        <v>1130</v>
      </c>
    </row>
    <row r="15" spans="5:5" x14ac:dyDescent="0.25">
      <c r="E15" t="s">
        <v>1131</v>
      </c>
    </row>
    <row r="16" spans="5:5" x14ac:dyDescent="0.25">
      <c r="E16" t="s">
        <v>1132</v>
      </c>
    </row>
    <row r="19" spans="5:6" x14ac:dyDescent="0.25">
      <c r="E19" s="53">
        <v>3500000</v>
      </c>
      <c r="F19" t="s">
        <v>1133</v>
      </c>
    </row>
    <row r="21" spans="5:6" x14ac:dyDescent="0.25">
      <c r="E21" s="53">
        <f>+E19*20%</f>
        <v>700000</v>
      </c>
    </row>
    <row r="23" spans="5:6" x14ac:dyDescent="0.25">
      <c r="E23" s="53">
        <f>+E21*6%</f>
        <v>42000</v>
      </c>
      <c r="F23" t="s">
        <v>1134</v>
      </c>
    </row>
    <row r="25" spans="5:6" x14ac:dyDescent="0.25">
      <c r="E25" s="53"/>
    </row>
    <row r="38" spans="5:5" x14ac:dyDescent="0.25">
      <c r="E38" s="53"/>
    </row>
    <row r="39" spans="5:5" x14ac:dyDescent="0.25">
      <c r="E39" s="46"/>
    </row>
    <row r="41" spans="5:5" x14ac:dyDescent="0.25">
      <c r="E41" s="250"/>
    </row>
  </sheetData>
  <pageMargins left="0.7" right="0.7" top="0.75" bottom="0.75" header="0.3" footer="0.3"/>
  <pageSetup paperSize="9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C2:G140"/>
  <sheetViews>
    <sheetView topLeftCell="A91" workbookViewId="0">
      <selection activeCell="C122" sqref="C122"/>
    </sheetView>
  </sheetViews>
  <sheetFormatPr baseColWidth="10" defaultRowHeight="15" x14ac:dyDescent="0.25"/>
  <cols>
    <col min="3" max="3" width="49.28515625" bestFit="1" customWidth="1"/>
    <col min="4" max="4" width="23.42578125" style="299" bestFit="1" customWidth="1"/>
    <col min="5" max="5" width="14.7109375" bestFit="1" customWidth="1"/>
    <col min="6" max="6" width="31.5703125" bestFit="1" customWidth="1"/>
    <col min="7" max="7" width="14.7109375" bestFit="1" customWidth="1"/>
  </cols>
  <sheetData>
    <row r="2" spans="3:7" x14ac:dyDescent="0.25">
      <c r="C2" s="744" t="s">
        <v>1336</v>
      </c>
      <c r="D2" s="744"/>
      <c r="E2" s="744"/>
      <c r="F2" s="744"/>
      <c r="G2" s="744"/>
    </row>
    <row r="3" spans="3:7" x14ac:dyDescent="0.25">
      <c r="C3" s="744" t="s">
        <v>1337</v>
      </c>
      <c r="D3" s="744"/>
      <c r="E3" s="744"/>
      <c r="F3" s="744"/>
      <c r="G3" s="744"/>
    </row>
    <row r="4" spans="3:7" x14ac:dyDescent="0.25">
      <c r="C4" s="744" t="s">
        <v>1338</v>
      </c>
      <c r="D4" s="744"/>
      <c r="E4" s="744"/>
      <c r="F4" s="744"/>
      <c r="G4" s="744"/>
    </row>
    <row r="5" spans="3:7" x14ac:dyDescent="0.25">
      <c r="C5" s="295"/>
    </row>
    <row r="6" spans="3:7" x14ac:dyDescent="0.25">
      <c r="C6" s="728" t="s">
        <v>1344</v>
      </c>
      <c r="D6" s="728"/>
      <c r="E6" s="728"/>
      <c r="F6" s="728"/>
    </row>
    <row r="7" spans="3:7" x14ac:dyDescent="0.25">
      <c r="C7" s="295"/>
    </row>
    <row r="8" spans="3:7" x14ac:dyDescent="0.25">
      <c r="C8" s="721" t="s">
        <v>1342</v>
      </c>
      <c r="D8" s="721"/>
      <c r="E8" s="721"/>
    </row>
    <row r="9" spans="3:7" x14ac:dyDescent="0.25">
      <c r="C9" s="295"/>
    </row>
    <row r="10" spans="3:7" x14ac:dyDescent="0.25">
      <c r="C10" s="295"/>
    </row>
    <row r="11" spans="3:7" x14ac:dyDescent="0.25">
      <c r="C11" s="745" t="s">
        <v>1333</v>
      </c>
      <c r="D11" s="745"/>
      <c r="E11" s="745"/>
    </row>
    <row r="13" spans="3:7" x14ac:dyDescent="0.25">
      <c r="C13" s="294" t="s">
        <v>1334</v>
      </c>
      <c r="D13" s="299">
        <v>0.50780000000000003</v>
      </c>
    </row>
    <row r="14" spans="3:7" x14ac:dyDescent="0.25">
      <c r="C14" s="294" t="s">
        <v>1335</v>
      </c>
      <c r="D14" s="299">
        <v>0.55459999999999998</v>
      </c>
      <c r="E14" s="235">
        <f>+D14-D13</f>
        <v>4.6799999999999953E-2</v>
      </c>
    </row>
    <row r="16" spans="3:7" x14ac:dyDescent="0.25">
      <c r="C16" t="s">
        <v>1339</v>
      </c>
      <c r="D16" s="299">
        <v>0.55459999999999998</v>
      </c>
    </row>
    <row r="17" spans="3:5" x14ac:dyDescent="0.25">
      <c r="C17" t="s">
        <v>1340</v>
      </c>
      <c r="D17" s="299">
        <v>0.5696</v>
      </c>
      <c r="E17" s="235">
        <f>+D17-D16</f>
        <v>1.5000000000000013E-2</v>
      </c>
    </row>
    <row r="20" spans="3:5" x14ac:dyDescent="0.25">
      <c r="C20" s="745" t="s">
        <v>1341</v>
      </c>
      <c r="D20" s="745"/>
      <c r="E20" s="745"/>
    </row>
    <row r="22" spans="3:5" x14ac:dyDescent="0.25">
      <c r="C22" s="294" t="s">
        <v>1334</v>
      </c>
      <c r="D22" s="299">
        <v>0.48880000000000001</v>
      </c>
    </row>
    <row r="23" spans="3:5" x14ac:dyDescent="0.25">
      <c r="C23" s="294" t="s">
        <v>1335</v>
      </c>
      <c r="D23" s="299">
        <v>0.5383</v>
      </c>
      <c r="E23" s="235">
        <f>+D23-D22</f>
        <v>4.9499999999999988E-2</v>
      </c>
    </row>
    <row r="25" spans="3:5" x14ac:dyDescent="0.25">
      <c r="C25" t="s">
        <v>1339</v>
      </c>
      <c r="D25" s="299">
        <v>0.49609999999999999</v>
      </c>
    </row>
    <row r="26" spans="3:5" x14ac:dyDescent="0.25">
      <c r="C26" t="s">
        <v>1340</v>
      </c>
      <c r="D26" s="299">
        <v>0.51780000000000004</v>
      </c>
      <c r="E26" s="235">
        <f>+D26-D25</f>
        <v>2.1700000000000053E-2</v>
      </c>
    </row>
    <row r="29" spans="3:5" x14ac:dyDescent="0.25">
      <c r="C29" s="721" t="s">
        <v>1343</v>
      </c>
      <c r="D29" s="721"/>
      <c r="E29" s="721"/>
    </row>
    <row r="31" spans="3:5" x14ac:dyDescent="0.25">
      <c r="C31" s="745" t="s">
        <v>1333</v>
      </c>
      <c r="D31" s="745"/>
      <c r="E31" s="745"/>
    </row>
    <row r="33" spans="3:5" x14ac:dyDescent="0.25">
      <c r="C33" s="294" t="s">
        <v>1334</v>
      </c>
      <c r="D33" s="301">
        <v>257480</v>
      </c>
    </row>
    <row r="34" spans="3:5" x14ac:dyDescent="0.25">
      <c r="C34" s="294" t="s">
        <v>1335</v>
      </c>
      <c r="D34" s="301">
        <v>267521</v>
      </c>
      <c r="E34" s="235">
        <v>3.9E-2</v>
      </c>
    </row>
    <row r="35" spans="3:5" x14ac:dyDescent="0.25">
      <c r="D35" s="301"/>
    </row>
    <row r="36" spans="3:5" x14ac:dyDescent="0.25">
      <c r="C36" t="s">
        <v>1339</v>
      </c>
      <c r="D36" s="301">
        <v>239310</v>
      </c>
    </row>
    <row r="37" spans="3:5" x14ac:dyDescent="0.25">
      <c r="C37" t="s">
        <v>1340</v>
      </c>
      <c r="D37" s="301">
        <v>247351</v>
      </c>
      <c r="E37" s="235">
        <v>3.3599999999999998E-2</v>
      </c>
    </row>
    <row r="38" spans="3:5" x14ac:dyDescent="0.25">
      <c r="D38" s="301"/>
    </row>
    <row r="40" spans="3:5" x14ac:dyDescent="0.25">
      <c r="C40" s="745" t="s">
        <v>1341</v>
      </c>
      <c r="D40" s="745"/>
      <c r="E40" s="745"/>
    </row>
    <row r="42" spans="3:5" x14ac:dyDescent="0.25">
      <c r="C42" s="294" t="s">
        <v>1334</v>
      </c>
      <c r="D42" s="301">
        <v>198287</v>
      </c>
    </row>
    <row r="43" spans="3:5" x14ac:dyDescent="0.25">
      <c r="C43" s="294" t="s">
        <v>1335</v>
      </c>
      <c r="D43" s="301">
        <v>207751</v>
      </c>
      <c r="E43" s="235">
        <v>4.7699999999999999E-2</v>
      </c>
    </row>
    <row r="44" spans="3:5" x14ac:dyDescent="0.25">
      <c r="D44" s="301"/>
    </row>
    <row r="45" spans="3:5" x14ac:dyDescent="0.25">
      <c r="C45" t="s">
        <v>1339</v>
      </c>
      <c r="D45" s="301">
        <v>181902</v>
      </c>
    </row>
    <row r="46" spans="3:5" x14ac:dyDescent="0.25">
      <c r="C46" t="s">
        <v>1340</v>
      </c>
      <c r="D46" s="301">
        <v>190374</v>
      </c>
      <c r="E46" s="235">
        <v>4.6600000000000003E-2</v>
      </c>
    </row>
    <row r="48" spans="3:5" x14ac:dyDescent="0.25">
      <c r="C48" s="721" t="s">
        <v>1344</v>
      </c>
      <c r="D48" s="721"/>
      <c r="E48" s="721"/>
    </row>
    <row r="50" spans="3:6" x14ac:dyDescent="0.25">
      <c r="C50" s="302" t="s">
        <v>1345</v>
      </c>
      <c r="D50" s="238"/>
      <c r="E50" s="238"/>
    </row>
    <row r="52" spans="3:6" x14ac:dyDescent="0.25">
      <c r="C52" s="296" t="s">
        <v>1346</v>
      </c>
    </row>
    <row r="53" spans="3:6" x14ac:dyDescent="0.25">
      <c r="C53" s="294" t="s">
        <v>1347</v>
      </c>
      <c r="D53" s="303">
        <v>0.72</v>
      </c>
    </row>
    <row r="54" spans="3:6" x14ac:dyDescent="0.25">
      <c r="D54" s="303"/>
    </row>
    <row r="55" spans="3:6" x14ac:dyDescent="0.25">
      <c r="C55" s="3" t="s">
        <v>1348</v>
      </c>
      <c r="D55" s="303"/>
    </row>
    <row r="56" spans="3:6" x14ac:dyDescent="0.25">
      <c r="C56" t="s">
        <v>1349</v>
      </c>
      <c r="D56" s="303">
        <v>0.66</v>
      </c>
      <c r="F56" s="302" t="s">
        <v>1351</v>
      </c>
    </row>
    <row r="57" spans="3:6" x14ac:dyDescent="0.25">
      <c r="D57" s="303"/>
    </row>
    <row r="58" spans="3:6" x14ac:dyDescent="0.25">
      <c r="C58" s="296" t="s">
        <v>1350</v>
      </c>
      <c r="D58" s="303"/>
      <c r="F58" s="296" t="s">
        <v>1347</v>
      </c>
    </row>
    <row r="59" spans="3:6" x14ac:dyDescent="0.25">
      <c r="C59" s="294" t="s">
        <v>1347</v>
      </c>
      <c r="D59" s="303">
        <v>0.28000000000000003</v>
      </c>
      <c r="F59" s="304">
        <v>48589</v>
      </c>
    </row>
    <row r="60" spans="3:6" x14ac:dyDescent="0.25">
      <c r="D60" s="303"/>
    </row>
    <row r="61" spans="3:6" x14ac:dyDescent="0.25">
      <c r="C61" s="3" t="s">
        <v>1348</v>
      </c>
      <c r="D61" s="303"/>
    </row>
    <row r="62" spans="3:6" x14ac:dyDescent="0.25">
      <c r="C62" t="s">
        <v>1349</v>
      </c>
      <c r="D62" s="303">
        <v>0.34</v>
      </c>
    </row>
    <row r="63" spans="3:6" x14ac:dyDescent="0.25">
      <c r="D63" s="303"/>
    </row>
    <row r="64" spans="3:6" x14ac:dyDescent="0.25">
      <c r="C64" s="721" t="s">
        <v>1355</v>
      </c>
      <c r="D64" s="721"/>
      <c r="E64" s="721"/>
    </row>
    <row r="65" spans="3:7" x14ac:dyDescent="0.25">
      <c r="D65" s="53"/>
    </row>
    <row r="66" spans="3:7" x14ac:dyDescent="0.25">
      <c r="C66" t="s">
        <v>1353</v>
      </c>
      <c r="D66" s="53">
        <v>967190</v>
      </c>
      <c r="G66" s="53"/>
    </row>
    <row r="67" spans="3:7" x14ac:dyDescent="0.25">
      <c r="C67" t="s">
        <v>1352</v>
      </c>
      <c r="D67" s="53">
        <v>1033610</v>
      </c>
      <c r="G67" s="53"/>
    </row>
    <row r="68" spans="3:7" x14ac:dyDescent="0.25">
      <c r="C68" t="s">
        <v>1354</v>
      </c>
      <c r="D68" s="53">
        <v>1051429</v>
      </c>
      <c r="E68" s="53"/>
      <c r="G68" s="53"/>
    </row>
    <row r="70" spans="3:7" x14ac:dyDescent="0.25">
      <c r="C70" s="728" t="s">
        <v>1365</v>
      </c>
      <c r="D70" s="728"/>
      <c r="E70" s="728"/>
      <c r="F70" s="728"/>
    </row>
    <row r="72" spans="3:7" x14ac:dyDescent="0.25">
      <c r="C72" s="300" t="s">
        <v>909</v>
      </c>
    </row>
    <row r="74" spans="3:7" x14ac:dyDescent="0.25">
      <c r="C74" s="294" t="s">
        <v>1334</v>
      </c>
      <c r="D74" s="299">
        <v>0.5867</v>
      </c>
    </row>
    <row r="75" spans="3:7" x14ac:dyDescent="0.25">
      <c r="C75" s="294" t="s">
        <v>1335</v>
      </c>
      <c r="D75" s="299">
        <v>0.64219999999999999</v>
      </c>
      <c r="E75" s="235">
        <f>+D75-D74</f>
        <v>5.5499999999999994E-2</v>
      </c>
    </row>
    <row r="77" spans="3:7" x14ac:dyDescent="0.25">
      <c r="C77" s="300" t="s">
        <v>1357</v>
      </c>
    </row>
    <row r="78" spans="3:7" x14ac:dyDescent="0.25">
      <c r="D78" s="297"/>
    </row>
    <row r="79" spans="3:7" x14ac:dyDescent="0.25">
      <c r="C79" t="s">
        <v>1339</v>
      </c>
      <c r="D79" s="298">
        <v>0.61299999999999999</v>
      </c>
    </row>
    <row r="80" spans="3:7" x14ac:dyDescent="0.25">
      <c r="C80" t="s">
        <v>1340</v>
      </c>
      <c r="D80" s="298">
        <v>0.627</v>
      </c>
      <c r="E80" s="306">
        <f>+D80-D79</f>
        <v>1.4000000000000012E-2</v>
      </c>
    </row>
    <row r="82" spans="3:6" x14ac:dyDescent="0.25">
      <c r="C82" s="300" t="s">
        <v>1358</v>
      </c>
    </row>
    <row r="84" spans="3:6" x14ac:dyDescent="0.25">
      <c r="C84" s="294" t="s">
        <v>1334</v>
      </c>
      <c r="D84" s="307">
        <v>209716</v>
      </c>
    </row>
    <row r="85" spans="3:6" x14ac:dyDescent="0.25">
      <c r="C85" s="294" t="s">
        <v>1335</v>
      </c>
      <c r="D85" s="307">
        <v>215643</v>
      </c>
      <c r="E85" s="235">
        <v>3.09E-2</v>
      </c>
    </row>
    <row r="87" spans="3:6" x14ac:dyDescent="0.25">
      <c r="C87" s="300" t="s">
        <v>1359</v>
      </c>
    </row>
    <row r="89" spans="3:6" x14ac:dyDescent="0.25">
      <c r="C89" t="s">
        <v>1339</v>
      </c>
      <c r="D89" s="307">
        <v>211878</v>
      </c>
    </row>
    <row r="90" spans="3:6" x14ac:dyDescent="0.25">
      <c r="C90" t="s">
        <v>1340</v>
      </c>
      <c r="D90" s="307">
        <v>220552</v>
      </c>
      <c r="E90" s="235">
        <v>4.0899999999999999E-2</v>
      </c>
    </row>
    <row r="92" spans="3:6" x14ac:dyDescent="0.25">
      <c r="C92" s="300" t="s">
        <v>1345</v>
      </c>
      <c r="D92" s="238"/>
      <c r="F92" s="302" t="s">
        <v>1363</v>
      </c>
    </row>
    <row r="94" spans="3:6" x14ac:dyDescent="0.25">
      <c r="C94" s="296" t="s">
        <v>1346</v>
      </c>
      <c r="F94" s="296" t="s">
        <v>1360</v>
      </c>
    </row>
    <row r="95" spans="3:6" x14ac:dyDescent="0.25">
      <c r="C95" s="294" t="s">
        <v>1360</v>
      </c>
      <c r="D95" s="303">
        <v>0.64</v>
      </c>
      <c r="F95" s="304">
        <v>3503</v>
      </c>
    </row>
    <row r="96" spans="3:6" x14ac:dyDescent="0.25">
      <c r="C96" s="294" t="s">
        <v>1347</v>
      </c>
      <c r="D96" s="303">
        <v>0.56999999999999995</v>
      </c>
      <c r="F96" s="296" t="s">
        <v>1347</v>
      </c>
    </row>
    <row r="97" spans="3:7" x14ac:dyDescent="0.25">
      <c r="C97" s="294"/>
      <c r="D97" s="303"/>
      <c r="F97" s="304">
        <v>4327</v>
      </c>
    </row>
    <row r="98" spans="3:7" x14ac:dyDescent="0.25">
      <c r="C98" s="296" t="s">
        <v>1361</v>
      </c>
      <c r="D98" s="303"/>
    </row>
    <row r="99" spans="3:7" x14ac:dyDescent="0.25">
      <c r="C99" s="294" t="s">
        <v>1360</v>
      </c>
      <c r="D99" s="303">
        <v>0.36</v>
      </c>
      <c r="F99" s="302" t="s">
        <v>1364</v>
      </c>
    </row>
    <row r="100" spans="3:7" x14ac:dyDescent="0.25">
      <c r="C100" s="294" t="s">
        <v>1347</v>
      </c>
      <c r="D100" s="303">
        <v>0.43</v>
      </c>
    </row>
    <row r="101" spans="3:7" x14ac:dyDescent="0.25">
      <c r="F101" s="296" t="s">
        <v>1347</v>
      </c>
    </row>
    <row r="102" spans="3:7" x14ac:dyDescent="0.25">
      <c r="F102" s="3">
        <v>1.72</v>
      </c>
    </row>
    <row r="103" spans="3:7" x14ac:dyDescent="0.25">
      <c r="C103" s="300" t="s">
        <v>1362</v>
      </c>
    </row>
    <row r="105" spans="3:7" x14ac:dyDescent="0.25">
      <c r="C105" s="294" t="s">
        <v>1360</v>
      </c>
      <c r="D105" s="46">
        <v>122715</v>
      </c>
    </row>
    <row r="106" spans="3:7" x14ac:dyDescent="0.25">
      <c r="C106" s="294" t="s">
        <v>1347</v>
      </c>
      <c r="D106" s="46">
        <v>138486</v>
      </c>
      <c r="E106" s="235">
        <v>0.1285</v>
      </c>
    </row>
    <row r="109" spans="3:7" x14ac:dyDescent="0.25">
      <c r="C109" s="728" t="s">
        <v>1366</v>
      </c>
      <c r="D109" s="728"/>
      <c r="E109" s="728"/>
      <c r="F109" s="728"/>
      <c r="G109" s="728"/>
    </row>
    <row r="112" spans="3:7" x14ac:dyDescent="0.25">
      <c r="C112" s="300" t="s">
        <v>1368</v>
      </c>
    </row>
    <row r="114" spans="3:7" s="691" customFormat="1" x14ac:dyDescent="0.25">
      <c r="D114" s="746" t="s">
        <v>1342</v>
      </c>
      <c r="E114" s="746"/>
      <c r="F114" s="747" t="s">
        <v>1358</v>
      </c>
      <c r="G114" s="747"/>
    </row>
    <row r="115" spans="3:7" s="691" customFormat="1" x14ac:dyDescent="0.25">
      <c r="D115" s="692"/>
      <c r="E115" s="692"/>
      <c r="F115" s="21"/>
      <c r="G115" s="21"/>
    </row>
    <row r="116" spans="3:7" s="691" customFormat="1" x14ac:dyDescent="0.25">
      <c r="D116" s="692" t="s">
        <v>1360</v>
      </c>
      <c r="E116" s="21" t="s">
        <v>1347</v>
      </c>
      <c r="F116" s="692" t="s">
        <v>1360</v>
      </c>
      <c r="G116" s="21" t="s">
        <v>1347</v>
      </c>
    </row>
    <row r="117" spans="3:7" s="691" customFormat="1" x14ac:dyDescent="0.25">
      <c r="C117" s="7" t="s">
        <v>1367</v>
      </c>
      <c r="D117" s="693">
        <v>0.44840000000000002</v>
      </c>
      <c r="E117" s="694">
        <v>0.48620000000000002</v>
      </c>
      <c r="F117" s="695">
        <v>225828</v>
      </c>
      <c r="G117" s="695">
        <v>234879</v>
      </c>
    </row>
    <row r="119" spans="3:7" x14ac:dyDescent="0.25">
      <c r="C119" s="300" t="s">
        <v>1369</v>
      </c>
    </row>
    <row r="121" spans="3:7" x14ac:dyDescent="0.25">
      <c r="D121" s="748" t="s">
        <v>1342</v>
      </c>
      <c r="E121" s="748"/>
      <c r="F121" s="749" t="s">
        <v>1358</v>
      </c>
      <c r="G121" s="749"/>
    </row>
    <row r="122" spans="3:7" x14ac:dyDescent="0.25">
      <c r="D122" s="313"/>
      <c r="E122" s="313"/>
      <c r="F122" s="6"/>
      <c r="G122" s="6"/>
    </row>
    <row r="123" spans="3:7" x14ac:dyDescent="0.25">
      <c r="D123" s="313" t="s">
        <v>1360</v>
      </c>
      <c r="E123" s="6" t="s">
        <v>1347</v>
      </c>
      <c r="F123" s="313" t="s">
        <v>1360</v>
      </c>
      <c r="G123" s="6" t="s">
        <v>1347</v>
      </c>
    </row>
    <row r="124" spans="3:7" x14ac:dyDescent="0.25">
      <c r="C124" s="1" t="s">
        <v>1370</v>
      </c>
      <c r="D124" s="311">
        <v>0.59350000000000003</v>
      </c>
      <c r="E124" s="305">
        <v>0.61950000000000005</v>
      </c>
      <c r="F124" s="312">
        <v>600847</v>
      </c>
      <c r="G124" s="312">
        <v>456700</v>
      </c>
    </row>
    <row r="125" spans="3:7" x14ac:dyDescent="0.25">
      <c r="C125" s="1" t="s">
        <v>1371</v>
      </c>
      <c r="D125" s="311">
        <v>0.51090000000000002</v>
      </c>
      <c r="E125" s="178">
        <v>0.62319999999999998</v>
      </c>
      <c r="F125" s="312">
        <v>232592</v>
      </c>
      <c r="G125" s="312">
        <v>233074</v>
      </c>
    </row>
    <row r="127" spans="3:7" x14ac:dyDescent="0.25">
      <c r="C127" s="300" t="s">
        <v>1373</v>
      </c>
    </row>
    <row r="129" spans="3:7" x14ac:dyDescent="0.25">
      <c r="D129" s="748" t="s">
        <v>1342</v>
      </c>
      <c r="E129" s="748"/>
      <c r="F129" s="749" t="s">
        <v>1358</v>
      </c>
      <c r="G129" s="749"/>
    </row>
    <row r="130" spans="3:7" x14ac:dyDescent="0.25">
      <c r="D130" s="313"/>
      <c r="E130" s="313"/>
      <c r="F130" s="6"/>
      <c r="G130" s="6"/>
    </row>
    <row r="131" spans="3:7" x14ac:dyDescent="0.25">
      <c r="D131" s="313" t="s">
        <v>1360</v>
      </c>
      <c r="E131" s="6" t="s">
        <v>1347</v>
      </c>
      <c r="F131" s="313" t="s">
        <v>1360</v>
      </c>
      <c r="G131" s="6" t="s">
        <v>1347</v>
      </c>
    </row>
    <row r="132" spans="3:7" x14ac:dyDescent="0.25">
      <c r="C132" s="1" t="s">
        <v>1372</v>
      </c>
      <c r="D132" s="311">
        <v>0.52290000000000003</v>
      </c>
      <c r="E132" s="305">
        <v>0.57679999999999998</v>
      </c>
      <c r="F132" s="312">
        <v>283542</v>
      </c>
      <c r="G132" s="312">
        <v>293296</v>
      </c>
    </row>
    <row r="135" spans="3:7" x14ac:dyDescent="0.25">
      <c r="C135" s="300" t="s">
        <v>1374</v>
      </c>
    </row>
    <row r="137" spans="3:7" x14ac:dyDescent="0.25">
      <c r="D137" s="748" t="s">
        <v>1342</v>
      </c>
      <c r="E137" s="748"/>
      <c r="F137" s="749" t="s">
        <v>1358</v>
      </c>
      <c r="G137" s="749"/>
    </row>
    <row r="138" spans="3:7" x14ac:dyDescent="0.25">
      <c r="D138" s="313"/>
      <c r="E138" s="313"/>
      <c r="F138" s="6"/>
      <c r="G138" s="6"/>
    </row>
    <row r="139" spans="3:7" x14ac:dyDescent="0.25">
      <c r="D139" s="313" t="s">
        <v>1360</v>
      </c>
      <c r="E139" s="6" t="s">
        <v>1347</v>
      </c>
      <c r="F139" s="313" t="s">
        <v>1360</v>
      </c>
      <c r="G139" s="6" t="s">
        <v>1347</v>
      </c>
    </row>
    <row r="140" spans="3:7" x14ac:dyDescent="0.25">
      <c r="C140" s="1" t="s">
        <v>1375</v>
      </c>
      <c r="D140" s="311">
        <v>0.46429999999999999</v>
      </c>
      <c r="E140" s="305">
        <v>0.49980000000000002</v>
      </c>
      <c r="F140" s="312">
        <v>223781</v>
      </c>
      <c r="G140" s="312">
        <v>253449</v>
      </c>
    </row>
  </sheetData>
  <mergeCells count="22">
    <mergeCell ref="D121:E121"/>
    <mergeCell ref="F121:G121"/>
    <mergeCell ref="D129:E129"/>
    <mergeCell ref="F129:G129"/>
    <mergeCell ref="D137:E137"/>
    <mergeCell ref="F137:G137"/>
    <mergeCell ref="C70:F70"/>
    <mergeCell ref="C6:F6"/>
    <mergeCell ref="D114:E114"/>
    <mergeCell ref="F114:G114"/>
    <mergeCell ref="C109:G109"/>
    <mergeCell ref="C29:E29"/>
    <mergeCell ref="C31:E31"/>
    <mergeCell ref="C40:E40"/>
    <mergeCell ref="C48:E48"/>
    <mergeCell ref="C64:E64"/>
    <mergeCell ref="C20:E20"/>
    <mergeCell ref="C2:G2"/>
    <mergeCell ref="C3:G3"/>
    <mergeCell ref="C4:G4"/>
    <mergeCell ref="C8:E8"/>
    <mergeCell ref="C11:E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C2:G138"/>
  <sheetViews>
    <sheetView workbookViewId="0">
      <selection activeCell="G18" sqref="G18"/>
    </sheetView>
  </sheetViews>
  <sheetFormatPr baseColWidth="10" defaultRowHeight="15" x14ac:dyDescent="0.25"/>
  <cols>
    <col min="3" max="3" width="49.28515625" bestFit="1" customWidth="1"/>
    <col min="4" max="4" width="23.42578125" style="299" bestFit="1" customWidth="1"/>
    <col min="5" max="5" width="14.7109375" bestFit="1" customWidth="1"/>
    <col min="6" max="6" width="31.5703125" bestFit="1" customWidth="1"/>
    <col min="7" max="7" width="14.7109375" bestFit="1" customWidth="1"/>
  </cols>
  <sheetData>
    <row r="2" spans="3:7" x14ac:dyDescent="0.25">
      <c r="C2" s="744" t="s">
        <v>1377</v>
      </c>
      <c r="D2" s="744"/>
      <c r="E2" s="744"/>
      <c r="F2" s="744"/>
      <c r="G2" s="744"/>
    </row>
    <row r="3" spans="3:7" x14ac:dyDescent="0.25">
      <c r="C3" s="744" t="s">
        <v>1337</v>
      </c>
      <c r="D3" s="744"/>
      <c r="E3" s="744"/>
      <c r="F3" s="744"/>
      <c r="G3" s="744"/>
    </row>
    <row r="4" spans="3:7" x14ac:dyDescent="0.25">
      <c r="C4" s="744" t="s">
        <v>1338</v>
      </c>
      <c r="D4" s="744"/>
      <c r="E4" s="744"/>
      <c r="F4" s="744"/>
      <c r="G4" s="744"/>
    </row>
    <row r="5" spans="3:7" x14ac:dyDescent="0.25">
      <c r="C5" s="295"/>
    </row>
    <row r="6" spans="3:7" x14ac:dyDescent="0.25">
      <c r="C6" s="728" t="s">
        <v>1344</v>
      </c>
      <c r="D6" s="728"/>
      <c r="E6" s="728"/>
      <c r="F6" s="728"/>
    </row>
    <row r="7" spans="3:7" x14ac:dyDescent="0.25">
      <c r="C7" s="295"/>
    </row>
    <row r="8" spans="3:7" x14ac:dyDescent="0.25">
      <c r="C8" s="721" t="s">
        <v>1342</v>
      </c>
      <c r="D8" s="721"/>
      <c r="E8" s="721"/>
    </row>
    <row r="9" spans="3:7" x14ac:dyDescent="0.25">
      <c r="C9" s="295"/>
    </row>
    <row r="10" spans="3:7" x14ac:dyDescent="0.25">
      <c r="C10" s="295"/>
    </row>
    <row r="11" spans="3:7" x14ac:dyDescent="0.25">
      <c r="C11" s="745" t="s">
        <v>1333</v>
      </c>
      <c r="D11" s="745"/>
      <c r="E11" s="745"/>
    </row>
    <row r="13" spans="3:7" x14ac:dyDescent="0.25">
      <c r="C13" s="294" t="s">
        <v>1378</v>
      </c>
      <c r="D13" s="299">
        <v>0.5786</v>
      </c>
    </row>
    <row r="14" spans="3:7" x14ac:dyDescent="0.25">
      <c r="C14" s="294" t="s">
        <v>1379</v>
      </c>
      <c r="D14" s="299">
        <v>0.59960000000000002</v>
      </c>
      <c r="E14" s="235">
        <f>+D14-D13</f>
        <v>2.1000000000000019E-2</v>
      </c>
    </row>
    <row r="16" spans="3:7" x14ac:dyDescent="0.25">
      <c r="C16" t="s">
        <v>1380</v>
      </c>
      <c r="D16" s="299">
        <v>0.55259999999999998</v>
      </c>
    </row>
    <row r="17" spans="3:5" x14ac:dyDescent="0.25">
      <c r="C17" t="s">
        <v>1381</v>
      </c>
      <c r="D17" s="299">
        <v>0.5867</v>
      </c>
      <c r="E17" s="235">
        <f>+D17-D16</f>
        <v>3.4100000000000019E-2</v>
      </c>
    </row>
    <row r="20" spans="3:5" x14ac:dyDescent="0.25">
      <c r="C20" s="745" t="s">
        <v>1341</v>
      </c>
      <c r="D20" s="745"/>
      <c r="E20" s="745"/>
    </row>
    <row r="22" spans="3:5" x14ac:dyDescent="0.25">
      <c r="C22" s="294" t="s">
        <v>1378</v>
      </c>
      <c r="D22" s="299">
        <v>0.49830000000000002</v>
      </c>
    </row>
    <row r="23" spans="3:5" x14ac:dyDescent="0.25">
      <c r="C23" s="294" t="s">
        <v>1379</v>
      </c>
      <c r="D23" s="299">
        <v>0.52500000000000002</v>
      </c>
      <c r="E23" s="235">
        <f>+D23-D22</f>
        <v>2.6700000000000002E-2</v>
      </c>
    </row>
    <row r="25" spans="3:5" x14ac:dyDescent="0.25">
      <c r="C25" t="s">
        <v>1380</v>
      </c>
      <c r="D25" s="299">
        <v>0.50339999999999996</v>
      </c>
    </row>
    <row r="26" spans="3:5" x14ac:dyDescent="0.25">
      <c r="C26" t="s">
        <v>1381</v>
      </c>
      <c r="D26" s="299">
        <v>0.54369999999999996</v>
      </c>
      <c r="E26" s="235">
        <f>+D26-D25</f>
        <v>4.0300000000000002E-2</v>
      </c>
    </row>
    <row r="29" spans="3:5" x14ac:dyDescent="0.25">
      <c r="C29" s="721" t="s">
        <v>1343</v>
      </c>
      <c r="D29" s="721"/>
      <c r="E29" s="721"/>
    </row>
    <row r="31" spans="3:5" x14ac:dyDescent="0.25">
      <c r="C31" s="745" t="s">
        <v>1333</v>
      </c>
      <c r="D31" s="745"/>
      <c r="E31" s="745"/>
    </row>
    <row r="33" spans="3:5" x14ac:dyDescent="0.25">
      <c r="C33" s="294" t="s">
        <v>1378</v>
      </c>
      <c r="D33" s="301">
        <v>250650</v>
      </c>
    </row>
    <row r="34" spans="3:5" x14ac:dyDescent="0.25">
      <c r="C34" s="294" t="s">
        <v>1379</v>
      </c>
      <c r="D34" s="301">
        <v>262590</v>
      </c>
      <c r="E34" s="235">
        <v>4.7600000000000003E-2</v>
      </c>
    </row>
    <row r="35" spans="3:5" x14ac:dyDescent="0.25">
      <c r="D35" s="301"/>
    </row>
    <row r="36" spans="3:5" x14ac:dyDescent="0.25">
      <c r="C36" t="s">
        <v>1380</v>
      </c>
      <c r="D36" s="301">
        <v>259110</v>
      </c>
    </row>
    <row r="37" spans="3:5" x14ac:dyDescent="0.25">
      <c r="C37" t="s">
        <v>1381</v>
      </c>
      <c r="D37" s="301">
        <v>266546</v>
      </c>
      <c r="E37" s="235">
        <v>2.87E-2</v>
      </c>
    </row>
    <row r="38" spans="3:5" x14ac:dyDescent="0.25">
      <c r="D38" s="301"/>
    </row>
    <row r="40" spans="3:5" x14ac:dyDescent="0.25">
      <c r="C40" s="745" t="s">
        <v>1341</v>
      </c>
      <c r="D40" s="745"/>
      <c r="E40" s="745"/>
    </row>
    <row r="42" spans="3:5" x14ac:dyDescent="0.25">
      <c r="C42" s="294" t="s">
        <v>1378</v>
      </c>
      <c r="D42" s="301">
        <v>189138</v>
      </c>
    </row>
    <row r="43" spans="3:5" x14ac:dyDescent="0.25">
      <c r="C43" s="294" t="s">
        <v>1379</v>
      </c>
      <c r="D43" s="301">
        <v>201931</v>
      </c>
      <c r="E43" s="235">
        <v>6.7599999999999993E-2</v>
      </c>
    </row>
    <row r="44" spans="3:5" x14ac:dyDescent="0.25">
      <c r="D44" s="301"/>
    </row>
    <row r="45" spans="3:5" x14ac:dyDescent="0.25">
      <c r="C45" t="s">
        <v>1380</v>
      </c>
      <c r="D45" s="301">
        <v>196520</v>
      </c>
    </row>
    <row r="46" spans="3:5" x14ac:dyDescent="0.25">
      <c r="C46" t="s">
        <v>1381</v>
      </c>
      <c r="D46" s="301">
        <v>206733</v>
      </c>
      <c r="E46" s="235">
        <v>5.1999999999999998E-2</v>
      </c>
    </row>
    <row r="48" spans="3:5" x14ac:dyDescent="0.25">
      <c r="C48" s="721" t="s">
        <v>1344</v>
      </c>
      <c r="D48" s="721"/>
      <c r="E48" s="721"/>
    </row>
    <row r="50" spans="3:7" x14ac:dyDescent="0.25">
      <c r="C50" s="302" t="s">
        <v>1345</v>
      </c>
      <c r="D50" s="238"/>
      <c r="E50" s="238"/>
    </row>
    <row r="52" spans="3:7" x14ac:dyDescent="0.25">
      <c r="C52" s="296" t="s">
        <v>1346</v>
      </c>
    </row>
    <row r="53" spans="3:7" x14ac:dyDescent="0.25">
      <c r="C53" s="294" t="s">
        <v>1382</v>
      </c>
      <c r="D53" s="303">
        <v>0.59</v>
      </c>
    </row>
    <row r="54" spans="3:7" x14ac:dyDescent="0.25">
      <c r="D54" s="303"/>
    </row>
    <row r="55" spans="3:7" x14ac:dyDescent="0.25">
      <c r="C55" s="296" t="s">
        <v>1350</v>
      </c>
      <c r="D55" s="303"/>
    </row>
    <row r="56" spans="3:7" x14ac:dyDescent="0.25">
      <c r="C56" s="294" t="s">
        <v>1382</v>
      </c>
      <c r="D56" s="303">
        <v>0.41</v>
      </c>
      <c r="F56" s="302" t="s">
        <v>1351</v>
      </c>
    </row>
    <row r="57" spans="3:7" x14ac:dyDescent="0.25">
      <c r="D57" s="303"/>
    </row>
    <row r="58" spans="3:7" x14ac:dyDescent="0.25">
      <c r="C58" s="3"/>
      <c r="D58" s="303"/>
      <c r="F58" s="296" t="s">
        <v>1382</v>
      </c>
    </row>
    <row r="59" spans="3:7" x14ac:dyDescent="0.25">
      <c r="D59" s="303"/>
      <c r="F59" s="304">
        <v>50378</v>
      </c>
    </row>
    <row r="60" spans="3:7" x14ac:dyDescent="0.25">
      <c r="D60" s="303"/>
    </row>
    <row r="61" spans="3:7" x14ac:dyDescent="0.25">
      <c r="C61" s="721" t="s">
        <v>1355</v>
      </c>
      <c r="D61" s="721"/>
      <c r="E61" s="721"/>
    </row>
    <row r="62" spans="3:7" x14ac:dyDescent="0.25">
      <c r="D62" s="53"/>
    </row>
    <row r="63" spans="3:7" x14ac:dyDescent="0.25">
      <c r="C63" t="s">
        <v>1384</v>
      </c>
      <c r="D63" s="53">
        <v>847133</v>
      </c>
      <c r="G63" s="53"/>
    </row>
    <row r="64" spans="3:7" x14ac:dyDescent="0.25">
      <c r="C64" t="s">
        <v>1383</v>
      </c>
      <c r="D64" s="53">
        <v>884896</v>
      </c>
      <c r="G64" s="53"/>
    </row>
    <row r="65" spans="3:7" x14ac:dyDescent="0.25">
      <c r="C65" t="s">
        <v>1378</v>
      </c>
      <c r="D65" s="53">
        <v>890136</v>
      </c>
      <c r="E65" s="53"/>
      <c r="G65" s="53"/>
    </row>
    <row r="66" spans="3:7" x14ac:dyDescent="0.25">
      <c r="C66" t="s">
        <v>1379</v>
      </c>
      <c r="D66" s="53">
        <v>994383</v>
      </c>
      <c r="E66" s="53"/>
      <c r="G66" s="53"/>
    </row>
    <row r="68" spans="3:7" x14ac:dyDescent="0.25">
      <c r="C68" s="728" t="s">
        <v>1365</v>
      </c>
      <c r="D68" s="728"/>
      <c r="E68" s="728"/>
      <c r="F68" s="728"/>
    </row>
    <row r="70" spans="3:7" x14ac:dyDescent="0.25">
      <c r="C70" s="300" t="s">
        <v>909</v>
      </c>
    </row>
    <row r="72" spans="3:7" x14ac:dyDescent="0.25">
      <c r="C72" s="294" t="s">
        <v>1378</v>
      </c>
      <c r="D72" s="299">
        <v>0.63019999999999998</v>
      </c>
    </row>
    <row r="73" spans="3:7" x14ac:dyDescent="0.25">
      <c r="C73" s="294" t="s">
        <v>1379</v>
      </c>
      <c r="D73" s="299">
        <v>0.69189999999999996</v>
      </c>
      <c r="E73" s="235">
        <f>+D73-D72</f>
        <v>6.1699999999999977E-2</v>
      </c>
    </row>
    <row r="75" spans="3:7" x14ac:dyDescent="0.25">
      <c r="C75" s="300" t="s">
        <v>1357</v>
      </c>
    </row>
    <row r="76" spans="3:7" x14ac:dyDescent="0.25">
      <c r="D76" s="297"/>
    </row>
    <row r="77" spans="3:7" x14ac:dyDescent="0.25">
      <c r="C77" t="s">
        <v>1380</v>
      </c>
      <c r="D77" s="298">
        <v>0.61040000000000005</v>
      </c>
    </row>
    <row r="78" spans="3:7" x14ac:dyDescent="0.25">
      <c r="C78" t="s">
        <v>1381</v>
      </c>
      <c r="D78" s="298">
        <v>0.66500000000000004</v>
      </c>
      <c r="E78" s="306">
        <f>+D78-D77</f>
        <v>5.4599999999999982E-2</v>
      </c>
    </row>
    <row r="80" spans="3:7" x14ac:dyDescent="0.25">
      <c r="C80" s="300" t="s">
        <v>1358</v>
      </c>
    </row>
    <row r="82" spans="3:6" x14ac:dyDescent="0.25">
      <c r="C82" s="294" t="s">
        <v>1378</v>
      </c>
      <c r="D82" s="307">
        <v>234821</v>
      </c>
    </row>
    <row r="83" spans="3:6" x14ac:dyDescent="0.25">
      <c r="C83" s="294" t="s">
        <v>1379</v>
      </c>
      <c r="D83" s="307">
        <v>215814</v>
      </c>
      <c r="E83" s="314">
        <v>-8.09E-2</v>
      </c>
    </row>
    <row r="85" spans="3:6" x14ac:dyDescent="0.25">
      <c r="C85" s="300" t="s">
        <v>1359</v>
      </c>
    </row>
    <row r="87" spans="3:6" x14ac:dyDescent="0.25">
      <c r="C87" t="s">
        <v>1380</v>
      </c>
      <c r="D87" s="307">
        <v>237233</v>
      </c>
    </row>
    <row r="88" spans="3:6" x14ac:dyDescent="0.25">
      <c r="C88" t="s">
        <v>1381</v>
      </c>
      <c r="D88" s="307">
        <v>219190</v>
      </c>
      <c r="E88" s="314">
        <v>-7.6100000000000001E-2</v>
      </c>
    </row>
    <row r="90" spans="3:6" x14ac:dyDescent="0.25">
      <c r="C90" s="300" t="s">
        <v>1345</v>
      </c>
      <c r="D90" s="238"/>
      <c r="F90" s="302" t="s">
        <v>1363</v>
      </c>
    </row>
    <row r="92" spans="3:6" x14ac:dyDescent="0.25">
      <c r="C92" s="296" t="s">
        <v>1346</v>
      </c>
      <c r="F92" s="315" t="s">
        <v>1378</v>
      </c>
    </row>
    <row r="93" spans="3:6" x14ac:dyDescent="0.25">
      <c r="C93" s="294" t="s">
        <v>1378</v>
      </c>
      <c r="D93" s="298">
        <v>0.55000000000000004</v>
      </c>
      <c r="F93" s="304">
        <v>3732</v>
      </c>
    </row>
    <row r="94" spans="3:6" x14ac:dyDescent="0.25">
      <c r="C94" s="294" t="s">
        <v>1379</v>
      </c>
      <c r="D94" s="298">
        <v>0.51</v>
      </c>
      <c r="F94" s="315" t="s">
        <v>1379</v>
      </c>
    </row>
    <row r="95" spans="3:6" x14ac:dyDescent="0.25">
      <c r="C95" s="294"/>
      <c r="D95" s="298"/>
      <c r="F95" s="304">
        <v>4722</v>
      </c>
    </row>
    <row r="96" spans="3:6" x14ac:dyDescent="0.25">
      <c r="C96" s="296" t="s">
        <v>1361</v>
      </c>
      <c r="D96" s="298"/>
    </row>
    <row r="97" spans="3:7" x14ac:dyDescent="0.25">
      <c r="C97" s="294" t="s">
        <v>1378</v>
      </c>
      <c r="D97" s="298">
        <v>0.45</v>
      </c>
      <c r="F97" s="238"/>
    </row>
    <row r="98" spans="3:7" x14ac:dyDescent="0.25">
      <c r="C98" s="294" t="s">
        <v>1379</v>
      </c>
      <c r="D98" s="298">
        <v>0.49</v>
      </c>
    </row>
    <row r="99" spans="3:7" x14ac:dyDescent="0.25">
      <c r="F99" s="296"/>
    </row>
    <row r="100" spans="3:7" x14ac:dyDescent="0.25">
      <c r="F100" s="3"/>
    </row>
    <row r="101" spans="3:7" x14ac:dyDescent="0.25">
      <c r="C101" s="300" t="s">
        <v>1362</v>
      </c>
    </row>
    <row r="103" spans="3:7" x14ac:dyDescent="0.25">
      <c r="C103" s="294" t="s">
        <v>1378</v>
      </c>
      <c r="D103" s="46">
        <v>147977</v>
      </c>
    </row>
    <row r="104" spans="3:7" x14ac:dyDescent="0.25">
      <c r="C104" s="294" t="s">
        <v>1379</v>
      </c>
      <c r="D104" s="46">
        <v>149314</v>
      </c>
      <c r="E104" s="235">
        <v>8.9999999999999993E-3</v>
      </c>
    </row>
    <row r="107" spans="3:7" x14ac:dyDescent="0.25">
      <c r="C107" s="728" t="s">
        <v>1366</v>
      </c>
      <c r="D107" s="728"/>
      <c r="E107" s="728"/>
      <c r="F107" s="728"/>
      <c r="G107" s="728"/>
    </row>
    <row r="110" spans="3:7" x14ac:dyDescent="0.25">
      <c r="C110" s="300" t="s">
        <v>1385</v>
      </c>
    </row>
    <row r="112" spans="3:7" x14ac:dyDescent="0.25">
      <c r="D112" s="748" t="s">
        <v>1342</v>
      </c>
      <c r="E112" s="748"/>
      <c r="F112" s="749" t="s">
        <v>1358</v>
      </c>
      <c r="G112" s="749"/>
    </row>
    <row r="113" spans="3:7" x14ac:dyDescent="0.25">
      <c r="D113" s="313"/>
      <c r="E113" s="313"/>
      <c r="F113" s="6"/>
      <c r="G113" s="6"/>
    </row>
    <row r="114" spans="3:7" x14ac:dyDescent="0.25">
      <c r="D114" s="313" t="s">
        <v>1386</v>
      </c>
      <c r="E114" s="6" t="s">
        <v>1382</v>
      </c>
      <c r="F114" s="313" t="s">
        <v>1386</v>
      </c>
      <c r="G114" s="6" t="s">
        <v>1382</v>
      </c>
    </row>
    <row r="115" spans="3:7" x14ac:dyDescent="0.25">
      <c r="C115" s="1" t="s">
        <v>1367</v>
      </c>
      <c r="D115" s="311">
        <v>0.49209999999999998</v>
      </c>
      <c r="E115" s="305">
        <v>0.50470000000000004</v>
      </c>
      <c r="F115" s="312">
        <v>221966</v>
      </c>
      <c r="G115" s="312">
        <v>230078</v>
      </c>
    </row>
    <row r="117" spans="3:7" x14ac:dyDescent="0.25">
      <c r="C117" s="300" t="s">
        <v>1387</v>
      </c>
    </row>
    <row r="119" spans="3:7" x14ac:dyDescent="0.25">
      <c r="D119" s="748" t="s">
        <v>1342</v>
      </c>
      <c r="E119" s="748"/>
      <c r="F119" s="749" t="s">
        <v>1358</v>
      </c>
      <c r="G119" s="749"/>
    </row>
    <row r="120" spans="3:7" x14ac:dyDescent="0.25">
      <c r="D120" s="313"/>
      <c r="E120" s="313"/>
      <c r="F120" s="6"/>
      <c r="G120" s="6"/>
    </row>
    <row r="121" spans="3:7" x14ac:dyDescent="0.25">
      <c r="D121" s="313" t="s">
        <v>1386</v>
      </c>
      <c r="E121" s="6" t="s">
        <v>1382</v>
      </c>
      <c r="F121" s="313" t="s">
        <v>1386</v>
      </c>
      <c r="G121" s="6" t="s">
        <v>1382</v>
      </c>
    </row>
    <row r="122" spans="3:7" x14ac:dyDescent="0.25">
      <c r="C122" s="1" t="s">
        <v>1370</v>
      </c>
      <c r="D122" s="311">
        <v>0.72230000000000005</v>
      </c>
      <c r="E122" s="305">
        <v>0.71319999999999995</v>
      </c>
      <c r="F122" s="312">
        <v>585839</v>
      </c>
      <c r="G122" s="312">
        <v>506177</v>
      </c>
    </row>
    <row r="123" spans="3:7" x14ac:dyDescent="0.25">
      <c r="C123" s="1" t="s">
        <v>1371</v>
      </c>
      <c r="D123" s="311">
        <v>0.61009999999999998</v>
      </c>
      <c r="E123" s="178">
        <v>0.63419999999999999</v>
      </c>
      <c r="F123" s="312">
        <v>235166</v>
      </c>
      <c r="G123" s="312">
        <v>248583</v>
      </c>
    </row>
    <row r="125" spans="3:7" x14ac:dyDescent="0.25">
      <c r="C125" s="300" t="s">
        <v>1388</v>
      </c>
    </row>
    <row r="127" spans="3:7" x14ac:dyDescent="0.25">
      <c r="D127" s="748" t="s">
        <v>1342</v>
      </c>
      <c r="E127" s="748"/>
      <c r="F127" s="749" t="s">
        <v>1358</v>
      </c>
      <c r="G127" s="749"/>
    </row>
    <row r="128" spans="3:7" x14ac:dyDescent="0.25">
      <c r="D128" s="313"/>
      <c r="E128" s="313"/>
      <c r="F128" s="6"/>
      <c r="G128" s="6"/>
    </row>
    <row r="129" spans="3:7" x14ac:dyDescent="0.25">
      <c r="D129" s="313" t="s">
        <v>1386</v>
      </c>
      <c r="E129" s="6" t="s">
        <v>1382</v>
      </c>
      <c r="F129" s="313" t="s">
        <v>1386</v>
      </c>
      <c r="G129" s="6" t="s">
        <v>1382</v>
      </c>
    </row>
    <row r="130" spans="3:7" x14ac:dyDescent="0.25">
      <c r="C130" s="1" t="s">
        <v>1372</v>
      </c>
      <c r="D130" s="311">
        <v>0.55120000000000002</v>
      </c>
      <c r="E130" s="305">
        <v>0.5827</v>
      </c>
      <c r="F130" s="312">
        <v>270035</v>
      </c>
      <c r="G130" s="312">
        <v>281916</v>
      </c>
    </row>
    <row r="133" spans="3:7" x14ac:dyDescent="0.25">
      <c r="C133" s="300" t="s">
        <v>1389</v>
      </c>
    </row>
    <row r="135" spans="3:7" x14ac:dyDescent="0.25">
      <c r="D135" s="748" t="s">
        <v>1342</v>
      </c>
      <c r="E135" s="748"/>
      <c r="F135" s="749" t="s">
        <v>1358</v>
      </c>
      <c r="G135" s="749"/>
    </row>
    <row r="136" spans="3:7" x14ac:dyDescent="0.25">
      <c r="D136" s="313"/>
      <c r="E136" s="313"/>
      <c r="F136" s="6"/>
      <c r="G136" s="6"/>
    </row>
    <row r="137" spans="3:7" x14ac:dyDescent="0.25">
      <c r="D137" s="313" t="s">
        <v>1386</v>
      </c>
      <c r="E137" s="6" t="s">
        <v>1382</v>
      </c>
      <c r="F137" s="313" t="s">
        <v>1386</v>
      </c>
      <c r="G137" s="6" t="s">
        <v>1382</v>
      </c>
    </row>
    <row r="138" spans="3:7" x14ac:dyDescent="0.25">
      <c r="C138" s="1" t="s">
        <v>1375</v>
      </c>
      <c r="D138" s="311">
        <v>0.38750000000000001</v>
      </c>
      <c r="E138" s="305">
        <v>0.4078</v>
      </c>
      <c r="F138" s="312">
        <v>217150</v>
      </c>
      <c r="G138" s="312">
        <v>216290</v>
      </c>
    </row>
  </sheetData>
  <mergeCells count="22">
    <mergeCell ref="D127:E127"/>
    <mergeCell ref="F127:G127"/>
    <mergeCell ref="D135:E135"/>
    <mergeCell ref="F135:G135"/>
    <mergeCell ref="C68:F68"/>
    <mergeCell ref="C107:G107"/>
    <mergeCell ref="D112:E112"/>
    <mergeCell ref="F112:G112"/>
    <mergeCell ref="D119:E119"/>
    <mergeCell ref="F119:G119"/>
    <mergeCell ref="C61:E61"/>
    <mergeCell ref="C2:G2"/>
    <mergeCell ref="C3:G3"/>
    <mergeCell ref="C4:G4"/>
    <mergeCell ref="C6:F6"/>
    <mergeCell ref="C8:E8"/>
    <mergeCell ref="C11:E11"/>
    <mergeCell ref="C20:E20"/>
    <mergeCell ref="C29:E29"/>
    <mergeCell ref="C31:E31"/>
    <mergeCell ref="C40:E40"/>
    <mergeCell ref="C48:E4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B2:R21"/>
  <sheetViews>
    <sheetView zoomScale="80" zoomScaleNormal="80" workbookViewId="0">
      <selection activeCell="J25" sqref="J25"/>
    </sheetView>
  </sheetViews>
  <sheetFormatPr baseColWidth="10" defaultRowHeight="15" x14ac:dyDescent="0.25"/>
  <cols>
    <col min="2" max="2" width="32" bestFit="1" customWidth="1"/>
    <col min="3" max="3" width="6.5703125" bestFit="1" customWidth="1"/>
    <col min="4" max="4" width="11.5703125" bestFit="1" customWidth="1"/>
    <col min="5" max="5" width="13.7109375" customWidth="1"/>
    <col min="6" max="6" width="11.5703125" bestFit="1" customWidth="1"/>
    <col min="7" max="7" width="10.85546875" customWidth="1"/>
    <col min="8" max="8" width="13.28515625" customWidth="1"/>
    <col min="9" max="9" width="13.5703125" customWidth="1"/>
    <col min="10" max="10" width="11.5703125" bestFit="1" customWidth="1"/>
    <col min="11" max="11" width="10.28515625" customWidth="1"/>
    <col min="12" max="12" width="11.5703125" bestFit="1" customWidth="1"/>
    <col min="13" max="13" width="8.28515625" bestFit="1" customWidth="1"/>
    <col min="14" max="14" width="11.5703125" bestFit="1" customWidth="1"/>
    <col min="15" max="15" width="8.28515625" bestFit="1" customWidth="1"/>
  </cols>
  <sheetData>
    <row r="2" spans="2:18" x14ac:dyDescent="0.25">
      <c r="B2" s="728" t="s">
        <v>1008</v>
      </c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</row>
    <row r="4" spans="2:18" x14ac:dyDescent="0.25">
      <c r="B4" s="3" t="s">
        <v>1145</v>
      </c>
    </row>
    <row r="5" spans="2:18" x14ac:dyDescent="0.25">
      <c r="B5" s="3"/>
    </row>
    <row r="6" spans="2:18" x14ac:dyDescent="0.25">
      <c r="B6" s="176"/>
      <c r="C6" s="176"/>
      <c r="D6" s="750" t="s">
        <v>1137</v>
      </c>
      <c r="E6" s="751"/>
      <c r="F6" s="750" t="s">
        <v>1138</v>
      </c>
      <c r="G6" s="751"/>
      <c r="H6" s="750" t="s">
        <v>1139</v>
      </c>
      <c r="I6" s="751"/>
      <c r="J6" s="750" t="s">
        <v>1140</v>
      </c>
      <c r="K6" s="751"/>
      <c r="L6" s="750" t="s">
        <v>1141</v>
      </c>
      <c r="M6" s="751"/>
      <c r="N6" s="750" t="s">
        <v>1142</v>
      </c>
      <c r="O6" s="751"/>
      <c r="Q6" s="750" t="s">
        <v>1152</v>
      </c>
      <c r="R6" s="751"/>
    </row>
    <row r="7" spans="2:18" ht="29.25" customHeight="1" x14ac:dyDescent="0.25">
      <c r="B7" s="176" t="s">
        <v>1135</v>
      </c>
      <c r="C7" s="176" t="s">
        <v>1136</v>
      </c>
      <c r="D7" s="177" t="s">
        <v>1143</v>
      </c>
      <c r="E7" s="177" t="s">
        <v>1144</v>
      </c>
      <c r="F7" s="177" t="s">
        <v>1143</v>
      </c>
      <c r="G7" s="177" t="s">
        <v>1144</v>
      </c>
      <c r="H7" s="177" t="s">
        <v>1143</v>
      </c>
      <c r="I7" s="177" t="s">
        <v>1144</v>
      </c>
      <c r="J7" s="177" t="s">
        <v>1143</v>
      </c>
      <c r="K7" s="177" t="s">
        <v>1144</v>
      </c>
      <c r="L7" s="177" t="s">
        <v>1143</v>
      </c>
      <c r="M7" s="177" t="s">
        <v>1144</v>
      </c>
      <c r="N7" s="177" t="s">
        <v>1143</v>
      </c>
      <c r="O7" s="177" t="s">
        <v>1144</v>
      </c>
      <c r="Q7" s="177" t="s">
        <v>1143</v>
      </c>
      <c r="R7" s="177" t="s">
        <v>1144</v>
      </c>
    </row>
    <row r="8" spans="2:18" x14ac:dyDescent="0.25">
      <c r="B8" s="1" t="s">
        <v>1146</v>
      </c>
      <c r="C8" s="178">
        <v>0.2</v>
      </c>
      <c r="D8" s="175">
        <v>3</v>
      </c>
      <c r="E8" s="180">
        <f>+D8*C8</f>
        <v>0.60000000000000009</v>
      </c>
      <c r="F8" s="175">
        <v>3.5</v>
      </c>
      <c r="G8" s="180">
        <f>+F8*C8</f>
        <v>0.70000000000000007</v>
      </c>
      <c r="H8" s="175">
        <v>2.5</v>
      </c>
      <c r="I8" s="180">
        <f>+H8*C8</f>
        <v>0.5</v>
      </c>
      <c r="J8" s="175">
        <v>3</v>
      </c>
      <c r="K8" s="180">
        <f>+J8*C8</f>
        <v>0.60000000000000009</v>
      </c>
      <c r="L8" s="175">
        <v>4</v>
      </c>
      <c r="M8" s="180">
        <f>+L8*C8</f>
        <v>0.8</v>
      </c>
      <c r="N8" s="175">
        <v>4</v>
      </c>
      <c r="O8" s="180">
        <f>+N8*C8</f>
        <v>0.8</v>
      </c>
      <c r="Q8" s="175">
        <v>4.5</v>
      </c>
      <c r="R8" s="180">
        <f>+Q8*C8</f>
        <v>0.9</v>
      </c>
    </row>
    <row r="9" spans="2:18" x14ac:dyDescent="0.25">
      <c r="B9" s="1" t="s">
        <v>1147</v>
      </c>
      <c r="C9" s="178">
        <v>0.1</v>
      </c>
      <c r="D9" s="175">
        <v>3.5</v>
      </c>
      <c r="E9" s="180">
        <f t="shared" ref="E9:E14" si="0">+D9*C9</f>
        <v>0.35000000000000003</v>
      </c>
      <c r="F9" s="175">
        <v>3</v>
      </c>
      <c r="G9" s="180">
        <f t="shared" ref="G9:G14" si="1">+F9*C9</f>
        <v>0.30000000000000004</v>
      </c>
      <c r="H9" s="175">
        <v>3</v>
      </c>
      <c r="I9" s="180">
        <f t="shared" ref="I9:I14" si="2">+H9*C9</f>
        <v>0.30000000000000004</v>
      </c>
      <c r="J9" s="175">
        <v>3</v>
      </c>
      <c r="K9" s="180">
        <f t="shared" ref="K9:K14" si="3">+J9*C9</f>
        <v>0.30000000000000004</v>
      </c>
      <c r="L9" s="175">
        <v>3.5</v>
      </c>
      <c r="M9" s="180">
        <f t="shared" ref="M9:M14" si="4">+L9*C9</f>
        <v>0.35000000000000003</v>
      </c>
      <c r="N9" s="175">
        <v>3.5</v>
      </c>
      <c r="O9" s="180">
        <f t="shared" ref="O9:O14" si="5">+N9*C9</f>
        <v>0.35000000000000003</v>
      </c>
      <c r="Q9" s="175">
        <v>4</v>
      </c>
      <c r="R9" s="180">
        <f t="shared" ref="R9:R14" si="6">+Q9*C9</f>
        <v>0.4</v>
      </c>
    </row>
    <row r="10" spans="2:18" x14ac:dyDescent="0.25">
      <c r="B10" s="1" t="s">
        <v>269</v>
      </c>
      <c r="C10" s="178">
        <v>0.15</v>
      </c>
      <c r="D10" s="175">
        <v>3</v>
      </c>
      <c r="E10" s="180">
        <f t="shared" si="0"/>
        <v>0.44999999999999996</v>
      </c>
      <c r="F10" s="175">
        <v>3</v>
      </c>
      <c r="G10" s="180">
        <f t="shared" si="1"/>
        <v>0.44999999999999996</v>
      </c>
      <c r="H10" s="175">
        <v>3</v>
      </c>
      <c r="I10" s="180">
        <f t="shared" si="2"/>
        <v>0.44999999999999996</v>
      </c>
      <c r="J10" s="175">
        <v>3</v>
      </c>
      <c r="K10" s="180">
        <f t="shared" si="3"/>
        <v>0.44999999999999996</v>
      </c>
      <c r="L10" s="175">
        <v>4</v>
      </c>
      <c r="M10" s="180">
        <f t="shared" si="4"/>
        <v>0.6</v>
      </c>
      <c r="N10" s="175">
        <v>4</v>
      </c>
      <c r="O10" s="180">
        <f t="shared" si="5"/>
        <v>0.6</v>
      </c>
      <c r="Q10" s="175">
        <v>4</v>
      </c>
      <c r="R10" s="180">
        <f t="shared" si="6"/>
        <v>0.6</v>
      </c>
    </row>
    <row r="11" spans="2:18" x14ac:dyDescent="0.25">
      <c r="B11" s="1" t="s">
        <v>1148</v>
      </c>
      <c r="C11" s="178">
        <v>0.14000000000000001</v>
      </c>
      <c r="D11" s="175">
        <v>4</v>
      </c>
      <c r="E11" s="180">
        <f t="shared" si="0"/>
        <v>0.56000000000000005</v>
      </c>
      <c r="F11" s="175">
        <v>3</v>
      </c>
      <c r="G11" s="180">
        <f t="shared" si="1"/>
        <v>0.42000000000000004</v>
      </c>
      <c r="H11" s="175">
        <v>3.5</v>
      </c>
      <c r="I11" s="180">
        <f t="shared" si="2"/>
        <v>0.49000000000000005</v>
      </c>
      <c r="J11" s="175">
        <v>3</v>
      </c>
      <c r="K11" s="180">
        <f t="shared" si="3"/>
        <v>0.42000000000000004</v>
      </c>
      <c r="L11" s="175">
        <v>3.5</v>
      </c>
      <c r="M11" s="180">
        <f t="shared" si="4"/>
        <v>0.49000000000000005</v>
      </c>
      <c r="N11" s="175">
        <v>4</v>
      </c>
      <c r="O11" s="180">
        <f t="shared" si="5"/>
        <v>0.56000000000000005</v>
      </c>
      <c r="Q11" s="175">
        <v>4</v>
      </c>
      <c r="R11" s="180">
        <f t="shared" si="6"/>
        <v>0.56000000000000005</v>
      </c>
    </row>
    <row r="12" spans="2:18" x14ac:dyDescent="0.25">
      <c r="B12" s="1" t="s">
        <v>1149</v>
      </c>
      <c r="C12" s="178">
        <v>0.15</v>
      </c>
      <c r="D12" s="175">
        <v>4</v>
      </c>
      <c r="E12" s="180">
        <f t="shared" si="0"/>
        <v>0.6</v>
      </c>
      <c r="F12" s="175">
        <v>3</v>
      </c>
      <c r="G12" s="180">
        <f t="shared" si="1"/>
        <v>0.44999999999999996</v>
      </c>
      <c r="H12" s="175">
        <v>3</v>
      </c>
      <c r="I12" s="180">
        <f t="shared" si="2"/>
        <v>0.44999999999999996</v>
      </c>
      <c r="J12" s="175">
        <v>3</v>
      </c>
      <c r="K12" s="180">
        <f t="shared" si="3"/>
        <v>0.44999999999999996</v>
      </c>
      <c r="L12" s="175">
        <v>4</v>
      </c>
      <c r="M12" s="180">
        <f t="shared" si="4"/>
        <v>0.6</v>
      </c>
      <c r="N12" s="175">
        <v>4</v>
      </c>
      <c r="O12" s="180">
        <f t="shared" si="5"/>
        <v>0.6</v>
      </c>
      <c r="Q12" s="175">
        <v>3</v>
      </c>
      <c r="R12" s="180">
        <f t="shared" si="6"/>
        <v>0.44999999999999996</v>
      </c>
    </row>
    <row r="13" spans="2:18" x14ac:dyDescent="0.25">
      <c r="B13" s="1" t="s">
        <v>1150</v>
      </c>
      <c r="C13" s="178">
        <v>0.1</v>
      </c>
      <c r="D13" s="175">
        <v>3</v>
      </c>
      <c r="E13" s="180">
        <f t="shared" si="0"/>
        <v>0.30000000000000004</v>
      </c>
      <c r="F13" s="175">
        <v>3</v>
      </c>
      <c r="G13" s="180">
        <f t="shared" si="1"/>
        <v>0.30000000000000004</v>
      </c>
      <c r="H13" s="175">
        <v>3</v>
      </c>
      <c r="I13" s="180">
        <f t="shared" si="2"/>
        <v>0.30000000000000004</v>
      </c>
      <c r="J13" s="175">
        <v>3</v>
      </c>
      <c r="K13" s="180">
        <f t="shared" si="3"/>
        <v>0.30000000000000004</v>
      </c>
      <c r="L13" s="175">
        <v>4</v>
      </c>
      <c r="M13" s="180">
        <f t="shared" si="4"/>
        <v>0.4</v>
      </c>
      <c r="N13" s="175">
        <v>3</v>
      </c>
      <c r="O13" s="180">
        <f t="shared" si="5"/>
        <v>0.30000000000000004</v>
      </c>
      <c r="Q13" s="175">
        <v>4</v>
      </c>
      <c r="R13" s="180">
        <f t="shared" si="6"/>
        <v>0.4</v>
      </c>
    </row>
    <row r="14" spans="2:18" x14ac:dyDescent="0.25">
      <c r="B14" s="1" t="s">
        <v>1151</v>
      </c>
      <c r="C14" s="178">
        <v>0.16</v>
      </c>
      <c r="D14" s="175">
        <v>3.5</v>
      </c>
      <c r="E14" s="180">
        <f t="shared" si="0"/>
        <v>0.56000000000000005</v>
      </c>
      <c r="F14" s="175">
        <v>3</v>
      </c>
      <c r="G14" s="180">
        <f t="shared" si="1"/>
        <v>0.48</v>
      </c>
      <c r="H14" s="175">
        <v>3</v>
      </c>
      <c r="I14" s="180">
        <f t="shared" si="2"/>
        <v>0.48</v>
      </c>
      <c r="J14" s="175">
        <v>3</v>
      </c>
      <c r="K14" s="180">
        <f t="shared" si="3"/>
        <v>0.48</v>
      </c>
      <c r="L14" s="175">
        <v>3.5</v>
      </c>
      <c r="M14" s="180">
        <f t="shared" si="4"/>
        <v>0.56000000000000005</v>
      </c>
      <c r="N14" s="175">
        <v>4</v>
      </c>
      <c r="O14" s="180">
        <f t="shared" si="5"/>
        <v>0.64</v>
      </c>
      <c r="Q14" s="175">
        <v>4.5</v>
      </c>
      <c r="R14" s="180">
        <f t="shared" si="6"/>
        <v>0.72</v>
      </c>
    </row>
    <row r="15" spans="2:18" x14ac:dyDescent="0.25">
      <c r="B15" s="1" t="s">
        <v>573</v>
      </c>
      <c r="C15" s="179">
        <f>+SUM(C8:C14)</f>
        <v>1</v>
      </c>
      <c r="D15" s="175"/>
      <c r="E15" s="180">
        <f>+SUM(E8:E14)</f>
        <v>3.4200000000000004</v>
      </c>
      <c r="F15" s="175"/>
      <c r="G15" s="180">
        <f>+SUM(G8:G14)</f>
        <v>3.1</v>
      </c>
      <c r="H15" s="175"/>
      <c r="I15" s="180">
        <f>+SUM(I8:I14)</f>
        <v>2.97</v>
      </c>
      <c r="J15" s="175"/>
      <c r="K15" s="180">
        <f>+SUM(K8:K14)</f>
        <v>2.9999999999999996</v>
      </c>
      <c r="L15" s="175"/>
      <c r="M15" s="180">
        <f>+SUM(M8:M14)</f>
        <v>3.8000000000000003</v>
      </c>
      <c r="N15" s="175"/>
      <c r="O15" s="180">
        <f>+SUM(O8:O14)</f>
        <v>3.85</v>
      </c>
      <c r="Q15" s="175"/>
      <c r="R15" s="180">
        <f>+SUM(R8:R14)</f>
        <v>4.03</v>
      </c>
    </row>
    <row r="19" spans="2:2" x14ac:dyDescent="0.25">
      <c r="B19" s="3" t="s">
        <v>556</v>
      </c>
    </row>
    <row r="21" spans="2:2" x14ac:dyDescent="0.25">
      <c r="B21" t="s">
        <v>1153</v>
      </c>
    </row>
  </sheetData>
  <mergeCells count="8">
    <mergeCell ref="Q6:R6"/>
    <mergeCell ref="B2:O2"/>
    <mergeCell ref="D6:E6"/>
    <mergeCell ref="F6:G6"/>
    <mergeCell ref="H6:I6"/>
    <mergeCell ref="J6:K6"/>
    <mergeCell ref="L6:M6"/>
    <mergeCell ref="N6:O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B2:H241"/>
  <sheetViews>
    <sheetView zoomScale="80" zoomScaleNormal="80" workbookViewId="0">
      <selection activeCell="B17" sqref="B17:F17"/>
    </sheetView>
  </sheetViews>
  <sheetFormatPr baseColWidth="10" defaultRowHeight="15" x14ac:dyDescent="0.25"/>
  <cols>
    <col min="2" max="2" width="72.42578125" customWidth="1"/>
    <col min="3" max="3" width="25.42578125" style="15" customWidth="1"/>
    <col min="4" max="4" width="11.42578125" style="15" customWidth="1"/>
    <col min="5" max="5" width="29.42578125" style="72" bestFit="1" customWidth="1"/>
    <col min="6" max="6" width="36.42578125" style="72" bestFit="1" customWidth="1"/>
    <col min="7" max="7" width="26.5703125" bestFit="1" customWidth="1"/>
    <col min="8" max="8" width="16.5703125" bestFit="1" customWidth="1"/>
  </cols>
  <sheetData>
    <row r="2" spans="2:6" x14ac:dyDescent="0.25">
      <c r="B2" s="721" t="s">
        <v>1008</v>
      </c>
      <c r="C2" s="721"/>
      <c r="D2" s="721"/>
      <c r="E2" s="721"/>
      <c r="F2" s="721"/>
    </row>
    <row r="4" spans="2:6" x14ac:dyDescent="0.25">
      <c r="B4" s="721" t="s">
        <v>914</v>
      </c>
      <c r="C4" s="721"/>
      <c r="D4" s="721"/>
      <c r="E4" s="721"/>
      <c r="F4" s="721"/>
    </row>
    <row r="6" spans="2:6" x14ac:dyDescent="0.25">
      <c r="B6" s="91" t="s">
        <v>900</v>
      </c>
      <c r="C6" s="111" t="s">
        <v>901</v>
      </c>
      <c r="E6" s="91" t="s">
        <v>911</v>
      </c>
      <c r="F6" s="113" t="s">
        <v>912</v>
      </c>
    </row>
    <row r="7" spans="2:6" x14ac:dyDescent="0.25">
      <c r="C7" s="111"/>
    </row>
    <row r="8" spans="2:6" x14ac:dyDescent="0.25">
      <c r="B8" s="91" t="s">
        <v>902</v>
      </c>
      <c r="C8" s="111" t="s">
        <v>903</v>
      </c>
      <c r="E8" s="91" t="s">
        <v>908</v>
      </c>
      <c r="F8" s="113" t="s">
        <v>909</v>
      </c>
    </row>
    <row r="9" spans="2:6" x14ac:dyDescent="0.25">
      <c r="C9" s="111"/>
    </row>
    <row r="10" spans="2:6" x14ac:dyDescent="0.25">
      <c r="B10" s="91" t="s">
        <v>904</v>
      </c>
      <c r="C10" s="111" t="s">
        <v>905</v>
      </c>
      <c r="E10" s="91" t="s">
        <v>910</v>
      </c>
      <c r="F10" s="113" t="s">
        <v>913</v>
      </c>
    </row>
    <row r="12" spans="2:6" x14ac:dyDescent="0.25">
      <c r="B12" s="91" t="s">
        <v>906</v>
      </c>
      <c r="C12" s="112" t="s">
        <v>1010</v>
      </c>
      <c r="E12" s="91" t="s">
        <v>907</v>
      </c>
      <c r="F12" s="113" t="s">
        <v>1011</v>
      </c>
    </row>
    <row r="14" spans="2:6" x14ac:dyDescent="0.25">
      <c r="B14" s="91" t="s">
        <v>917</v>
      </c>
      <c r="C14" s="111" t="s">
        <v>915</v>
      </c>
      <c r="E14" s="91" t="s">
        <v>916</v>
      </c>
      <c r="F14" s="113" t="s">
        <v>918</v>
      </c>
    </row>
    <row r="16" spans="2:6" x14ac:dyDescent="0.25">
      <c r="B16" s="91" t="s">
        <v>919</v>
      </c>
      <c r="C16" s="91"/>
      <c r="D16" s="91"/>
      <c r="E16" s="91"/>
      <c r="F16" s="91"/>
    </row>
    <row r="17" spans="2:6" x14ac:dyDescent="0.25">
      <c r="B17" s="763" t="s">
        <v>921</v>
      </c>
      <c r="C17" s="763"/>
      <c r="D17" s="763"/>
      <c r="E17" s="763"/>
      <c r="F17" s="763"/>
    </row>
    <row r="18" spans="2:6" x14ac:dyDescent="0.25">
      <c r="B18" s="763" t="s">
        <v>920</v>
      </c>
      <c r="C18" s="763"/>
      <c r="D18" s="763"/>
      <c r="E18" s="763"/>
      <c r="F18" s="763"/>
    </row>
    <row r="20" spans="2:6" x14ac:dyDescent="0.25">
      <c r="B20" s="91" t="s">
        <v>414</v>
      </c>
      <c r="C20" s="91"/>
      <c r="D20" s="91"/>
      <c r="E20" s="91"/>
      <c r="F20" s="91"/>
    </row>
    <row r="21" spans="2:6" x14ac:dyDescent="0.25">
      <c r="B21" s="761" t="s">
        <v>922</v>
      </c>
      <c r="C21" s="761"/>
      <c r="D21" s="761"/>
      <c r="E21" s="761"/>
      <c r="F21" s="761"/>
    </row>
    <row r="23" spans="2:6" x14ac:dyDescent="0.25">
      <c r="B23" s="91" t="s">
        <v>596</v>
      </c>
      <c r="C23" s="91"/>
      <c r="D23" s="91"/>
      <c r="E23" s="91"/>
      <c r="F23" s="91"/>
    </row>
    <row r="24" spans="2:6" x14ac:dyDescent="0.25">
      <c r="B24" s="91" t="s">
        <v>923</v>
      </c>
      <c r="C24" s="111" t="s">
        <v>929</v>
      </c>
    </row>
    <row r="25" spans="2:6" x14ac:dyDescent="0.25">
      <c r="B25" s="91" t="s">
        <v>924</v>
      </c>
      <c r="C25" s="111" t="s">
        <v>929</v>
      </c>
    </row>
    <row r="26" spans="2:6" x14ac:dyDescent="0.25">
      <c r="B26" s="91" t="s">
        <v>925</v>
      </c>
      <c r="C26" s="111" t="s">
        <v>929</v>
      </c>
    </row>
    <row r="27" spans="2:6" x14ac:dyDescent="0.25">
      <c r="B27" s="91" t="s">
        <v>926</v>
      </c>
      <c r="C27" s="111" t="s">
        <v>929</v>
      </c>
    </row>
    <row r="28" spans="2:6" x14ac:dyDescent="0.25">
      <c r="B28" s="91" t="s">
        <v>927</v>
      </c>
      <c r="C28" s="111" t="s">
        <v>929</v>
      </c>
    </row>
    <row r="29" spans="2:6" x14ac:dyDescent="0.25">
      <c r="B29" s="91" t="s">
        <v>928</v>
      </c>
      <c r="C29" s="111" t="s">
        <v>929</v>
      </c>
    </row>
    <row r="31" spans="2:6" x14ac:dyDescent="0.25">
      <c r="B31" s="721" t="s">
        <v>930</v>
      </c>
      <c r="C31" s="721"/>
      <c r="D31" s="721"/>
      <c r="E31" s="721"/>
      <c r="F31" s="721"/>
    </row>
    <row r="33" spans="2:6" x14ac:dyDescent="0.25">
      <c r="B33" s="91" t="s">
        <v>931</v>
      </c>
      <c r="C33" s="91"/>
      <c r="D33" s="91"/>
      <c r="E33" s="91"/>
      <c r="F33" s="91"/>
    </row>
    <row r="34" spans="2:6" x14ac:dyDescent="0.25">
      <c r="B34" t="s">
        <v>932</v>
      </c>
    </row>
    <row r="36" spans="2:6" x14ac:dyDescent="0.25">
      <c r="B36" s="91" t="s">
        <v>933</v>
      </c>
      <c r="C36" s="91"/>
      <c r="D36" s="91"/>
      <c r="E36" s="91"/>
      <c r="F36" s="91"/>
    </row>
    <row r="37" spans="2:6" x14ac:dyDescent="0.25">
      <c r="B37" t="s">
        <v>934</v>
      </c>
    </row>
    <row r="39" spans="2:6" x14ac:dyDescent="0.25">
      <c r="B39" s="91" t="s">
        <v>935</v>
      </c>
      <c r="C39" s="91"/>
      <c r="D39" s="91"/>
      <c r="E39" s="91"/>
      <c r="F39" s="91"/>
    </row>
    <row r="40" spans="2:6" x14ac:dyDescent="0.25">
      <c r="B40" t="s">
        <v>936</v>
      </c>
    </row>
    <row r="42" spans="2:6" x14ac:dyDescent="0.25">
      <c r="B42" s="721" t="s">
        <v>937</v>
      </c>
      <c r="C42" s="721"/>
      <c r="D42" s="721"/>
      <c r="E42" s="721"/>
      <c r="F42" s="721"/>
    </row>
    <row r="44" spans="2:6" x14ac:dyDescent="0.25">
      <c r="B44" s="91" t="s">
        <v>938</v>
      </c>
      <c r="C44" s="111" t="s">
        <v>941</v>
      </c>
      <c r="E44" s="91" t="s">
        <v>940</v>
      </c>
      <c r="F44" s="113">
        <v>901138267</v>
      </c>
    </row>
    <row r="46" spans="2:6" x14ac:dyDescent="0.25">
      <c r="B46" s="91" t="s">
        <v>939</v>
      </c>
      <c r="C46" s="111" t="s">
        <v>942</v>
      </c>
    </row>
    <row r="48" spans="2:6" x14ac:dyDescent="0.25">
      <c r="B48" s="91" t="s">
        <v>943</v>
      </c>
      <c r="C48" s="91"/>
      <c r="D48" s="91"/>
      <c r="E48" s="91"/>
      <c r="F48" s="91"/>
    </row>
    <row r="49" spans="2:6" x14ac:dyDescent="0.25">
      <c r="B49" s="91" t="s">
        <v>944</v>
      </c>
      <c r="C49" s="761" t="s">
        <v>945</v>
      </c>
      <c r="D49" s="761"/>
      <c r="E49" s="761"/>
      <c r="F49" s="761"/>
    </row>
    <row r="50" spans="2:6" x14ac:dyDescent="0.25">
      <c r="B50" s="91" t="s">
        <v>946</v>
      </c>
      <c r="C50" s="111" t="s">
        <v>947</v>
      </c>
    </row>
    <row r="52" spans="2:6" x14ac:dyDescent="0.25">
      <c r="B52" s="91" t="s">
        <v>948</v>
      </c>
      <c r="C52" s="91"/>
      <c r="D52" s="91"/>
      <c r="E52" s="91"/>
      <c r="F52" s="91"/>
    </row>
    <row r="53" spans="2:6" x14ac:dyDescent="0.25">
      <c r="B53" s="761" t="s">
        <v>949</v>
      </c>
      <c r="C53" s="761"/>
      <c r="D53" s="761"/>
      <c r="E53" s="761"/>
      <c r="F53" s="115"/>
    </row>
    <row r="55" spans="2:6" x14ac:dyDescent="0.25">
      <c r="B55" s="91" t="s">
        <v>951</v>
      </c>
      <c r="C55" s="111" t="s">
        <v>950</v>
      </c>
      <c r="E55" s="91" t="s">
        <v>952</v>
      </c>
      <c r="F55" s="113" t="s">
        <v>953</v>
      </c>
    </row>
    <row r="57" spans="2:6" x14ac:dyDescent="0.25">
      <c r="B57" s="91" t="s">
        <v>954</v>
      </c>
      <c r="C57" s="91"/>
      <c r="D57" s="91"/>
      <c r="E57" s="91"/>
      <c r="F57" s="91"/>
    </row>
    <row r="58" spans="2:6" x14ac:dyDescent="0.25">
      <c r="B58" s="762" t="s">
        <v>955</v>
      </c>
      <c r="C58" s="762"/>
      <c r="D58" s="762"/>
      <c r="E58" s="762"/>
      <c r="F58" s="762"/>
    </row>
    <row r="59" spans="2:6" x14ac:dyDescent="0.25">
      <c r="B59" s="753"/>
      <c r="C59" s="753"/>
      <c r="D59" s="753"/>
      <c r="E59" s="753"/>
      <c r="F59" s="753"/>
    </row>
    <row r="60" spans="2:6" x14ac:dyDescent="0.25">
      <c r="B60" s="753"/>
      <c r="C60" s="753"/>
      <c r="D60" s="753"/>
      <c r="E60" s="753"/>
      <c r="F60" s="753"/>
    </row>
    <row r="61" spans="2:6" x14ac:dyDescent="0.25">
      <c r="B61" s="753"/>
      <c r="C61" s="753"/>
      <c r="D61" s="753"/>
      <c r="E61" s="753"/>
      <c r="F61" s="753"/>
    </row>
    <row r="62" spans="2:6" x14ac:dyDescent="0.25">
      <c r="B62" s="753"/>
      <c r="C62" s="753"/>
      <c r="D62" s="753"/>
      <c r="E62" s="753"/>
      <c r="F62" s="753"/>
    </row>
    <row r="63" spans="2:6" x14ac:dyDescent="0.25">
      <c r="B63" s="753"/>
      <c r="C63" s="753"/>
      <c r="D63" s="753"/>
      <c r="E63" s="753"/>
      <c r="F63" s="753"/>
    </row>
    <row r="64" spans="2:6" x14ac:dyDescent="0.25">
      <c r="B64" s="753"/>
      <c r="C64" s="753"/>
      <c r="D64" s="753"/>
      <c r="E64" s="753"/>
      <c r="F64" s="753"/>
    </row>
    <row r="65" spans="2:6" ht="3" customHeight="1" x14ac:dyDescent="0.25">
      <c r="B65" s="753"/>
      <c r="C65" s="753"/>
      <c r="D65" s="753"/>
      <c r="E65" s="753"/>
      <c r="F65" s="753"/>
    </row>
    <row r="66" spans="2:6" ht="9" hidden="1" customHeight="1" x14ac:dyDescent="0.25">
      <c r="B66" s="753"/>
      <c r="C66" s="753"/>
      <c r="D66" s="753"/>
      <c r="E66" s="753"/>
      <c r="F66" s="753"/>
    </row>
    <row r="67" spans="2:6" hidden="1" x14ac:dyDescent="0.25">
      <c r="B67" s="753"/>
      <c r="C67" s="753"/>
      <c r="D67" s="753"/>
      <c r="E67" s="753"/>
      <c r="F67" s="753"/>
    </row>
    <row r="68" spans="2:6" x14ac:dyDescent="0.25">
      <c r="B68" s="91" t="s">
        <v>956</v>
      </c>
      <c r="C68" s="91"/>
      <c r="D68" s="91"/>
      <c r="E68" s="91"/>
      <c r="F68" s="91"/>
    </row>
    <row r="69" spans="2:6" x14ac:dyDescent="0.25">
      <c r="B69" s="761" t="s">
        <v>957</v>
      </c>
      <c r="C69" s="761"/>
      <c r="D69" s="761"/>
      <c r="E69" s="761"/>
    </row>
    <row r="71" spans="2:6" x14ac:dyDescent="0.25">
      <c r="B71" s="721" t="s">
        <v>985</v>
      </c>
      <c r="C71" s="721"/>
      <c r="D71" s="721"/>
      <c r="E71" s="721"/>
      <c r="F71" s="721"/>
    </row>
    <row r="73" spans="2:6" x14ac:dyDescent="0.25">
      <c r="B73" s="91" t="s">
        <v>958</v>
      </c>
      <c r="C73" s="91"/>
      <c r="D73" s="91"/>
      <c r="E73" s="91"/>
      <c r="F73" s="91"/>
    </row>
    <row r="74" spans="2:6" x14ac:dyDescent="0.25">
      <c r="B74" s="91" t="s">
        <v>959</v>
      </c>
      <c r="C74" s="111">
        <f>+D223</f>
        <v>9682</v>
      </c>
      <c r="E74" s="91" t="s">
        <v>961</v>
      </c>
      <c r="F74" s="113" t="s">
        <v>963</v>
      </c>
    </row>
    <row r="75" spans="2:6" x14ac:dyDescent="0.25">
      <c r="B75" s="91" t="s">
        <v>960</v>
      </c>
      <c r="C75" s="111">
        <f>+D224</f>
        <v>2990</v>
      </c>
      <c r="E75" s="91" t="s">
        <v>962</v>
      </c>
      <c r="F75" s="113" t="s">
        <v>964</v>
      </c>
    </row>
    <row r="77" spans="2:6" x14ac:dyDescent="0.25">
      <c r="B77" s="91" t="s">
        <v>965</v>
      </c>
      <c r="C77" s="91"/>
      <c r="D77" s="91"/>
      <c r="E77" s="91"/>
      <c r="F77" s="91"/>
    </row>
    <row r="78" spans="2:6" x14ac:dyDescent="0.25">
      <c r="B78" s="761" t="s">
        <v>966</v>
      </c>
      <c r="C78" s="761"/>
      <c r="D78" s="761"/>
      <c r="E78" s="761"/>
    </row>
    <row r="80" spans="2:6" x14ac:dyDescent="0.25">
      <c r="B80" s="91" t="s">
        <v>967</v>
      </c>
      <c r="C80" s="91"/>
      <c r="D80" s="91"/>
      <c r="E80" s="91"/>
      <c r="F80" s="91"/>
    </row>
    <row r="81" spans="2:6" x14ac:dyDescent="0.25">
      <c r="B81" t="s">
        <v>968</v>
      </c>
    </row>
    <row r="83" spans="2:6" x14ac:dyDescent="0.25">
      <c r="B83" s="91" t="s">
        <v>969</v>
      </c>
      <c r="C83" s="91"/>
      <c r="D83" s="91"/>
      <c r="E83" s="91"/>
      <c r="F83" s="91"/>
    </row>
    <row r="84" spans="2:6" x14ac:dyDescent="0.25">
      <c r="B84" s="91" t="s">
        <v>970</v>
      </c>
      <c r="C84" s="111">
        <v>35</v>
      </c>
    </row>
    <row r="85" spans="2:6" x14ac:dyDescent="0.25">
      <c r="B85" s="91" t="s">
        <v>971</v>
      </c>
      <c r="C85" s="111">
        <v>70</v>
      </c>
    </row>
    <row r="86" spans="2:6" x14ac:dyDescent="0.25">
      <c r="B86" s="91" t="s">
        <v>972</v>
      </c>
      <c r="C86" s="111">
        <v>35</v>
      </c>
    </row>
    <row r="87" spans="2:6" x14ac:dyDescent="0.25">
      <c r="B87" s="91" t="s">
        <v>973</v>
      </c>
      <c r="C87" s="111" t="s">
        <v>929</v>
      </c>
    </row>
    <row r="88" spans="2:6" x14ac:dyDescent="0.25">
      <c r="B88" s="91" t="s">
        <v>974</v>
      </c>
      <c r="C88" s="111" t="s">
        <v>975</v>
      </c>
    </row>
    <row r="90" spans="2:6" x14ac:dyDescent="0.25">
      <c r="B90" s="721" t="s">
        <v>976</v>
      </c>
      <c r="C90" s="721"/>
      <c r="D90" s="721"/>
      <c r="E90" s="721"/>
      <c r="F90" s="721"/>
    </row>
    <row r="92" spans="2:6" x14ac:dyDescent="0.25">
      <c r="B92" s="91" t="s">
        <v>977</v>
      </c>
      <c r="C92" s="91"/>
      <c r="D92" s="91"/>
      <c r="E92" s="91"/>
      <c r="F92" s="91"/>
    </row>
    <row r="93" spans="2:6" x14ac:dyDescent="0.25">
      <c r="B93" s="762" t="s">
        <v>978</v>
      </c>
      <c r="C93" s="762"/>
      <c r="D93" s="762"/>
      <c r="E93" s="762"/>
      <c r="F93" s="762"/>
    </row>
    <row r="94" spans="2:6" x14ac:dyDescent="0.25">
      <c r="B94" s="753"/>
      <c r="C94" s="753"/>
      <c r="D94" s="753"/>
      <c r="E94" s="753"/>
      <c r="F94" s="753"/>
    </row>
    <row r="96" spans="2:6" x14ac:dyDescent="0.25">
      <c r="B96" s="91" t="s">
        <v>979</v>
      </c>
      <c r="C96" s="91"/>
      <c r="D96" s="91"/>
      <c r="E96" s="91"/>
      <c r="F96" s="91"/>
    </row>
    <row r="97" spans="2:6" x14ac:dyDescent="0.25">
      <c r="B97" t="s">
        <v>980</v>
      </c>
    </row>
    <row r="99" spans="2:6" x14ac:dyDescent="0.25">
      <c r="B99" s="91" t="s">
        <v>981</v>
      </c>
      <c r="C99" s="91"/>
      <c r="D99" s="91"/>
      <c r="E99" s="91"/>
      <c r="F99" s="91"/>
    </row>
    <row r="101" spans="2:6" x14ac:dyDescent="0.25">
      <c r="B101" s="753" t="s">
        <v>982</v>
      </c>
      <c r="C101" s="753"/>
      <c r="D101" s="753"/>
      <c r="E101" s="753"/>
      <c r="F101" s="753"/>
    </row>
    <row r="102" spans="2:6" x14ac:dyDescent="0.25">
      <c r="B102" s="753"/>
      <c r="C102" s="753"/>
      <c r="D102" s="753"/>
      <c r="E102" s="753"/>
      <c r="F102" s="753"/>
    </row>
    <row r="103" spans="2:6" x14ac:dyDescent="0.25">
      <c r="B103" s="753"/>
      <c r="C103" s="753"/>
      <c r="D103" s="753"/>
      <c r="E103" s="753"/>
      <c r="F103" s="753"/>
    </row>
    <row r="104" spans="2:6" x14ac:dyDescent="0.25">
      <c r="B104" s="753"/>
      <c r="C104" s="753"/>
      <c r="D104" s="753"/>
      <c r="E104" s="753"/>
      <c r="F104" s="753"/>
    </row>
    <row r="105" spans="2:6" x14ac:dyDescent="0.25">
      <c r="B105" s="753"/>
      <c r="C105" s="753"/>
      <c r="D105" s="753"/>
      <c r="E105" s="753"/>
      <c r="F105" s="753"/>
    </row>
    <row r="106" spans="2:6" x14ac:dyDescent="0.25">
      <c r="B106" s="753"/>
      <c r="C106" s="753"/>
      <c r="D106" s="753"/>
      <c r="E106" s="753"/>
      <c r="F106" s="753"/>
    </row>
    <row r="107" spans="2:6" x14ac:dyDescent="0.25">
      <c r="B107" s="91" t="s">
        <v>983</v>
      </c>
      <c r="C107" s="91"/>
      <c r="D107" s="91"/>
      <c r="E107" s="91"/>
      <c r="F107" s="91"/>
    </row>
    <row r="109" spans="2:6" x14ac:dyDescent="0.25">
      <c r="B109" s="753" t="s">
        <v>984</v>
      </c>
      <c r="C109" s="753"/>
      <c r="D109" s="753"/>
      <c r="E109" s="753"/>
      <c r="F109" s="753"/>
    </row>
    <row r="110" spans="2:6" x14ac:dyDescent="0.25">
      <c r="B110" s="753"/>
      <c r="C110" s="753"/>
      <c r="D110" s="753"/>
      <c r="E110" s="753"/>
      <c r="F110" s="753"/>
    </row>
    <row r="111" spans="2:6" x14ac:dyDescent="0.25">
      <c r="B111" s="753"/>
      <c r="C111" s="753"/>
      <c r="D111" s="753"/>
      <c r="E111" s="753"/>
      <c r="F111" s="753"/>
    </row>
    <row r="112" spans="2:6" x14ac:dyDescent="0.25">
      <c r="B112" s="753"/>
      <c r="C112" s="753"/>
      <c r="D112" s="753"/>
      <c r="E112" s="753"/>
      <c r="F112" s="753"/>
    </row>
    <row r="113" spans="2:6" x14ac:dyDescent="0.25">
      <c r="B113" s="721" t="s">
        <v>991</v>
      </c>
      <c r="C113" s="721"/>
      <c r="D113" s="721"/>
      <c r="E113" s="721"/>
      <c r="F113" s="721"/>
    </row>
    <row r="115" spans="2:6" x14ac:dyDescent="0.25">
      <c r="B115" s="753" t="s">
        <v>986</v>
      </c>
      <c r="C115" s="753"/>
      <c r="D115" s="753"/>
      <c r="E115" s="753"/>
      <c r="F115" s="753"/>
    </row>
    <row r="116" spans="2:6" x14ac:dyDescent="0.25">
      <c r="B116" s="753"/>
      <c r="C116" s="753"/>
      <c r="D116" s="753"/>
      <c r="E116" s="753"/>
      <c r="F116" s="753"/>
    </row>
    <row r="117" spans="2:6" x14ac:dyDescent="0.25">
      <c r="B117" s="753"/>
      <c r="C117" s="753"/>
      <c r="D117" s="753"/>
      <c r="E117" s="753"/>
      <c r="F117" s="753"/>
    </row>
    <row r="118" spans="2:6" x14ac:dyDescent="0.25">
      <c r="B118" s="753"/>
      <c r="C118" s="753"/>
      <c r="D118" s="753"/>
      <c r="E118" s="753"/>
      <c r="F118" s="753"/>
    </row>
    <row r="119" spans="2:6" x14ac:dyDescent="0.25">
      <c r="B119" s="753"/>
      <c r="C119" s="753"/>
      <c r="D119" s="753"/>
      <c r="E119" s="753"/>
      <c r="F119" s="753"/>
    </row>
    <row r="120" spans="2:6" x14ac:dyDescent="0.25">
      <c r="B120" s="752" t="s">
        <v>987</v>
      </c>
      <c r="C120" s="752"/>
      <c r="D120" s="752"/>
      <c r="E120" s="752"/>
      <c r="F120" s="752"/>
    </row>
    <row r="122" spans="2:6" x14ac:dyDescent="0.25">
      <c r="B122" s="753" t="s">
        <v>988</v>
      </c>
      <c r="C122" s="753"/>
      <c r="D122" s="753"/>
      <c r="E122" s="753"/>
      <c r="F122" s="753"/>
    </row>
    <row r="123" spans="2:6" x14ac:dyDescent="0.25">
      <c r="B123" s="753"/>
      <c r="C123" s="753"/>
      <c r="D123" s="753"/>
      <c r="E123" s="753"/>
      <c r="F123" s="753"/>
    </row>
    <row r="124" spans="2:6" x14ac:dyDescent="0.25">
      <c r="B124" s="753"/>
      <c r="C124" s="753"/>
      <c r="D124" s="753"/>
      <c r="E124" s="753"/>
      <c r="F124" s="753"/>
    </row>
    <row r="126" spans="2:6" x14ac:dyDescent="0.25">
      <c r="B126" s="752" t="s">
        <v>989</v>
      </c>
      <c r="C126" s="752"/>
      <c r="D126" s="752"/>
      <c r="E126" s="752"/>
      <c r="F126" s="752"/>
    </row>
    <row r="128" spans="2:6" x14ac:dyDescent="0.25">
      <c r="B128" s="753" t="s">
        <v>990</v>
      </c>
      <c r="C128" s="753"/>
      <c r="D128" s="753"/>
      <c r="E128" s="753"/>
      <c r="F128" s="753"/>
    </row>
    <row r="129" spans="2:6" x14ac:dyDescent="0.25">
      <c r="B129" s="753"/>
      <c r="C129" s="753"/>
      <c r="D129" s="753"/>
      <c r="E129" s="753"/>
      <c r="F129" s="753"/>
    </row>
    <row r="131" spans="2:6" x14ac:dyDescent="0.25">
      <c r="B131" s="721" t="s">
        <v>995</v>
      </c>
      <c r="C131" s="721"/>
      <c r="D131" s="721"/>
      <c r="E131" s="721"/>
      <c r="F131" s="721"/>
    </row>
    <row r="133" spans="2:6" x14ac:dyDescent="0.25">
      <c r="B133" s="752" t="s">
        <v>992</v>
      </c>
      <c r="C133" s="752"/>
      <c r="D133" s="752"/>
      <c r="E133" s="752"/>
      <c r="F133" s="752"/>
    </row>
    <row r="135" spans="2:6" x14ac:dyDescent="0.25">
      <c r="B135" t="s">
        <v>993</v>
      </c>
    </row>
    <row r="137" spans="2:6" x14ac:dyDescent="0.25">
      <c r="B137" s="752" t="s">
        <v>994</v>
      </c>
      <c r="C137" s="752"/>
      <c r="D137" s="752"/>
      <c r="E137" s="752"/>
      <c r="F137" s="752"/>
    </row>
    <row r="139" spans="2:6" x14ac:dyDescent="0.25">
      <c r="B139" t="s">
        <v>996</v>
      </c>
    </row>
    <row r="141" spans="2:6" x14ac:dyDescent="0.25">
      <c r="B141" s="752" t="s">
        <v>997</v>
      </c>
      <c r="C141" s="752"/>
      <c r="D141" s="752"/>
      <c r="E141" s="752"/>
      <c r="F141" s="752"/>
    </row>
    <row r="143" spans="2:6" x14ac:dyDescent="0.25">
      <c r="B143" t="s">
        <v>998</v>
      </c>
    </row>
    <row r="145" spans="2:6" x14ac:dyDescent="0.25">
      <c r="B145" s="753" t="s">
        <v>999</v>
      </c>
      <c r="C145" s="753"/>
      <c r="D145" s="753"/>
      <c r="E145" s="753"/>
      <c r="F145" s="753"/>
    </row>
    <row r="146" spans="2:6" x14ac:dyDescent="0.25">
      <c r="B146" s="753"/>
      <c r="C146" s="753"/>
      <c r="D146" s="753"/>
      <c r="E146" s="753"/>
      <c r="F146" s="753"/>
    </row>
    <row r="147" spans="2:6" x14ac:dyDescent="0.25">
      <c r="B147" s="753"/>
      <c r="C147" s="753"/>
      <c r="D147" s="753"/>
      <c r="E147" s="753"/>
      <c r="F147" s="753"/>
    </row>
    <row r="149" spans="2:6" x14ac:dyDescent="0.25">
      <c r="B149" s="721" t="s">
        <v>1000</v>
      </c>
      <c r="C149" s="721"/>
      <c r="D149" s="721"/>
      <c r="E149" s="721"/>
      <c r="F149" s="721"/>
    </row>
    <row r="151" spans="2:6" x14ac:dyDescent="0.25">
      <c r="B151" t="s">
        <v>1001</v>
      </c>
    </row>
    <row r="153" spans="2:6" x14ac:dyDescent="0.25">
      <c r="B153" s="721" t="s">
        <v>1002</v>
      </c>
      <c r="C153" s="721"/>
      <c r="D153" s="721"/>
      <c r="E153" s="721"/>
      <c r="F153" s="721"/>
    </row>
    <row r="155" spans="2:6" x14ac:dyDescent="0.25">
      <c r="B155" s="114" t="s">
        <v>1003</v>
      </c>
      <c r="C155" s="114" t="s">
        <v>1005</v>
      </c>
      <c r="D155" s="114" t="s">
        <v>569</v>
      </c>
      <c r="E155" s="114" t="s">
        <v>1004</v>
      </c>
      <c r="F155" s="114" t="s">
        <v>1006</v>
      </c>
    </row>
    <row r="157" spans="2:6" x14ac:dyDescent="0.25">
      <c r="B157" s="116" t="s">
        <v>773</v>
      </c>
      <c r="C157" s="114"/>
      <c r="D157" s="114"/>
      <c r="E157" s="114"/>
      <c r="F157" s="114"/>
    </row>
    <row r="158" spans="2:6" x14ac:dyDescent="0.25">
      <c r="B158" s="5" t="s">
        <v>4</v>
      </c>
      <c r="C158" s="754" t="s">
        <v>568</v>
      </c>
      <c r="D158" s="754">
        <v>64</v>
      </c>
      <c r="E158" s="757">
        <v>600000</v>
      </c>
      <c r="F158" s="757">
        <f>+E158*D158</f>
        <v>38400000</v>
      </c>
    </row>
    <row r="159" spans="2:6" x14ac:dyDescent="0.25">
      <c r="B159" s="5" t="s">
        <v>5</v>
      </c>
      <c r="C159" s="755"/>
      <c r="D159" s="755"/>
      <c r="E159" s="758"/>
      <c r="F159" s="758"/>
    </row>
    <row r="160" spans="2:6" x14ac:dyDescent="0.25">
      <c r="B160" s="5" t="s">
        <v>791</v>
      </c>
      <c r="C160" s="756"/>
      <c r="D160" s="756"/>
      <c r="E160" s="759"/>
      <c r="F160" s="759"/>
    </row>
    <row r="161" spans="2:6" x14ac:dyDescent="0.25">
      <c r="B161" s="5" t="s">
        <v>765</v>
      </c>
      <c r="C161" s="61" t="s">
        <v>769</v>
      </c>
      <c r="D161" s="61">
        <v>2</v>
      </c>
      <c r="E161" s="62">
        <v>10000000</v>
      </c>
      <c r="F161" s="62">
        <f>+D161*E161</f>
        <v>20000000</v>
      </c>
    </row>
    <row r="162" spans="2:6" x14ac:dyDescent="0.25">
      <c r="B162" s="116" t="s">
        <v>51</v>
      </c>
      <c r="C162" s="116"/>
      <c r="D162" s="116"/>
      <c r="E162" s="116"/>
      <c r="F162" s="116"/>
    </row>
    <row r="163" spans="2:6" x14ac:dyDescent="0.25">
      <c r="B163" s="5" t="s">
        <v>766</v>
      </c>
      <c r="C163" s="61" t="s">
        <v>568</v>
      </c>
      <c r="D163" s="61">
        <v>298</v>
      </c>
      <c r="E163" s="62">
        <v>600000</v>
      </c>
      <c r="F163" s="62">
        <f>+D163*E163</f>
        <v>178800000</v>
      </c>
    </row>
    <row r="164" spans="2:6" x14ac:dyDescent="0.25">
      <c r="B164" s="5" t="s">
        <v>766</v>
      </c>
      <c r="C164" s="61" t="s">
        <v>568</v>
      </c>
      <c r="D164" s="61">
        <v>300</v>
      </c>
      <c r="E164" s="62">
        <v>1000000</v>
      </c>
      <c r="F164" s="62">
        <f>+E164*D164</f>
        <v>300000000</v>
      </c>
    </row>
    <row r="165" spans="2:6" x14ac:dyDescent="0.25">
      <c r="B165" s="5" t="s">
        <v>528</v>
      </c>
      <c r="C165" s="754" t="s">
        <v>568</v>
      </c>
      <c r="D165" s="754">
        <v>480</v>
      </c>
      <c r="E165" s="757">
        <v>600000</v>
      </c>
      <c r="F165" s="757">
        <f>+E165*D165</f>
        <v>288000000</v>
      </c>
    </row>
    <row r="166" spans="2:6" x14ac:dyDescent="0.25">
      <c r="B166" s="5" t="s">
        <v>529</v>
      </c>
      <c r="C166" s="755"/>
      <c r="D166" s="755"/>
      <c r="E166" s="758"/>
      <c r="F166" s="758"/>
    </row>
    <row r="167" spans="2:6" x14ac:dyDescent="0.25">
      <c r="B167" s="5" t="s">
        <v>530</v>
      </c>
      <c r="C167" s="755"/>
      <c r="D167" s="755"/>
      <c r="E167" s="758"/>
      <c r="F167" s="758"/>
    </row>
    <row r="168" spans="2:6" x14ac:dyDescent="0.25">
      <c r="B168" s="5" t="s">
        <v>531</v>
      </c>
      <c r="C168" s="755"/>
      <c r="D168" s="755"/>
      <c r="E168" s="758"/>
      <c r="F168" s="758"/>
    </row>
    <row r="169" spans="2:6" x14ac:dyDescent="0.25">
      <c r="B169" s="5" t="s">
        <v>532</v>
      </c>
      <c r="C169" s="755"/>
      <c r="D169" s="755"/>
      <c r="E169" s="758"/>
      <c r="F169" s="758"/>
    </row>
    <row r="170" spans="2:6" x14ac:dyDescent="0.25">
      <c r="B170" s="5" t="s">
        <v>533</v>
      </c>
      <c r="C170" s="756"/>
      <c r="D170" s="756"/>
      <c r="E170" s="759"/>
      <c r="F170" s="759"/>
    </row>
    <row r="171" spans="2:6" x14ac:dyDescent="0.25">
      <c r="B171" s="5" t="s">
        <v>486</v>
      </c>
      <c r="C171" s="754" t="s">
        <v>568</v>
      </c>
      <c r="D171" s="754">
        <v>120</v>
      </c>
      <c r="E171" s="757">
        <v>600000</v>
      </c>
      <c r="F171" s="757">
        <f>+E171*D171</f>
        <v>72000000</v>
      </c>
    </row>
    <row r="172" spans="2:6" x14ac:dyDescent="0.25">
      <c r="B172" s="5" t="s">
        <v>486</v>
      </c>
      <c r="C172" s="755"/>
      <c r="D172" s="755"/>
      <c r="E172" s="758"/>
      <c r="F172" s="758"/>
    </row>
    <row r="173" spans="2:6" x14ac:dyDescent="0.25">
      <c r="B173" s="5" t="s">
        <v>486</v>
      </c>
      <c r="C173" s="756"/>
      <c r="D173" s="756"/>
      <c r="E173" s="759"/>
      <c r="F173" s="759"/>
    </row>
    <row r="174" spans="2:6" x14ac:dyDescent="0.25">
      <c r="B174" s="5" t="s">
        <v>784</v>
      </c>
      <c r="C174" s="754" t="s">
        <v>568</v>
      </c>
      <c r="D174" s="754">
        <v>320</v>
      </c>
      <c r="E174" s="757">
        <f>+F174/D174</f>
        <v>1000000</v>
      </c>
      <c r="F174" s="757">
        <v>320000000</v>
      </c>
    </row>
    <row r="175" spans="2:6" x14ac:dyDescent="0.25">
      <c r="B175" s="5" t="s">
        <v>785</v>
      </c>
      <c r="C175" s="755"/>
      <c r="D175" s="755"/>
      <c r="E175" s="758"/>
      <c r="F175" s="758"/>
    </row>
    <row r="176" spans="2:6" x14ac:dyDescent="0.25">
      <c r="B176" s="5" t="s">
        <v>786</v>
      </c>
      <c r="C176" s="755"/>
      <c r="D176" s="755"/>
      <c r="E176" s="758"/>
      <c r="F176" s="758"/>
    </row>
    <row r="177" spans="2:6" x14ac:dyDescent="0.25">
      <c r="B177" s="5" t="s">
        <v>787</v>
      </c>
      <c r="C177" s="756"/>
      <c r="D177" s="756"/>
      <c r="E177" s="759"/>
      <c r="F177" s="759"/>
    </row>
    <row r="178" spans="2:6" x14ac:dyDescent="0.25">
      <c r="B178" s="5" t="s">
        <v>823</v>
      </c>
      <c r="C178" s="117" t="s">
        <v>568</v>
      </c>
      <c r="D178" s="117">
        <v>10</v>
      </c>
      <c r="E178" s="118">
        <v>4000000</v>
      </c>
      <c r="F178" s="118">
        <f>+E178*D178</f>
        <v>40000000</v>
      </c>
    </row>
    <row r="179" spans="2:6" x14ac:dyDescent="0.25">
      <c r="B179" s="116" t="s">
        <v>12</v>
      </c>
      <c r="C179" s="116"/>
      <c r="D179" s="116"/>
      <c r="E179" s="116"/>
      <c r="F179" s="116"/>
    </row>
    <row r="180" spans="2:6" x14ac:dyDescent="0.25">
      <c r="B180" s="5" t="s">
        <v>776</v>
      </c>
      <c r="C180" s="61" t="s">
        <v>568</v>
      </c>
      <c r="D180" s="61">
        <v>224</v>
      </c>
      <c r="E180" s="62">
        <v>600000</v>
      </c>
      <c r="F180" s="62">
        <f>+E180*D180</f>
        <v>134400000</v>
      </c>
    </row>
    <row r="181" spans="2:6" x14ac:dyDescent="0.25">
      <c r="B181" s="5" t="s">
        <v>767</v>
      </c>
      <c r="C181" s="61" t="s">
        <v>568</v>
      </c>
      <c r="D181" s="61">
        <v>50</v>
      </c>
      <c r="E181" s="62">
        <v>400000</v>
      </c>
      <c r="F181" s="62">
        <f>+E181*D181</f>
        <v>20000000</v>
      </c>
    </row>
    <row r="182" spans="2:6" x14ac:dyDescent="0.25">
      <c r="B182" s="5" t="s">
        <v>768</v>
      </c>
      <c r="C182" s="61" t="s">
        <v>769</v>
      </c>
      <c r="D182" s="61">
        <v>1</v>
      </c>
      <c r="E182" s="62">
        <v>20000000</v>
      </c>
      <c r="F182" s="62">
        <f>+E182*D182</f>
        <v>20000000</v>
      </c>
    </row>
    <row r="183" spans="2:6" x14ac:dyDescent="0.25">
      <c r="B183" s="5" t="s">
        <v>16</v>
      </c>
      <c r="C183" s="754" t="s">
        <v>568</v>
      </c>
      <c r="D183" s="754">
        <v>360</v>
      </c>
      <c r="E183" s="757">
        <v>1200000</v>
      </c>
      <c r="F183" s="757">
        <f>+E183*D183</f>
        <v>432000000</v>
      </c>
    </row>
    <row r="184" spans="2:6" x14ac:dyDescent="0.25">
      <c r="B184" s="5" t="s">
        <v>18</v>
      </c>
      <c r="C184" s="755"/>
      <c r="D184" s="755"/>
      <c r="E184" s="758"/>
      <c r="F184" s="758"/>
    </row>
    <row r="185" spans="2:6" x14ac:dyDescent="0.25">
      <c r="B185" s="5" t="s">
        <v>777</v>
      </c>
      <c r="C185" s="755"/>
      <c r="D185" s="755"/>
      <c r="E185" s="758"/>
      <c r="F185" s="758"/>
    </row>
    <row r="186" spans="2:6" x14ac:dyDescent="0.25">
      <c r="B186" s="5" t="s">
        <v>778</v>
      </c>
      <c r="C186" s="755"/>
      <c r="D186" s="755"/>
      <c r="E186" s="758"/>
      <c r="F186" s="758"/>
    </row>
    <row r="187" spans="2:6" x14ac:dyDescent="0.25">
      <c r="B187" s="5" t="s">
        <v>28</v>
      </c>
      <c r="C187" s="755"/>
      <c r="D187" s="755"/>
      <c r="E187" s="758"/>
      <c r="F187" s="758"/>
    </row>
    <row r="188" spans="2:6" x14ac:dyDescent="0.25">
      <c r="B188" s="5" t="s">
        <v>779</v>
      </c>
      <c r="C188" s="755"/>
      <c r="D188" s="755"/>
      <c r="E188" s="758"/>
      <c r="F188" s="758"/>
    </row>
    <row r="189" spans="2:6" x14ac:dyDescent="0.25">
      <c r="B189" s="5" t="s">
        <v>770</v>
      </c>
      <c r="C189" s="756"/>
      <c r="D189" s="756"/>
      <c r="E189" s="759"/>
      <c r="F189" s="759"/>
    </row>
    <row r="190" spans="2:6" x14ac:dyDescent="0.25">
      <c r="B190" s="5" t="s">
        <v>780</v>
      </c>
      <c r="C190" s="117" t="s">
        <v>568</v>
      </c>
      <c r="D190" s="117">
        <v>60</v>
      </c>
      <c r="E190" s="118">
        <f>+F190/D190</f>
        <v>500000</v>
      </c>
      <c r="F190" s="118">
        <v>30000000</v>
      </c>
    </row>
    <row r="191" spans="2:6" x14ac:dyDescent="0.25">
      <c r="B191" s="5" t="s">
        <v>781</v>
      </c>
      <c r="C191" s="117" t="s">
        <v>568</v>
      </c>
      <c r="D191" s="117">
        <v>231</v>
      </c>
      <c r="E191" s="118">
        <v>500000</v>
      </c>
      <c r="F191" s="118">
        <f>+E191*D191</f>
        <v>115500000</v>
      </c>
    </row>
    <row r="192" spans="2:6" x14ac:dyDescent="0.25">
      <c r="B192" s="5" t="s">
        <v>771</v>
      </c>
      <c r="C192" s="117" t="s">
        <v>772</v>
      </c>
      <c r="D192" s="117">
        <v>25</v>
      </c>
      <c r="E192" s="118">
        <f>+F192/D192</f>
        <v>1000000</v>
      </c>
      <c r="F192" s="118">
        <v>25000000</v>
      </c>
    </row>
    <row r="193" spans="2:6" x14ac:dyDescent="0.25">
      <c r="B193" s="116" t="s">
        <v>788</v>
      </c>
      <c r="C193" s="116"/>
      <c r="D193" s="116"/>
      <c r="E193" s="116"/>
      <c r="F193" s="116"/>
    </row>
    <row r="194" spans="2:6" x14ac:dyDescent="0.25">
      <c r="B194" s="5" t="s">
        <v>789</v>
      </c>
      <c r="C194" s="61" t="s">
        <v>568</v>
      </c>
      <c r="D194" s="61">
        <v>25</v>
      </c>
      <c r="E194" s="62">
        <f>+F194/D194</f>
        <v>600000</v>
      </c>
      <c r="F194" s="62">
        <v>15000000</v>
      </c>
    </row>
    <row r="195" spans="2:6" x14ac:dyDescent="0.25">
      <c r="B195" s="116" t="s">
        <v>23</v>
      </c>
      <c r="C195" s="116"/>
      <c r="D195" s="116"/>
      <c r="E195" s="116"/>
      <c r="F195" s="116"/>
    </row>
    <row r="196" spans="2:6" x14ac:dyDescent="0.25">
      <c r="B196" s="5" t="s">
        <v>24</v>
      </c>
      <c r="C196" s="760" t="s">
        <v>568</v>
      </c>
      <c r="D196" s="760">
        <f>+F196/E196</f>
        <v>53</v>
      </c>
      <c r="E196" s="764">
        <v>1000000</v>
      </c>
      <c r="F196" s="764">
        <v>53000000</v>
      </c>
    </row>
    <row r="197" spans="2:6" x14ac:dyDescent="0.25">
      <c r="B197" s="5" t="s">
        <v>774</v>
      </c>
      <c r="C197" s="760"/>
      <c r="D197" s="760"/>
      <c r="E197" s="764"/>
      <c r="F197" s="764"/>
    </row>
    <row r="198" spans="2:6" x14ac:dyDescent="0.25">
      <c r="B198" s="5" t="s">
        <v>27</v>
      </c>
      <c r="C198" s="760"/>
      <c r="D198" s="760"/>
      <c r="E198" s="764"/>
      <c r="F198" s="764"/>
    </row>
    <row r="199" spans="2:6" x14ac:dyDescent="0.25">
      <c r="B199" s="5" t="s">
        <v>790</v>
      </c>
      <c r="C199" s="760"/>
      <c r="D199" s="760"/>
      <c r="E199" s="764"/>
      <c r="F199" s="764"/>
    </row>
    <row r="200" spans="2:6" x14ac:dyDescent="0.25">
      <c r="B200" s="5" t="s">
        <v>775</v>
      </c>
      <c r="C200" s="760"/>
      <c r="D200" s="760"/>
      <c r="E200" s="764"/>
      <c r="F200" s="764"/>
    </row>
    <row r="201" spans="2:6" x14ac:dyDescent="0.25">
      <c r="B201" s="5" t="s">
        <v>31</v>
      </c>
      <c r="C201" s="760"/>
      <c r="D201" s="760"/>
      <c r="E201" s="764"/>
      <c r="F201" s="764"/>
    </row>
    <row r="202" spans="2:6" x14ac:dyDescent="0.25">
      <c r="B202" s="5" t="s">
        <v>782</v>
      </c>
      <c r="C202" s="760"/>
      <c r="D202" s="760"/>
      <c r="E202" s="764"/>
      <c r="F202" s="764"/>
    </row>
    <row r="203" spans="2:6" x14ac:dyDescent="0.25">
      <c r="B203" s="116" t="s">
        <v>588</v>
      </c>
      <c r="C203" s="116"/>
      <c r="D203" s="116"/>
      <c r="E203" s="116"/>
      <c r="F203" s="116"/>
    </row>
    <row r="204" spans="2:6" x14ac:dyDescent="0.25">
      <c r="B204" s="5" t="s">
        <v>783</v>
      </c>
      <c r="C204" s="61" t="s">
        <v>568</v>
      </c>
      <c r="D204" s="61">
        <f>+F204/E204</f>
        <v>25</v>
      </c>
      <c r="E204" s="62">
        <v>600000</v>
      </c>
      <c r="F204" s="62">
        <v>15000000</v>
      </c>
    </row>
    <row r="205" spans="2:6" x14ac:dyDescent="0.25">
      <c r="B205" s="91" t="s">
        <v>763</v>
      </c>
      <c r="C205" s="91"/>
      <c r="D205" s="91"/>
      <c r="E205" s="91"/>
      <c r="F205" s="689"/>
    </row>
    <row r="206" spans="2:6" x14ac:dyDescent="0.25">
      <c r="B206" s="5" t="s">
        <v>764</v>
      </c>
      <c r="C206" s="61" t="s">
        <v>769</v>
      </c>
      <c r="D206" s="61">
        <v>1</v>
      </c>
      <c r="E206" s="62">
        <v>10000000</v>
      </c>
      <c r="F206" s="62">
        <f>+D206*E206</f>
        <v>10000000</v>
      </c>
    </row>
    <row r="207" spans="2:6" x14ac:dyDescent="0.25">
      <c r="B207" s="5" t="s">
        <v>792</v>
      </c>
      <c r="C207" s="61" t="s">
        <v>568</v>
      </c>
      <c r="D207" s="61">
        <v>250</v>
      </c>
      <c r="E207" s="62">
        <v>1200000</v>
      </c>
      <c r="F207" s="62">
        <f>+D207*E207</f>
        <v>300000000</v>
      </c>
    </row>
    <row r="208" spans="2:6" x14ac:dyDescent="0.25">
      <c r="B208" s="5" t="s">
        <v>793</v>
      </c>
      <c r="C208" s="61" t="s">
        <v>568</v>
      </c>
      <c r="D208" s="61">
        <f>80+40</f>
        <v>120</v>
      </c>
      <c r="E208" s="62">
        <f>+F208/D208</f>
        <v>533333.33333333337</v>
      </c>
      <c r="F208" s="62">
        <f>48000000+16000000</f>
        <v>64000000</v>
      </c>
    </row>
    <row r="209" spans="2:8" x14ac:dyDescent="0.25">
      <c r="B209" s="123" t="s">
        <v>834</v>
      </c>
      <c r="C209" s="124" t="s">
        <v>568</v>
      </c>
      <c r="D209" s="124">
        <f>+D208+D207+D204+D196+D194+D191+D190+D183+D181+D180+D178+D174+D171+D165+D164+D163+D158</f>
        <v>2990</v>
      </c>
      <c r="E209" s="125">
        <f>+F209/D209</f>
        <v>833143.81270903011</v>
      </c>
      <c r="F209" s="125">
        <f>+SUM(F158:F208)</f>
        <v>2491100000</v>
      </c>
    </row>
    <row r="210" spans="2:8" x14ac:dyDescent="0.25">
      <c r="B210" s="5"/>
      <c r="C210" s="61"/>
      <c r="D210" s="61"/>
      <c r="E210" s="62"/>
      <c r="F210" s="62"/>
    </row>
    <row r="211" spans="2:8" x14ac:dyDescent="0.25">
      <c r="B211" s="116" t="s">
        <v>827</v>
      </c>
      <c r="C211" s="116"/>
      <c r="D211" s="116"/>
      <c r="E211" s="116"/>
      <c r="F211" s="116"/>
    </row>
    <row r="212" spans="2:8" x14ac:dyDescent="0.25">
      <c r="B212" s="5" t="s">
        <v>46</v>
      </c>
      <c r="C212" s="61"/>
      <c r="D212" s="61">
        <v>1</v>
      </c>
      <c r="E212" s="62">
        <v>40000000</v>
      </c>
      <c r="F212" s="62">
        <f>+E212*D212</f>
        <v>40000000</v>
      </c>
    </row>
    <row r="213" spans="2:8" x14ac:dyDescent="0.25">
      <c r="B213" s="5" t="s">
        <v>825</v>
      </c>
      <c r="C213" s="61" t="s">
        <v>772</v>
      </c>
      <c r="D213" s="61">
        <v>16</v>
      </c>
      <c r="E213" s="62">
        <f>+F213/D213</f>
        <v>1000000</v>
      </c>
      <c r="F213" s="62">
        <v>16000000</v>
      </c>
    </row>
    <row r="214" spans="2:8" x14ac:dyDescent="0.25">
      <c r="B214" s="5" t="s">
        <v>826</v>
      </c>
      <c r="C214" s="61" t="s">
        <v>769</v>
      </c>
      <c r="D214" s="61">
        <v>150</v>
      </c>
      <c r="E214" s="62">
        <f>+F214/D214</f>
        <v>170000</v>
      </c>
      <c r="F214" s="62">
        <f>22500000+3000000</f>
        <v>25500000</v>
      </c>
    </row>
    <row r="215" spans="2:8" x14ac:dyDescent="0.25">
      <c r="B215" s="5" t="s">
        <v>828</v>
      </c>
      <c r="C215" s="61" t="s">
        <v>769</v>
      </c>
      <c r="D215" s="61">
        <v>30</v>
      </c>
      <c r="E215" s="62">
        <f>+F215/D215</f>
        <v>50000</v>
      </c>
      <c r="F215" s="62">
        <v>1500000</v>
      </c>
    </row>
    <row r="216" spans="2:8" x14ac:dyDescent="0.25">
      <c r="B216" s="5" t="s">
        <v>833</v>
      </c>
      <c r="C216" s="61"/>
      <c r="D216" s="61"/>
      <c r="E216" s="62"/>
      <c r="F216" s="62">
        <v>80000000</v>
      </c>
    </row>
    <row r="217" spans="2:8" x14ac:dyDescent="0.25">
      <c r="B217" s="5" t="s">
        <v>829</v>
      </c>
      <c r="C217" s="61"/>
      <c r="D217" s="61"/>
      <c r="E217" s="62"/>
      <c r="F217" s="62">
        <v>60000000</v>
      </c>
    </row>
    <row r="218" spans="2:8" x14ac:dyDescent="0.25">
      <c r="B218" s="5" t="s">
        <v>832</v>
      </c>
      <c r="C218" s="61"/>
      <c r="D218" s="61"/>
      <c r="E218" s="62"/>
      <c r="F218" s="62">
        <v>30000000</v>
      </c>
    </row>
    <row r="219" spans="2:8" x14ac:dyDescent="0.25">
      <c r="B219" s="5" t="s">
        <v>831</v>
      </c>
      <c r="C219" s="61"/>
      <c r="D219" s="61"/>
      <c r="E219" s="62"/>
      <c r="F219" s="62">
        <v>20000000</v>
      </c>
    </row>
    <row r="220" spans="2:8" x14ac:dyDescent="0.25">
      <c r="B220" s="5" t="s">
        <v>824</v>
      </c>
      <c r="C220" s="61"/>
      <c r="D220" s="61"/>
      <c r="E220" s="62"/>
      <c r="F220" s="62">
        <v>30000000</v>
      </c>
    </row>
    <row r="221" spans="2:8" x14ac:dyDescent="0.25">
      <c r="B221" s="123" t="s">
        <v>835</v>
      </c>
      <c r="C221" s="124"/>
      <c r="D221" s="124"/>
      <c r="E221" s="125"/>
      <c r="F221" s="125">
        <f>+SUM(F212:F220)</f>
        <v>303000000</v>
      </c>
    </row>
    <row r="222" spans="2:8" x14ac:dyDescent="0.25">
      <c r="B222" s="119"/>
      <c r="C222" s="120"/>
      <c r="D222" s="120"/>
      <c r="E222" s="121"/>
      <c r="F222" s="121"/>
    </row>
    <row r="223" spans="2:8" x14ac:dyDescent="0.25">
      <c r="B223" s="5" t="s">
        <v>836</v>
      </c>
      <c r="C223" s="61" t="s">
        <v>568</v>
      </c>
      <c r="D223" s="61">
        <v>9682</v>
      </c>
      <c r="E223" s="62">
        <v>100000</v>
      </c>
      <c r="F223" s="62">
        <f>+D223*E223</f>
        <v>968200000</v>
      </c>
    </row>
    <row r="224" spans="2:8" x14ac:dyDescent="0.25">
      <c r="B224" s="5" t="s">
        <v>567</v>
      </c>
      <c r="C224" s="61" t="s">
        <v>568</v>
      </c>
      <c r="D224" s="61">
        <f>+D209</f>
        <v>2990</v>
      </c>
      <c r="E224" s="62">
        <f>+F224/D224</f>
        <v>934481.60535117052</v>
      </c>
      <c r="F224" s="62">
        <f>+F221+F209</f>
        <v>2794100000</v>
      </c>
      <c r="H224" s="46">
        <f>+F209*2</f>
        <v>4982200000</v>
      </c>
    </row>
    <row r="225" spans="2:8" x14ac:dyDescent="0.25">
      <c r="B225" s="5"/>
      <c r="C225" s="61"/>
      <c r="D225" s="61"/>
      <c r="E225" s="62"/>
      <c r="F225" s="62"/>
      <c r="H225" s="46">
        <f>+F223</f>
        <v>968200000</v>
      </c>
    </row>
    <row r="226" spans="2:8" x14ac:dyDescent="0.25">
      <c r="B226" s="123" t="s">
        <v>1007</v>
      </c>
      <c r="C226" s="124"/>
      <c r="D226" s="124"/>
      <c r="E226" s="125"/>
      <c r="F226" s="125">
        <f>+F224+F223</f>
        <v>3762300000</v>
      </c>
    </row>
    <row r="227" spans="2:8" x14ac:dyDescent="0.25">
      <c r="H227" s="161">
        <f>+SUM(H224:H225)</f>
        <v>5950400000</v>
      </c>
    </row>
    <row r="228" spans="2:8" x14ac:dyDescent="0.25">
      <c r="B228" s="721" t="s">
        <v>1009</v>
      </c>
      <c r="C228" s="721"/>
      <c r="D228" s="721"/>
      <c r="E228" s="721"/>
      <c r="F228" s="721"/>
    </row>
    <row r="241" spans="2:6" x14ac:dyDescent="0.25">
      <c r="B241" s="26"/>
      <c r="C241" s="75"/>
      <c r="D241" s="75"/>
      <c r="E241" s="76"/>
      <c r="F241" s="76"/>
    </row>
  </sheetData>
  <mergeCells count="55">
    <mergeCell ref="D196:D202"/>
    <mergeCell ref="E196:E202"/>
    <mergeCell ref="F196:F202"/>
    <mergeCell ref="C183:C189"/>
    <mergeCell ref="B93:F94"/>
    <mergeCell ref="D183:D189"/>
    <mergeCell ref="E183:E189"/>
    <mergeCell ref="F183:F189"/>
    <mergeCell ref="C158:C160"/>
    <mergeCell ref="D158:D160"/>
    <mergeCell ref="E158:E160"/>
    <mergeCell ref="F158:F160"/>
    <mergeCell ref="C165:C170"/>
    <mergeCell ref="D165:D170"/>
    <mergeCell ref="E165:E170"/>
    <mergeCell ref="F165:F170"/>
    <mergeCell ref="F171:F173"/>
    <mergeCell ref="B78:E78"/>
    <mergeCell ref="B126:F126"/>
    <mergeCell ref="B128:F129"/>
    <mergeCell ref="B101:F106"/>
    <mergeCell ref="B109:F112"/>
    <mergeCell ref="B115:F119"/>
    <mergeCell ref="B122:F124"/>
    <mergeCell ref="B120:F120"/>
    <mergeCell ref="B113:F113"/>
    <mergeCell ref="B2:F2"/>
    <mergeCell ref="B90:F90"/>
    <mergeCell ref="B69:E69"/>
    <mergeCell ref="B71:F71"/>
    <mergeCell ref="B53:E53"/>
    <mergeCell ref="B58:F67"/>
    <mergeCell ref="B42:F42"/>
    <mergeCell ref="C49:F49"/>
    <mergeCell ref="B21:F21"/>
    <mergeCell ref="B31:F31"/>
    <mergeCell ref="B4:F4"/>
    <mergeCell ref="B17:F17"/>
    <mergeCell ref="B18:F18"/>
    <mergeCell ref="B228:F228"/>
    <mergeCell ref="B149:F149"/>
    <mergeCell ref="B153:F153"/>
    <mergeCell ref="B131:F131"/>
    <mergeCell ref="B133:F133"/>
    <mergeCell ref="B137:F137"/>
    <mergeCell ref="B141:F141"/>
    <mergeCell ref="B145:F147"/>
    <mergeCell ref="C174:C177"/>
    <mergeCell ref="D174:D177"/>
    <mergeCell ref="E174:E177"/>
    <mergeCell ref="F174:F177"/>
    <mergeCell ref="C196:C202"/>
    <mergeCell ref="C171:C173"/>
    <mergeCell ref="D171:D173"/>
    <mergeCell ref="E171:E173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D3:I41"/>
  <sheetViews>
    <sheetView topLeftCell="A28" workbookViewId="0">
      <selection activeCell="F42" sqref="F42"/>
    </sheetView>
  </sheetViews>
  <sheetFormatPr baseColWidth="10" defaultRowHeight="15" x14ac:dyDescent="0.25"/>
  <cols>
    <col min="4" max="4" width="38.28515625" style="15" bestFit="1" customWidth="1"/>
    <col min="5" max="5" width="33.5703125" bestFit="1" customWidth="1"/>
    <col min="6" max="6" width="26.7109375" style="53" bestFit="1" customWidth="1"/>
    <col min="9" max="9" width="47.5703125" bestFit="1" customWidth="1"/>
  </cols>
  <sheetData>
    <row r="3" spans="4:9" x14ac:dyDescent="0.25">
      <c r="D3" s="721" t="s">
        <v>849</v>
      </c>
      <c r="E3" s="721"/>
      <c r="F3" s="721"/>
      <c r="I3" t="s">
        <v>855</v>
      </c>
    </row>
    <row r="4" spans="4:9" x14ac:dyDescent="0.25">
      <c r="D4" s="14"/>
      <c r="E4" s="1"/>
      <c r="F4" s="29"/>
      <c r="I4" t="s">
        <v>856</v>
      </c>
    </row>
    <row r="5" spans="4:9" x14ac:dyDescent="0.25">
      <c r="D5" s="134" t="s">
        <v>850</v>
      </c>
      <c r="E5" s="134" t="s">
        <v>851</v>
      </c>
      <c r="F5" s="134" t="s">
        <v>1012</v>
      </c>
    </row>
    <row r="6" spans="4:9" x14ac:dyDescent="0.25">
      <c r="D6" s="14"/>
      <c r="E6" s="1"/>
      <c r="F6" s="29"/>
      <c r="I6" t="s">
        <v>857</v>
      </c>
    </row>
    <row r="7" spans="4:9" x14ac:dyDescent="0.25">
      <c r="D7" s="14">
        <v>1</v>
      </c>
      <c r="E7" s="1" t="s">
        <v>551</v>
      </c>
      <c r="F7" s="29">
        <f>+F10</f>
        <v>16960000</v>
      </c>
      <c r="I7" t="s">
        <v>858</v>
      </c>
    </row>
    <row r="8" spans="4:9" x14ac:dyDescent="0.25">
      <c r="D8" s="14">
        <v>2</v>
      </c>
      <c r="E8" s="1" t="s">
        <v>552</v>
      </c>
      <c r="F8" s="29">
        <f>+F21</f>
        <v>47000000</v>
      </c>
      <c r="I8" t="s">
        <v>859</v>
      </c>
    </row>
    <row r="9" spans="4:9" x14ac:dyDescent="0.25">
      <c r="D9" s="14"/>
      <c r="E9" s="1"/>
      <c r="F9" s="29"/>
      <c r="I9" t="s">
        <v>860</v>
      </c>
    </row>
    <row r="10" spans="4:9" x14ac:dyDescent="0.25">
      <c r="D10" s="126">
        <v>1</v>
      </c>
      <c r="E10" s="126" t="s">
        <v>553</v>
      </c>
      <c r="F10" s="130">
        <f>+SUM(F12:F19)</f>
        <v>16960000</v>
      </c>
      <c r="I10" t="s">
        <v>861</v>
      </c>
    </row>
    <row r="11" spans="4:9" x14ac:dyDescent="0.25">
      <c r="D11" s="14">
        <v>1.1000000000000001</v>
      </c>
      <c r="E11" s="1" t="s">
        <v>554</v>
      </c>
      <c r="F11" s="29"/>
    </row>
    <row r="12" spans="4:9" x14ac:dyDescent="0.25">
      <c r="D12" s="14" t="s">
        <v>562</v>
      </c>
      <c r="E12" s="1" t="s">
        <v>841</v>
      </c>
      <c r="F12" s="29">
        <f>1800000+E41</f>
        <v>6400000</v>
      </c>
      <c r="I12" t="s">
        <v>1428</v>
      </c>
    </row>
    <row r="13" spans="4:9" x14ac:dyDescent="0.25">
      <c r="D13" s="14" t="s">
        <v>563</v>
      </c>
      <c r="E13" s="1" t="s">
        <v>842</v>
      </c>
      <c r="F13" s="29">
        <v>500000</v>
      </c>
    </row>
    <row r="14" spans="4:9" x14ac:dyDescent="0.25">
      <c r="D14" s="14" t="s">
        <v>564</v>
      </c>
      <c r="E14" s="1" t="s">
        <v>555</v>
      </c>
      <c r="F14" s="29">
        <v>460000</v>
      </c>
    </row>
    <row r="15" spans="4:9" x14ac:dyDescent="0.25">
      <c r="D15" s="14">
        <v>1.2</v>
      </c>
      <c r="E15" s="1" t="s">
        <v>556</v>
      </c>
      <c r="F15" s="29">
        <v>2000000</v>
      </c>
    </row>
    <row r="16" spans="4:9" x14ac:dyDescent="0.25">
      <c r="D16" s="14">
        <v>1.3</v>
      </c>
      <c r="E16" s="1" t="s">
        <v>557</v>
      </c>
      <c r="F16" s="29">
        <v>4000000</v>
      </c>
    </row>
    <row r="17" spans="4:6" x14ac:dyDescent="0.25">
      <c r="D17" s="14">
        <v>1.4</v>
      </c>
      <c r="E17" s="1" t="s">
        <v>843</v>
      </c>
      <c r="F17" s="29"/>
    </row>
    <row r="18" spans="4:6" x14ac:dyDescent="0.25">
      <c r="D18" s="14" t="s">
        <v>565</v>
      </c>
      <c r="E18" s="1" t="s">
        <v>558</v>
      </c>
      <c r="F18" s="29">
        <v>2000000</v>
      </c>
    </row>
    <row r="19" spans="4:6" x14ac:dyDescent="0.25">
      <c r="D19" s="14" t="s">
        <v>566</v>
      </c>
      <c r="E19" s="1" t="s">
        <v>559</v>
      </c>
      <c r="F19" s="29">
        <v>1600000</v>
      </c>
    </row>
    <row r="20" spans="4:6" x14ac:dyDescent="0.25">
      <c r="D20" s="14"/>
      <c r="E20" s="1"/>
      <c r="F20" s="29"/>
    </row>
    <row r="21" spans="4:6" x14ac:dyDescent="0.25">
      <c r="D21" s="124">
        <v>2</v>
      </c>
      <c r="E21" s="124" t="s">
        <v>560</v>
      </c>
      <c r="F21" s="132">
        <f>+SUM(F22:F30)</f>
        <v>47000000</v>
      </c>
    </row>
    <row r="22" spans="4:6" x14ac:dyDescent="0.25">
      <c r="D22" s="14">
        <v>2.1</v>
      </c>
      <c r="E22" s="1" t="s">
        <v>561</v>
      </c>
      <c r="F22" s="29">
        <v>25000000</v>
      </c>
    </row>
    <row r="23" spans="4:6" x14ac:dyDescent="0.25">
      <c r="D23" s="14">
        <v>2.2000000000000002</v>
      </c>
      <c r="E23" s="1" t="s">
        <v>844</v>
      </c>
      <c r="F23" s="29">
        <v>4000000</v>
      </c>
    </row>
    <row r="24" spans="4:6" x14ac:dyDescent="0.25">
      <c r="D24" s="293">
        <v>2.2999999999999998</v>
      </c>
      <c r="E24" s="1" t="s">
        <v>845</v>
      </c>
      <c r="F24" s="29">
        <v>2000000</v>
      </c>
    </row>
    <row r="25" spans="4:6" x14ac:dyDescent="0.25">
      <c r="D25" s="293">
        <v>2.4</v>
      </c>
      <c r="E25" s="1" t="s">
        <v>846</v>
      </c>
      <c r="F25" s="29">
        <v>2000000</v>
      </c>
    </row>
    <row r="26" spans="4:6" x14ac:dyDescent="0.25">
      <c r="D26" s="293">
        <v>2.5</v>
      </c>
      <c r="E26" s="1" t="s">
        <v>847</v>
      </c>
      <c r="F26" s="29">
        <v>2000000</v>
      </c>
    </row>
    <row r="27" spans="4:6" x14ac:dyDescent="0.25">
      <c r="D27" s="293">
        <v>2.6</v>
      </c>
      <c r="E27" s="1" t="s">
        <v>853</v>
      </c>
      <c r="F27" s="29">
        <v>1500000</v>
      </c>
    </row>
    <row r="28" spans="4:6" x14ac:dyDescent="0.25">
      <c r="D28" s="293">
        <v>2.7</v>
      </c>
      <c r="E28" s="1" t="s">
        <v>852</v>
      </c>
      <c r="F28" s="29">
        <v>2000000</v>
      </c>
    </row>
    <row r="29" spans="4:6" x14ac:dyDescent="0.25">
      <c r="D29" s="293">
        <v>2.8</v>
      </c>
      <c r="E29" s="1" t="s">
        <v>854</v>
      </c>
      <c r="F29" s="29">
        <v>1500000</v>
      </c>
    </row>
    <row r="30" spans="4:6" x14ac:dyDescent="0.25">
      <c r="D30" s="293">
        <v>2.9</v>
      </c>
      <c r="E30" s="1" t="s">
        <v>848</v>
      </c>
      <c r="F30" s="29">
        <v>7000000</v>
      </c>
    </row>
    <row r="31" spans="4:6" x14ac:dyDescent="0.25">
      <c r="D31" s="14"/>
      <c r="E31" s="1"/>
      <c r="F31" s="29"/>
    </row>
    <row r="32" spans="4:6" x14ac:dyDescent="0.25">
      <c r="D32" s="133"/>
      <c r="E32" s="123" t="s">
        <v>840</v>
      </c>
      <c r="F32" s="132">
        <f>+F21+F10</f>
        <v>63960000</v>
      </c>
    </row>
    <row r="34" spans="4:6" x14ac:dyDescent="0.25">
      <c r="F34" s="48"/>
    </row>
    <row r="36" spans="4:6" x14ac:dyDescent="0.25">
      <c r="D36" s="127" t="s">
        <v>1114</v>
      </c>
      <c r="E36" s="128" t="s">
        <v>1116</v>
      </c>
    </row>
    <row r="37" spans="4:6" x14ac:dyDescent="0.25">
      <c r="D37" s="4" t="s">
        <v>1115</v>
      </c>
      <c r="E37" s="30"/>
    </row>
    <row r="38" spans="4:6" x14ac:dyDescent="0.25">
      <c r="D38" s="1" t="s">
        <v>1117</v>
      </c>
      <c r="E38" s="30">
        <v>600000</v>
      </c>
    </row>
    <row r="39" spans="4:6" x14ac:dyDescent="0.25">
      <c r="D39" s="1" t="s">
        <v>1118</v>
      </c>
      <c r="E39" s="30">
        <v>3000000</v>
      </c>
    </row>
    <row r="40" spans="4:6" x14ac:dyDescent="0.25">
      <c r="D40" s="1" t="s">
        <v>1119</v>
      </c>
      <c r="E40" s="30">
        <v>1000000</v>
      </c>
    </row>
    <row r="41" spans="4:6" x14ac:dyDescent="0.25">
      <c r="D41" s="157" t="s">
        <v>1102</v>
      </c>
      <c r="E41" s="159">
        <f>+SUM(E37:E40)</f>
        <v>4600000</v>
      </c>
    </row>
  </sheetData>
  <mergeCells count="1">
    <mergeCell ref="D3:F3"/>
  </mergeCells>
  <pageMargins left="0.7" right="0.7" top="0.75" bottom="0.75" header="0.3" footer="0.3"/>
  <pageSetup paperSize="9"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CDC14"/>
  </sheetPr>
  <dimension ref="A3:H318"/>
  <sheetViews>
    <sheetView topLeftCell="C289" zoomScale="90" zoomScaleNormal="90" workbookViewId="0">
      <selection activeCell="G296" sqref="G296"/>
    </sheetView>
  </sheetViews>
  <sheetFormatPr baseColWidth="10" defaultRowHeight="15" x14ac:dyDescent="0.25"/>
  <cols>
    <col min="2" max="2" width="66.28515625" bestFit="1" customWidth="1"/>
    <col min="3" max="3" width="64.5703125" customWidth="1"/>
    <col min="4" max="4" width="44.85546875" style="15" bestFit="1" customWidth="1"/>
    <col min="5" max="5" width="22.28515625" style="53" customWidth="1"/>
    <col min="6" max="6" width="14.85546875" style="53" bestFit="1" customWidth="1"/>
    <col min="7" max="7" width="31.140625" bestFit="1" customWidth="1"/>
    <col min="8" max="8" width="27.7109375" bestFit="1" customWidth="1"/>
  </cols>
  <sheetData>
    <row r="3" spans="2:8" x14ac:dyDescent="0.25">
      <c r="B3" s="721" t="s">
        <v>1018</v>
      </c>
      <c r="C3" s="721"/>
      <c r="D3" s="721"/>
      <c r="E3" s="721"/>
      <c r="F3" s="721"/>
    </row>
    <row r="5" spans="2:8" x14ac:dyDescent="0.25">
      <c r="B5" s="128" t="s">
        <v>733</v>
      </c>
      <c r="C5" s="128" t="s">
        <v>897</v>
      </c>
      <c r="D5" s="128" t="s">
        <v>1013</v>
      </c>
      <c r="E5" s="129" t="s">
        <v>1014</v>
      </c>
      <c r="F5" s="129" t="s">
        <v>1006</v>
      </c>
    </row>
    <row r="6" spans="2:8" x14ac:dyDescent="0.25">
      <c r="B6" s="14"/>
      <c r="C6" s="59"/>
      <c r="D6" s="14"/>
      <c r="E6" s="30"/>
      <c r="F6" s="30"/>
    </row>
    <row r="7" spans="2:8" x14ac:dyDescent="0.25">
      <c r="B7" s="54" t="s">
        <v>577</v>
      </c>
      <c r="C7" s="54"/>
      <c r="D7" s="14"/>
      <c r="E7" s="30"/>
      <c r="F7" s="30"/>
    </row>
    <row r="8" spans="2:8" x14ac:dyDescent="0.25">
      <c r="B8" s="14"/>
      <c r="C8" s="68"/>
      <c r="E8" s="30"/>
      <c r="F8" s="30"/>
    </row>
    <row r="9" spans="2:8" ht="91.5" customHeight="1" x14ac:dyDescent="0.25">
      <c r="B9" s="24" t="s">
        <v>597</v>
      </c>
      <c r="C9" s="70" t="s">
        <v>736</v>
      </c>
      <c r="D9" s="25">
        <v>1</v>
      </c>
      <c r="E9" s="33">
        <v>3500000</v>
      </c>
      <c r="F9" s="33">
        <f>+D9*E9</f>
        <v>3500000</v>
      </c>
    </row>
    <row r="10" spans="2:8" ht="109.5" customHeight="1" x14ac:dyDescent="0.25">
      <c r="B10" s="24" t="s">
        <v>598</v>
      </c>
      <c r="C10" s="69" t="s">
        <v>735</v>
      </c>
      <c r="D10" s="25">
        <v>1</v>
      </c>
      <c r="E10" s="33">
        <v>3000000</v>
      </c>
      <c r="F10" s="33">
        <f t="shared" ref="F10:F82" si="0">+D10*E10</f>
        <v>3000000</v>
      </c>
    </row>
    <row r="11" spans="2:8" ht="116.25" customHeight="1" x14ac:dyDescent="0.25">
      <c r="B11" s="24" t="s">
        <v>599</v>
      </c>
      <c r="C11" s="70" t="s">
        <v>734</v>
      </c>
      <c r="D11" s="25">
        <v>1</v>
      </c>
      <c r="E11" s="33">
        <v>1200000</v>
      </c>
      <c r="F11" s="33">
        <f t="shared" si="0"/>
        <v>1200000</v>
      </c>
    </row>
    <row r="12" spans="2:8" ht="189.75" customHeight="1" x14ac:dyDescent="0.25">
      <c r="B12" s="24" t="s">
        <v>738</v>
      </c>
      <c r="C12" s="70" t="s">
        <v>737</v>
      </c>
      <c r="D12" s="25">
        <v>1</v>
      </c>
      <c r="E12" s="33">
        <v>2000000</v>
      </c>
      <c r="F12" s="33">
        <f t="shared" si="0"/>
        <v>2000000</v>
      </c>
    </row>
    <row r="13" spans="2:8" ht="127.5" customHeight="1" x14ac:dyDescent="0.25">
      <c r="B13" s="24" t="s">
        <v>739</v>
      </c>
      <c r="C13" s="70" t="s">
        <v>740</v>
      </c>
      <c r="D13" s="25">
        <v>40</v>
      </c>
      <c r="E13" s="33">
        <v>250000</v>
      </c>
      <c r="F13" s="33">
        <f t="shared" si="0"/>
        <v>10000000</v>
      </c>
    </row>
    <row r="14" spans="2:8" ht="155.25" customHeight="1" x14ac:dyDescent="0.25">
      <c r="B14" s="24" t="s">
        <v>741</v>
      </c>
      <c r="C14" s="70"/>
      <c r="D14" s="25">
        <v>1</v>
      </c>
      <c r="E14" s="33">
        <v>4000000</v>
      </c>
      <c r="F14" s="33">
        <f t="shared" si="0"/>
        <v>4000000</v>
      </c>
    </row>
    <row r="15" spans="2:8" ht="116.25" customHeight="1" x14ac:dyDescent="0.25">
      <c r="B15" s="24" t="s">
        <v>725</v>
      </c>
      <c r="C15" s="24"/>
      <c r="D15" s="25">
        <v>1</v>
      </c>
      <c r="E15" s="33">
        <v>5849000</v>
      </c>
      <c r="F15" s="33">
        <f t="shared" si="0"/>
        <v>5849000</v>
      </c>
      <c r="H15" t="s">
        <v>727</v>
      </c>
    </row>
    <row r="16" spans="2:8" ht="116.25" customHeight="1" x14ac:dyDescent="0.25">
      <c r="B16" s="24" t="s">
        <v>1127</v>
      </c>
      <c r="C16" s="24"/>
      <c r="D16" s="25">
        <v>1</v>
      </c>
      <c r="E16" s="33">
        <v>20000000</v>
      </c>
      <c r="F16" s="33">
        <f t="shared" si="0"/>
        <v>20000000</v>
      </c>
    </row>
    <row r="17" spans="2:8" ht="174.75" customHeight="1" x14ac:dyDescent="0.25">
      <c r="B17" s="24" t="s">
        <v>750</v>
      </c>
      <c r="C17" s="24"/>
      <c r="D17" s="25">
        <v>5</v>
      </c>
      <c r="E17" s="33">
        <v>500000</v>
      </c>
      <c r="F17" s="33">
        <f t="shared" si="0"/>
        <v>2500000</v>
      </c>
      <c r="H17" t="s">
        <v>728</v>
      </c>
    </row>
    <row r="18" spans="2:8" x14ac:dyDescent="0.25">
      <c r="B18" s="1"/>
      <c r="C18" s="1"/>
      <c r="D18" s="14"/>
      <c r="E18" s="30"/>
      <c r="F18" s="30"/>
      <c r="H18" t="s">
        <v>729</v>
      </c>
    </row>
    <row r="19" spans="2:8" x14ac:dyDescent="0.25">
      <c r="B19" s="4" t="s">
        <v>578</v>
      </c>
      <c r="C19" s="4"/>
      <c r="D19" s="14"/>
      <c r="E19" s="30"/>
      <c r="F19" s="30"/>
      <c r="H19" t="s">
        <v>730</v>
      </c>
    </row>
    <row r="20" spans="2:8" x14ac:dyDescent="0.25">
      <c r="B20" s="1"/>
      <c r="C20" s="1"/>
      <c r="D20" s="14"/>
      <c r="E20" s="30"/>
      <c r="F20" s="30"/>
      <c r="H20" t="s">
        <v>731</v>
      </c>
    </row>
    <row r="21" spans="2:8" ht="159.75" customHeight="1" x14ac:dyDescent="0.25">
      <c r="B21" s="24" t="s">
        <v>601</v>
      </c>
      <c r="C21" s="70" t="s">
        <v>742</v>
      </c>
      <c r="D21" s="25">
        <v>10</v>
      </c>
      <c r="E21" s="33">
        <v>485000</v>
      </c>
      <c r="F21" s="33">
        <f t="shared" si="0"/>
        <v>4850000</v>
      </c>
      <c r="H21" t="s">
        <v>732</v>
      </c>
    </row>
    <row r="22" spans="2:8" x14ac:dyDescent="0.25">
      <c r="B22" s="1"/>
      <c r="C22" s="1"/>
      <c r="D22" s="14"/>
      <c r="E22" s="30"/>
      <c r="F22" s="30">
        <f t="shared" si="0"/>
        <v>0</v>
      </c>
    </row>
    <row r="23" spans="2:8" x14ac:dyDescent="0.25">
      <c r="B23" s="4" t="s">
        <v>579</v>
      </c>
      <c r="C23" s="4"/>
      <c r="D23" s="14"/>
      <c r="E23" s="30"/>
      <c r="F23" s="30">
        <f t="shared" si="0"/>
        <v>0</v>
      </c>
    </row>
    <row r="24" spans="2:8" x14ac:dyDescent="0.25">
      <c r="B24" s="1"/>
      <c r="C24" s="1"/>
      <c r="D24" s="14"/>
      <c r="E24" s="30"/>
      <c r="F24" s="30">
        <f t="shared" si="0"/>
        <v>0</v>
      </c>
    </row>
    <row r="25" spans="2:8" ht="114.75" customHeight="1" x14ac:dyDescent="0.25">
      <c r="B25" s="24" t="s">
        <v>600</v>
      </c>
      <c r="C25" s="24"/>
      <c r="D25" s="25">
        <v>50</v>
      </c>
      <c r="E25" s="33">
        <v>28000</v>
      </c>
      <c r="F25" s="33">
        <f t="shared" si="0"/>
        <v>1400000</v>
      </c>
    </row>
    <row r="26" spans="2:8" ht="114" customHeight="1" x14ac:dyDescent="0.25">
      <c r="B26" s="24" t="s">
        <v>602</v>
      </c>
      <c r="C26" s="24"/>
      <c r="D26" s="25">
        <v>1</v>
      </c>
      <c r="E26" s="33">
        <v>1980000</v>
      </c>
      <c r="F26" s="33">
        <f t="shared" si="0"/>
        <v>1980000</v>
      </c>
    </row>
    <row r="27" spans="2:8" ht="90.75" customHeight="1" x14ac:dyDescent="0.25">
      <c r="B27" s="24" t="s">
        <v>603</v>
      </c>
      <c r="C27" s="24"/>
      <c r="D27" s="25">
        <v>50</v>
      </c>
      <c r="E27" s="33">
        <v>35000</v>
      </c>
      <c r="F27" s="33">
        <f t="shared" si="0"/>
        <v>1750000</v>
      </c>
    </row>
    <row r="28" spans="2:8" x14ac:dyDescent="0.25">
      <c r="B28" s="1"/>
      <c r="C28" s="1"/>
      <c r="D28" s="14"/>
      <c r="E28" s="30"/>
      <c r="F28" s="30">
        <f t="shared" si="0"/>
        <v>0</v>
      </c>
    </row>
    <row r="29" spans="2:8" x14ac:dyDescent="0.25">
      <c r="B29" s="4" t="s">
        <v>576</v>
      </c>
      <c r="C29" s="4"/>
      <c r="D29" s="14"/>
      <c r="E29" s="30"/>
      <c r="F29" s="30">
        <f t="shared" si="0"/>
        <v>0</v>
      </c>
    </row>
    <row r="30" spans="2:8" x14ac:dyDescent="0.25">
      <c r="B30" s="14"/>
      <c r="C30" s="59"/>
      <c r="D30" s="14"/>
      <c r="E30" s="30"/>
      <c r="F30" s="30">
        <f t="shared" si="0"/>
        <v>0</v>
      </c>
    </row>
    <row r="31" spans="2:8" ht="109.5" customHeight="1" x14ac:dyDescent="0.25">
      <c r="B31" s="24" t="s">
        <v>604</v>
      </c>
      <c r="C31" s="24"/>
      <c r="D31" s="25">
        <v>3</v>
      </c>
      <c r="E31" s="33">
        <v>1179000</v>
      </c>
      <c r="F31" s="33">
        <f t="shared" si="0"/>
        <v>3537000</v>
      </c>
    </row>
    <row r="32" spans="2:8" ht="109.5" customHeight="1" x14ac:dyDescent="0.25">
      <c r="B32" s="24" t="s">
        <v>743</v>
      </c>
      <c r="C32" s="24"/>
      <c r="D32" s="25">
        <v>3</v>
      </c>
      <c r="E32" s="33">
        <v>879000</v>
      </c>
      <c r="F32" s="33">
        <f t="shared" si="0"/>
        <v>2637000</v>
      </c>
    </row>
    <row r="33" spans="2:6" x14ac:dyDescent="0.25">
      <c r="B33" s="24" t="s">
        <v>605</v>
      </c>
      <c r="C33" s="24"/>
      <c r="D33" s="25">
        <v>10</v>
      </c>
      <c r="E33" s="33">
        <v>150000</v>
      </c>
      <c r="F33" s="33">
        <f t="shared" si="0"/>
        <v>1500000</v>
      </c>
    </row>
    <row r="34" spans="2:6" ht="114" customHeight="1" x14ac:dyDescent="0.25">
      <c r="B34" s="24" t="s">
        <v>747</v>
      </c>
      <c r="C34" s="70" t="s">
        <v>748</v>
      </c>
      <c r="D34" s="25">
        <f>45-36</f>
        <v>9</v>
      </c>
      <c r="E34" s="33">
        <v>155900</v>
      </c>
      <c r="F34" s="33">
        <f t="shared" si="0"/>
        <v>1403100</v>
      </c>
    </row>
    <row r="35" spans="2:6" ht="108" customHeight="1" x14ac:dyDescent="0.25">
      <c r="B35" s="24" t="s">
        <v>752</v>
      </c>
      <c r="C35" s="24"/>
      <c r="D35" s="25">
        <v>1</v>
      </c>
      <c r="E35" s="33">
        <v>1294000</v>
      </c>
      <c r="F35" s="33">
        <f t="shared" si="0"/>
        <v>1294000</v>
      </c>
    </row>
    <row r="36" spans="2:6" ht="99" customHeight="1" x14ac:dyDescent="0.25">
      <c r="B36" s="24" t="s">
        <v>606</v>
      </c>
      <c r="C36" s="24"/>
      <c r="D36" s="25">
        <v>1</v>
      </c>
      <c r="E36" s="33">
        <v>2099000</v>
      </c>
      <c r="F36" s="33">
        <f t="shared" si="0"/>
        <v>2099000</v>
      </c>
    </row>
    <row r="37" spans="2:6" ht="168" customHeight="1" x14ac:dyDescent="0.25">
      <c r="B37" s="24" t="s">
        <v>749</v>
      </c>
      <c r="C37" s="24"/>
      <c r="D37" s="25">
        <v>1</v>
      </c>
      <c r="E37" s="33">
        <v>5000000</v>
      </c>
      <c r="F37" s="33">
        <f t="shared" si="0"/>
        <v>5000000</v>
      </c>
    </row>
    <row r="38" spans="2:6" ht="124.5" customHeight="1" x14ac:dyDescent="0.25">
      <c r="B38" s="24" t="s">
        <v>618</v>
      </c>
      <c r="C38" s="24"/>
      <c r="D38" s="25">
        <v>1</v>
      </c>
      <c r="E38" s="33">
        <v>64900</v>
      </c>
      <c r="F38" s="33">
        <f t="shared" si="0"/>
        <v>64900</v>
      </c>
    </row>
    <row r="39" spans="2:6" ht="98.25" customHeight="1" x14ac:dyDescent="0.25">
      <c r="B39" s="24" t="s">
        <v>608</v>
      </c>
      <c r="C39" s="24"/>
      <c r="D39" s="25">
        <v>1</v>
      </c>
      <c r="E39" s="33">
        <v>1516900</v>
      </c>
      <c r="F39" s="33">
        <f t="shared" si="0"/>
        <v>1516900</v>
      </c>
    </row>
    <row r="40" spans="2:6" ht="88.5" customHeight="1" x14ac:dyDescent="0.25">
      <c r="B40" s="24" t="s">
        <v>751</v>
      </c>
      <c r="C40" s="24"/>
      <c r="D40" s="25">
        <v>1</v>
      </c>
      <c r="E40" s="33">
        <v>872000</v>
      </c>
      <c r="F40" s="33">
        <f t="shared" si="0"/>
        <v>872000</v>
      </c>
    </row>
    <row r="41" spans="2:6" x14ac:dyDescent="0.25">
      <c r="B41" s="24" t="s">
        <v>610</v>
      </c>
      <c r="C41" s="24"/>
      <c r="D41" s="25">
        <v>4</v>
      </c>
      <c r="E41" s="33">
        <v>299900</v>
      </c>
      <c r="F41" s="33">
        <f t="shared" si="0"/>
        <v>1199600</v>
      </c>
    </row>
    <row r="42" spans="2:6" x14ac:dyDescent="0.25">
      <c r="B42" s="24" t="s">
        <v>611</v>
      </c>
      <c r="C42" s="24"/>
      <c r="D42" s="25">
        <v>1</v>
      </c>
      <c r="E42" s="33">
        <v>1699900</v>
      </c>
      <c r="F42" s="33">
        <f t="shared" si="0"/>
        <v>1699900</v>
      </c>
    </row>
    <row r="43" spans="2:6" x14ac:dyDescent="0.25">
      <c r="B43" s="24" t="s">
        <v>612</v>
      </c>
      <c r="C43" s="24"/>
      <c r="D43" s="25">
        <v>1</v>
      </c>
      <c r="E43" s="33">
        <v>199000</v>
      </c>
      <c r="F43" s="33">
        <f t="shared" si="0"/>
        <v>199000</v>
      </c>
    </row>
    <row r="44" spans="2:6" x14ac:dyDescent="0.25">
      <c r="B44" s="24" t="s">
        <v>613</v>
      </c>
      <c r="C44" s="24"/>
      <c r="D44" s="25">
        <v>5</v>
      </c>
      <c r="E44" s="33">
        <v>37990</v>
      </c>
      <c r="F44" s="33">
        <f t="shared" si="0"/>
        <v>189950</v>
      </c>
    </row>
    <row r="45" spans="2:6" x14ac:dyDescent="0.25">
      <c r="B45" s="24" t="s">
        <v>614</v>
      </c>
      <c r="C45" s="24"/>
      <c r="D45" s="25">
        <v>1</v>
      </c>
      <c r="E45" s="33">
        <v>236990</v>
      </c>
      <c r="F45" s="33">
        <f t="shared" si="0"/>
        <v>236990</v>
      </c>
    </row>
    <row r="46" spans="2:6" x14ac:dyDescent="0.25">
      <c r="B46" s="24" t="s">
        <v>615</v>
      </c>
      <c r="C46" s="24"/>
      <c r="D46" s="25">
        <v>1</v>
      </c>
      <c r="E46" s="33">
        <v>89990</v>
      </c>
      <c r="F46" s="33">
        <f t="shared" si="0"/>
        <v>89990</v>
      </c>
    </row>
    <row r="47" spans="2:6" x14ac:dyDescent="0.25">
      <c r="B47" s="24" t="s">
        <v>616</v>
      </c>
      <c r="C47" s="24"/>
      <c r="D47" s="25">
        <v>3</v>
      </c>
      <c r="E47" s="33">
        <v>120000</v>
      </c>
      <c r="F47" s="33">
        <f t="shared" si="0"/>
        <v>360000</v>
      </c>
    </row>
    <row r="48" spans="2:6" ht="140.25" customHeight="1" x14ac:dyDescent="0.25">
      <c r="B48" s="24" t="s">
        <v>753</v>
      </c>
      <c r="C48" s="24"/>
      <c r="D48" s="25">
        <v>25</v>
      </c>
      <c r="E48" s="33">
        <v>28333</v>
      </c>
      <c r="F48" s="33">
        <f t="shared" si="0"/>
        <v>708325</v>
      </c>
    </row>
    <row r="49" spans="2:6" x14ac:dyDescent="0.25">
      <c r="B49" s="24" t="s">
        <v>617</v>
      </c>
      <c r="C49" s="24"/>
      <c r="D49" s="25">
        <v>36</v>
      </c>
      <c r="E49" s="33">
        <f>20*4000</f>
        <v>80000</v>
      </c>
      <c r="F49" s="33">
        <f t="shared" si="0"/>
        <v>2880000</v>
      </c>
    </row>
    <row r="50" spans="2:6" x14ac:dyDescent="0.25">
      <c r="B50" s="24" t="s">
        <v>754</v>
      </c>
      <c r="C50" s="24"/>
      <c r="D50" s="25">
        <v>10</v>
      </c>
      <c r="E50" s="33">
        <v>11000</v>
      </c>
      <c r="F50" s="33">
        <f t="shared" si="0"/>
        <v>110000</v>
      </c>
    </row>
    <row r="51" spans="2:6" ht="116.25" customHeight="1" x14ac:dyDescent="0.25">
      <c r="B51" s="24" t="s">
        <v>755</v>
      </c>
      <c r="C51" s="24"/>
      <c r="D51" s="25">
        <v>1</v>
      </c>
      <c r="E51" s="33">
        <v>3989000</v>
      </c>
      <c r="F51" s="33">
        <f t="shared" si="0"/>
        <v>3989000</v>
      </c>
    </row>
    <row r="52" spans="2:6" ht="124.5" customHeight="1" x14ac:dyDescent="0.25">
      <c r="B52" s="24" t="s">
        <v>710</v>
      </c>
      <c r="C52" s="24"/>
      <c r="D52" s="25">
        <v>1</v>
      </c>
      <c r="E52" s="33">
        <v>2000000</v>
      </c>
      <c r="F52" s="33">
        <f t="shared" si="0"/>
        <v>2000000</v>
      </c>
    </row>
    <row r="53" spans="2:6" x14ac:dyDescent="0.25">
      <c r="B53" s="24" t="s">
        <v>619</v>
      </c>
      <c r="C53" s="24"/>
      <c r="D53" s="25">
        <v>1</v>
      </c>
      <c r="E53" s="33">
        <v>679900</v>
      </c>
      <c r="F53" s="33">
        <f t="shared" si="0"/>
        <v>679900</v>
      </c>
    </row>
    <row r="54" spans="2:6" x14ac:dyDescent="0.25">
      <c r="B54" s="24" t="s">
        <v>620</v>
      </c>
      <c r="C54" s="24"/>
      <c r="D54" s="25">
        <v>4</v>
      </c>
      <c r="E54" s="33">
        <v>30000</v>
      </c>
      <c r="F54" s="33">
        <f t="shared" si="0"/>
        <v>120000</v>
      </c>
    </row>
    <row r="55" spans="2:6" ht="95.25" customHeight="1" x14ac:dyDescent="0.25">
      <c r="B55" s="24" t="s">
        <v>665</v>
      </c>
      <c r="C55" s="24"/>
      <c r="D55" s="25">
        <v>2</v>
      </c>
      <c r="E55" s="63">
        <v>24000</v>
      </c>
      <c r="F55" s="33">
        <f t="shared" si="0"/>
        <v>48000</v>
      </c>
    </row>
    <row r="56" spans="2:6" x14ac:dyDescent="0.25">
      <c r="B56" s="1"/>
      <c r="C56" s="1"/>
      <c r="D56" s="58"/>
      <c r="E56" s="30"/>
      <c r="F56" s="30">
        <f t="shared" si="0"/>
        <v>0</v>
      </c>
    </row>
    <row r="57" spans="2:6" x14ac:dyDescent="0.25">
      <c r="B57" s="4" t="s">
        <v>129</v>
      </c>
      <c r="C57" s="4"/>
      <c r="D57" s="14"/>
      <c r="E57" s="30"/>
      <c r="F57" s="30">
        <f t="shared" si="0"/>
        <v>0</v>
      </c>
    </row>
    <row r="58" spans="2:6" x14ac:dyDescent="0.25">
      <c r="B58" s="1"/>
      <c r="C58" s="1"/>
      <c r="D58" s="14"/>
      <c r="E58" s="30"/>
      <c r="F58" s="30">
        <f t="shared" si="0"/>
        <v>0</v>
      </c>
    </row>
    <row r="59" spans="2:6" ht="39" customHeight="1" x14ac:dyDescent="0.25">
      <c r="B59" s="24" t="s">
        <v>756</v>
      </c>
      <c r="C59" s="24"/>
      <c r="D59" s="25">
        <v>19</v>
      </c>
      <c r="E59" s="33">
        <v>549900</v>
      </c>
      <c r="F59" s="33">
        <f t="shared" si="0"/>
        <v>10448100</v>
      </c>
    </row>
    <row r="60" spans="2:6" ht="26.25" customHeight="1" x14ac:dyDescent="0.25">
      <c r="B60" s="24" t="s">
        <v>693</v>
      </c>
      <c r="C60" s="24"/>
      <c r="D60" s="25">
        <f>36-D59-2</f>
        <v>15</v>
      </c>
      <c r="E60" s="33">
        <v>1049900</v>
      </c>
      <c r="F60" s="33">
        <f t="shared" si="0"/>
        <v>15748500</v>
      </c>
    </row>
    <row r="61" spans="2:6" ht="26.25" customHeight="1" x14ac:dyDescent="0.25">
      <c r="B61" s="24" t="s">
        <v>692</v>
      </c>
      <c r="C61" s="24"/>
      <c r="D61" s="60">
        <v>2</v>
      </c>
      <c r="E61" s="33">
        <f>+E36</f>
        <v>2099000</v>
      </c>
      <c r="F61" s="33">
        <f t="shared" si="0"/>
        <v>4198000</v>
      </c>
    </row>
    <row r="62" spans="2:6" ht="141" customHeight="1" x14ac:dyDescent="0.25">
      <c r="B62" s="24" t="s">
        <v>621</v>
      </c>
      <c r="C62" s="24"/>
      <c r="D62" s="25">
        <v>36</v>
      </c>
      <c r="E62" s="33">
        <f>+E38</f>
        <v>64900</v>
      </c>
      <c r="F62" s="33">
        <f t="shared" si="0"/>
        <v>2336400</v>
      </c>
    </row>
    <row r="63" spans="2:6" ht="120" customHeight="1" x14ac:dyDescent="0.25">
      <c r="B63" s="24" t="s">
        <v>747</v>
      </c>
      <c r="C63" s="24"/>
      <c r="D63" s="25">
        <v>36</v>
      </c>
      <c r="E63" s="33">
        <f>+E34</f>
        <v>155900</v>
      </c>
      <c r="F63" s="33">
        <f t="shared" si="0"/>
        <v>5612400</v>
      </c>
    </row>
    <row r="64" spans="2:6" ht="90.75" customHeight="1" x14ac:dyDescent="0.25">
      <c r="B64" s="24" t="s">
        <v>607</v>
      </c>
      <c r="C64" s="24"/>
      <c r="D64" s="25">
        <v>36</v>
      </c>
      <c r="E64" s="33">
        <f>+E39</f>
        <v>1516900</v>
      </c>
      <c r="F64" s="33">
        <f t="shared" si="0"/>
        <v>54608400</v>
      </c>
    </row>
    <row r="65" spans="2:6" ht="92.25" customHeight="1" x14ac:dyDescent="0.25">
      <c r="B65" s="24" t="s">
        <v>757</v>
      </c>
      <c r="C65" s="24"/>
      <c r="D65" s="25">
        <v>36</v>
      </c>
      <c r="E65" s="33">
        <f>10*4000</f>
        <v>40000</v>
      </c>
      <c r="F65" s="33">
        <f t="shared" si="0"/>
        <v>1440000</v>
      </c>
    </row>
    <row r="66" spans="2:6" x14ac:dyDescent="0.25">
      <c r="B66" s="24" t="s">
        <v>622</v>
      </c>
      <c r="C66" s="24"/>
      <c r="D66" s="25">
        <f>8+6+3+6</f>
        <v>23</v>
      </c>
      <c r="E66" s="63">
        <v>499000</v>
      </c>
      <c r="F66" s="33">
        <f t="shared" si="0"/>
        <v>11477000</v>
      </c>
    </row>
    <row r="67" spans="2:6" x14ac:dyDescent="0.25">
      <c r="B67" s="24" t="s">
        <v>623</v>
      </c>
      <c r="C67" s="24"/>
      <c r="D67" s="25">
        <v>5</v>
      </c>
      <c r="E67" s="63">
        <v>599000</v>
      </c>
      <c r="F67" s="33">
        <f t="shared" si="0"/>
        <v>2995000</v>
      </c>
    </row>
    <row r="68" spans="2:6" x14ac:dyDescent="0.25">
      <c r="B68" s="24" t="s">
        <v>624</v>
      </c>
      <c r="C68" s="24"/>
      <c r="D68" s="25">
        <f>48-D67-D66</f>
        <v>20</v>
      </c>
      <c r="E68" s="63">
        <v>399000</v>
      </c>
      <c r="F68" s="33">
        <f t="shared" si="0"/>
        <v>7980000</v>
      </c>
    </row>
    <row r="69" spans="2:6" ht="32.25" customHeight="1" x14ac:dyDescent="0.25">
      <c r="B69" s="24" t="s">
        <v>625</v>
      </c>
      <c r="C69" s="24"/>
      <c r="D69" s="25">
        <f>+D66</f>
        <v>23</v>
      </c>
      <c r="E69" s="63">
        <v>699990</v>
      </c>
      <c r="F69" s="33">
        <f>+D69*E69</f>
        <v>16099770</v>
      </c>
    </row>
    <row r="70" spans="2:6" ht="29.25" customHeight="1" x14ac:dyDescent="0.25">
      <c r="B70" s="24" t="s">
        <v>626</v>
      </c>
      <c r="C70" s="24"/>
      <c r="D70" s="25">
        <f>+D68</f>
        <v>20</v>
      </c>
      <c r="E70" s="63">
        <v>479000</v>
      </c>
      <c r="F70" s="33">
        <f t="shared" si="0"/>
        <v>9580000</v>
      </c>
    </row>
    <row r="71" spans="2:6" ht="45.75" customHeight="1" x14ac:dyDescent="0.25">
      <c r="B71" s="24" t="s">
        <v>627</v>
      </c>
      <c r="C71" s="24"/>
      <c r="D71" s="25">
        <f>+D67</f>
        <v>5</v>
      </c>
      <c r="E71" s="63">
        <v>999000</v>
      </c>
      <c r="F71" s="33">
        <f>+D71*E71</f>
        <v>4995000</v>
      </c>
    </row>
    <row r="72" spans="2:6" ht="117.75" customHeight="1" x14ac:dyDescent="0.25">
      <c r="B72" s="24" t="s">
        <v>794</v>
      </c>
      <c r="C72" s="24"/>
      <c r="D72" s="25">
        <f>+D69*2</f>
        <v>46</v>
      </c>
      <c r="E72" s="63">
        <v>46900</v>
      </c>
      <c r="F72" s="33">
        <f>+D72*E72</f>
        <v>2157400</v>
      </c>
    </row>
    <row r="73" spans="2:6" ht="122.25" customHeight="1" x14ac:dyDescent="0.25">
      <c r="B73" s="24" t="s">
        <v>795</v>
      </c>
      <c r="C73" s="24"/>
      <c r="D73" s="25">
        <f>+D70*2</f>
        <v>40</v>
      </c>
      <c r="E73" s="63">
        <v>36900</v>
      </c>
      <c r="F73" s="33">
        <f t="shared" ref="F73:F74" si="1">+D73*E73</f>
        <v>1476000</v>
      </c>
    </row>
    <row r="74" spans="2:6" ht="108.75" customHeight="1" x14ac:dyDescent="0.25">
      <c r="B74" s="24" t="s">
        <v>796</v>
      </c>
      <c r="C74" s="24"/>
      <c r="D74" s="25">
        <f>+D71*2</f>
        <v>10</v>
      </c>
      <c r="E74" s="63">
        <v>56900</v>
      </c>
      <c r="F74" s="33">
        <f t="shared" si="1"/>
        <v>569000</v>
      </c>
    </row>
    <row r="75" spans="2:6" ht="83.25" customHeight="1" x14ac:dyDescent="0.25">
      <c r="B75" s="24" t="s">
        <v>751</v>
      </c>
      <c r="C75" s="24"/>
      <c r="D75" s="25">
        <v>36</v>
      </c>
      <c r="E75" s="63">
        <f>+E40</f>
        <v>872000</v>
      </c>
      <c r="F75" s="33">
        <f t="shared" si="0"/>
        <v>31392000</v>
      </c>
    </row>
    <row r="76" spans="2:6" ht="32.25" customHeight="1" x14ac:dyDescent="0.25">
      <c r="B76" s="24" t="s">
        <v>628</v>
      </c>
      <c r="C76" s="24"/>
      <c r="D76" s="25">
        <v>13</v>
      </c>
      <c r="E76" s="63">
        <v>225000</v>
      </c>
      <c r="F76" s="33">
        <f t="shared" si="0"/>
        <v>2925000</v>
      </c>
    </row>
    <row r="77" spans="2:6" ht="24" customHeight="1" x14ac:dyDescent="0.25">
      <c r="B77" s="24" t="s">
        <v>609</v>
      </c>
      <c r="C77" s="24"/>
      <c r="D77" s="25">
        <v>36</v>
      </c>
      <c r="E77" s="63">
        <v>98000</v>
      </c>
      <c r="F77" s="33">
        <f t="shared" si="0"/>
        <v>3528000</v>
      </c>
    </row>
    <row r="78" spans="2:6" ht="110.25" customHeight="1" x14ac:dyDescent="0.25">
      <c r="B78" s="24" t="s">
        <v>629</v>
      </c>
      <c r="C78" s="24"/>
      <c r="D78" s="25">
        <v>36</v>
      </c>
      <c r="E78" s="63">
        <v>299900</v>
      </c>
      <c r="F78" s="33">
        <f t="shared" si="0"/>
        <v>10796400</v>
      </c>
    </row>
    <row r="79" spans="2:6" x14ac:dyDescent="0.25">
      <c r="B79" s="24" t="s">
        <v>630</v>
      </c>
      <c r="C79" s="24"/>
      <c r="D79" s="25">
        <v>36</v>
      </c>
      <c r="E79" s="63">
        <v>89900</v>
      </c>
      <c r="F79" s="33">
        <f t="shared" si="0"/>
        <v>3236400</v>
      </c>
    </row>
    <row r="80" spans="2:6" x14ac:dyDescent="0.25">
      <c r="B80" s="24" t="s">
        <v>631</v>
      </c>
      <c r="C80" s="24"/>
      <c r="D80" s="25">
        <v>36</v>
      </c>
      <c r="E80" s="63">
        <v>59900</v>
      </c>
      <c r="F80" s="33">
        <f t="shared" si="0"/>
        <v>2156400</v>
      </c>
    </row>
    <row r="81" spans="2:6" x14ac:dyDescent="0.25">
      <c r="B81" s="24" t="s">
        <v>639</v>
      </c>
      <c r="C81" s="24"/>
      <c r="D81" s="25">
        <v>36</v>
      </c>
      <c r="E81" s="63">
        <v>99900</v>
      </c>
      <c r="F81" s="33">
        <f t="shared" si="0"/>
        <v>3596400</v>
      </c>
    </row>
    <row r="82" spans="2:6" x14ac:dyDescent="0.25">
      <c r="B82" s="24" t="s">
        <v>638</v>
      </c>
      <c r="C82" s="24"/>
      <c r="D82" s="25">
        <v>2</v>
      </c>
      <c r="E82" s="63">
        <v>449900</v>
      </c>
      <c r="F82" s="33">
        <f t="shared" si="0"/>
        <v>899800</v>
      </c>
    </row>
    <row r="83" spans="2:6" x14ac:dyDescent="0.25">
      <c r="B83" s="24" t="s">
        <v>640</v>
      </c>
      <c r="C83" s="24"/>
      <c r="D83" s="25">
        <v>2</v>
      </c>
      <c r="E83" s="63">
        <v>399000</v>
      </c>
      <c r="F83" s="33">
        <f t="shared" ref="F83:F157" si="2">+D83*E83</f>
        <v>798000</v>
      </c>
    </row>
    <row r="84" spans="2:6" x14ac:dyDescent="0.25">
      <c r="B84" s="24" t="s">
        <v>641</v>
      </c>
      <c r="C84" s="24"/>
      <c r="D84" s="25">
        <v>2</v>
      </c>
      <c r="E84" s="63">
        <v>319900</v>
      </c>
      <c r="F84" s="33">
        <f t="shared" si="2"/>
        <v>639800</v>
      </c>
    </row>
    <row r="85" spans="2:6" ht="168" customHeight="1" x14ac:dyDescent="0.25">
      <c r="B85" s="24" t="s">
        <v>758</v>
      </c>
      <c r="C85" s="24"/>
      <c r="D85" s="25">
        <v>9</v>
      </c>
      <c r="E85" s="63">
        <f>1700*3500</f>
        <v>5950000</v>
      </c>
      <c r="F85" s="33">
        <f t="shared" si="2"/>
        <v>53550000</v>
      </c>
    </row>
    <row r="86" spans="2:6" ht="111.75" customHeight="1" x14ac:dyDescent="0.25">
      <c r="B86" s="24" t="s">
        <v>759</v>
      </c>
      <c r="C86" s="24"/>
      <c r="D86" s="25">
        <v>7</v>
      </c>
      <c r="E86" s="63">
        <f>300*3500</f>
        <v>1050000</v>
      </c>
      <c r="F86" s="33">
        <f t="shared" si="2"/>
        <v>7350000</v>
      </c>
    </row>
    <row r="87" spans="2:6" x14ac:dyDescent="0.25">
      <c r="B87" s="24" t="s">
        <v>632</v>
      </c>
      <c r="C87" s="24"/>
      <c r="D87" s="25">
        <v>36</v>
      </c>
      <c r="E87" s="63">
        <v>120000</v>
      </c>
      <c r="F87" s="33">
        <f t="shared" si="2"/>
        <v>4320000</v>
      </c>
    </row>
    <row r="88" spans="2:6" x14ac:dyDescent="0.25">
      <c r="B88" s="24" t="s">
        <v>643</v>
      </c>
      <c r="C88" s="24"/>
      <c r="D88" s="25">
        <v>36</v>
      </c>
      <c r="E88" s="63">
        <v>89900</v>
      </c>
      <c r="F88" s="33">
        <f t="shared" si="2"/>
        <v>3236400</v>
      </c>
    </row>
    <row r="89" spans="2:6" x14ac:dyDescent="0.25">
      <c r="B89" s="24" t="s">
        <v>633</v>
      </c>
      <c r="C89" s="24"/>
      <c r="D89" s="25">
        <v>36</v>
      </c>
      <c r="E89" s="63">
        <v>87447</v>
      </c>
      <c r="F89" s="33">
        <f t="shared" si="2"/>
        <v>3148092</v>
      </c>
    </row>
    <row r="90" spans="2:6" x14ac:dyDescent="0.25">
      <c r="B90" s="24" t="s">
        <v>898</v>
      </c>
      <c r="C90" s="24"/>
      <c r="D90" s="25">
        <v>36</v>
      </c>
      <c r="E90" s="63">
        <v>150000</v>
      </c>
      <c r="F90" s="33">
        <f t="shared" si="2"/>
        <v>5400000</v>
      </c>
    </row>
    <row r="91" spans="2:6" x14ac:dyDescent="0.25">
      <c r="B91" s="24" t="s">
        <v>634</v>
      </c>
      <c r="C91" s="24"/>
      <c r="D91" s="25">
        <f>36-19</f>
        <v>17</v>
      </c>
      <c r="E91" s="63">
        <v>149900</v>
      </c>
      <c r="F91" s="33">
        <f t="shared" si="2"/>
        <v>2548300</v>
      </c>
    </row>
    <row r="92" spans="2:6" ht="132" customHeight="1" x14ac:dyDescent="0.25">
      <c r="B92" s="24" t="s">
        <v>760</v>
      </c>
      <c r="C92" s="24"/>
      <c r="D92" s="25">
        <f>36-19</f>
        <v>17</v>
      </c>
      <c r="E92" s="63">
        <v>149900</v>
      </c>
      <c r="F92" s="33">
        <f t="shared" si="2"/>
        <v>2548300</v>
      </c>
    </row>
    <row r="93" spans="2:6" ht="40.5" customHeight="1" x14ac:dyDescent="0.25">
      <c r="B93" s="24" t="s">
        <v>797</v>
      </c>
      <c r="C93" s="24"/>
      <c r="D93" s="25">
        <f>+D69*3</f>
        <v>69</v>
      </c>
      <c r="E93" s="63">
        <v>59900</v>
      </c>
      <c r="F93" s="33">
        <f t="shared" si="2"/>
        <v>4133100</v>
      </c>
    </row>
    <row r="94" spans="2:6" ht="57.75" customHeight="1" x14ac:dyDescent="0.25">
      <c r="B94" s="24" t="s">
        <v>798</v>
      </c>
      <c r="C94" s="24"/>
      <c r="D94" s="25">
        <f>+D70*3</f>
        <v>60</v>
      </c>
      <c r="E94" s="63">
        <v>49900</v>
      </c>
      <c r="F94" s="33">
        <f t="shared" si="2"/>
        <v>2994000</v>
      </c>
    </row>
    <row r="95" spans="2:6" ht="57.75" customHeight="1" x14ac:dyDescent="0.25">
      <c r="B95" s="24" t="s">
        <v>799</v>
      </c>
      <c r="C95" s="24"/>
      <c r="D95" s="25">
        <f>+D71</f>
        <v>5</v>
      </c>
      <c r="E95" s="63">
        <v>69900</v>
      </c>
      <c r="F95" s="33">
        <f t="shared" si="2"/>
        <v>349500</v>
      </c>
    </row>
    <row r="96" spans="2:6" ht="57.75" customHeight="1" x14ac:dyDescent="0.25">
      <c r="B96" s="24" t="s">
        <v>800</v>
      </c>
      <c r="C96" s="24"/>
      <c r="D96" s="25">
        <f>+D69*2</f>
        <v>46</v>
      </c>
      <c r="E96" s="63">
        <v>114900</v>
      </c>
      <c r="F96" s="33">
        <f t="shared" si="2"/>
        <v>5285400</v>
      </c>
    </row>
    <row r="97" spans="2:6" ht="57.75" customHeight="1" x14ac:dyDescent="0.25">
      <c r="B97" s="24" t="s">
        <v>801</v>
      </c>
      <c r="C97" s="24"/>
      <c r="D97" s="25">
        <f>+D70*2</f>
        <v>40</v>
      </c>
      <c r="E97" s="63">
        <v>112900</v>
      </c>
      <c r="F97" s="33">
        <f t="shared" si="2"/>
        <v>4516000</v>
      </c>
    </row>
    <row r="98" spans="2:6" ht="57.75" customHeight="1" x14ac:dyDescent="0.25">
      <c r="B98" s="24" t="s">
        <v>802</v>
      </c>
      <c r="C98" s="24"/>
      <c r="D98" s="25">
        <f>+D74*2</f>
        <v>20</v>
      </c>
      <c r="E98" s="63">
        <v>157900</v>
      </c>
      <c r="F98" s="33">
        <f t="shared" si="2"/>
        <v>3158000</v>
      </c>
    </row>
    <row r="99" spans="2:6" ht="57.75" customHeight="1" x14ac:dyDescent="0.25">
      <c r="B99" s="24" t="s">
        <v>803</v>
      </c>
      <c r="C99" s="24"/>
      <c r="D99" s="25">
        <f>+D69*2</f>
        <v>46</v>
      </c>
      <c r="E99" s="63">
        <v>80650</v>
      </c>
      <c r="F99" s="33">
        <f t="shared" si="2"/>
        <v>3709900</v>
      </c>
    </row>
    <row r="100" spans="2:6" ht="57.75" customHeight="1" x14ac:dyDescent="0.25">
      <c r="B100" s="24" t="s">
        <v>804</v>
      </c>
      <c r="C100" s="24"/>
      <c r="D100" s="25">
        <f>+D70*2</f>
        <v>40</v>
      </c>
      <c r="E100" s="63">
        <v>70650</v>
      </c>
      <c r="F100" s="33">
        <f t="shared" si="2"/>
        <v>2826000</v>
      </c>
    </row>
    <row r="101" spans="2:6" ht="57.75" customHeight="1" x14ac:dyDescent="0.25">
      <c r="B101" s="24" t="s">
        <v>805</v>
      </c>
      <c r="C101" s="24"/>
      <c r="D101" s="25">
        <f>+D71*2</f>
        <v>10</v>
      </c>
      <c r="E101" s="63">
        <v>90650</v>
      </c>
      <c r="F101" s="33">
        <f t="shared" si="2"/>
        <v>906500</v>
      </c>
    </row>
    <row r="102" spans="2:6" ht="132" customHeight="1" x14ac:dyDescent="0.25">
      <c r="B102" s="24" t="s">
        <v>635</v>
      </c>
      <c r="C102" s="24"/>
      <c r="D102" s="25">
        <f>+D103</f>
        <v>96</v>
      </c>
      <c r="E102" s="63">
        <v>19900</v>
      </c>
      <c r="F102" s="33">
        <f t="shared" si="2"/>
        <v>1910400</v>
      </c>
    </row>
    <row r="103" spans="2:6" ht="129" customHeight="1" x14ac:dyDescent="0.25">
      <c r="B103" s="24" t="s">
        <v>700</v>
      </c>
      <c r="C103" s="24"/>
      <c r="D103" s="25">
        <f>48*2</f>
        <v>96</v>
      </c>
      <c r="E103" s="63">
        <v>47900</v>
      </c>
      <c r="F103" s="33">
        <f t="shared" si="2"/>
        <v>4598400</v>
      </c>
    </row>
    <row r="104" spans="2:6" ht="77.25" customHeight="1" x14ac:dyDescent="0.25">
      <c r="B104" s="24" t="s">
        <v>636</v>
      </c>
      <c r="C104" s="24"/>
      <c r="D104" s="25">
        <f>+D103</f>
        <v>96</v>
      </c>
      <c r="E104" s="63">
        <v>11900</v>
      </c>
      <c r="F104" s="33">
        <f t="shared" si="2"/>
        <v>1142400</v>
      </c>
    </row>
    <row r="105" spans="2:6" ht="69" customHeight="1" x14ac:dyDescent="0.25">
      <c r="B105" s="24" t="s">
        <v>637</v>
      </c>
      <c r="C105" s="24"/>
      <c r="D105" s="25">
        <v>2</v>
      </c>
      <c r="E105" s="63">
        <v>1200000</v>
      </c>
      <c r="F105" s="33">
        <f t="shared" si="2"/>
        <v>2400000</v>
      </c>
    </row>
    <row r="106" spans="2:6" ht="24" customHeight="1" x14ac:dyDescent="0.25">
      <c r="B106" s="24" t="s">
        <v>617</v>
      </c>
      <c r="C106" s="24"/>
      <c r="D106" s="25">
        <v>5</v>
      </c>
      <c r="E106" s="63">
        <f>45*3500</f>
        <v>157500</v>
      </c>
      <c r="F106" s="33">
        <f t="shared" si="2"/>
        <v>787500</v>
      </c>
    </row>
    <row r="107" spans="2:6" ht="27.75" customHeight="1" x14ac:dyDescent="0.25">
      <c r="B107" s="24" t="s">
        <v>642</v>
      </c>
      <c r="C107" s="24"/>
      <c r="D107" s="25">
        <v>36</v>
      </c>
      <c r="E107" s="63">
        <v>56000</v>
      </c>
      <c r="F107" s="33">
        <f t="shared" si="2"/>
        <v>2016000</v>
      </c>
    </row>
    <row r="108" spans="2:6" x14ac:dyDescent="0.25">
      <c r="D108" s="58"/>
      <c r="E108" s="29"/>
      <c r="F108" s="30">
        <f t="shared" si="2"/>
        <v>0</v>
      </c>
    </row>
    <row r="109" spans="2:6" x14ac:dyDescent="0.25">
      <c r="B109" s="4" t="s">
        <v>344</v>
      </c>
      <c r="C109" s="4"/>
      <c r="D109" s="14"/>
      <c r="E109" s="29"/>
      <c r="F109" s="30">
        <f t="shared" si="2"/>
        <v>0</v>
      </c>
    </row>
    <row r="110" spans="2:6" x14ac:dyDescent="0.25">
      <c r="B110" s="4"/>
      <c r="C110" s="4"/>
      <c r="D110" s="14"/>
      <c r="E110" s="29"/>
      <c r="F110" s="30">
        <f t="shared" si="2"/>
        <v>0</v>
      </c>
    </row>
    <row r="111" spans="2:6" ht="54" customHeight="1" x14ac:dyDescent="0.25">
      <c r="B111" s="24" t="s">
        <v>644</v>
      </c>
      <c r="C111" s="24"/>
      <c r="D111" s="25">
        <f>36*3</f>
        <v>108</v>
      </c>
      <c r="E111" s="63">
        <v>17900</v>
      </c>
      <c r="F111" s="33">
        <f t="shared" si="2"/>
        <v>1933200</v>
      </c>
    </row>
    <row r="112" spans="2:6" ht="42.75" customHeight="1" x14ac:dyDescent="0.25">
      <c r="B112" s="24" t="s">
        <v>574</v>
      </c>
      <c r="C112" s="24"/>
      <c r="D112" s="25">
        <f>36*3</f>
        <v>108</v>
      </c>
      <c r="E112" s="63">
        <v>10900</v>
      </c>
      <c r="F112" s="33">
        <f t="shared" si="2"/>
        <v>1177200</v>
      </c>
    </row>
    <row r="113" spans="2:7" ht="49.5" customHeight="1" x14ac:dyDescent="0.25">
      <c r="B113" s="24" t="s">
        <v>645</v>
      </c>
      <c r="C113" s="24"/>
      <c r="D113" s="25">
        <f>+D112</f>
        <v>108</v>
      </c>
      <c r="E113" s="63">
        <v>10900</v>
      </c>
      <c r="F113" s="33">
        <f t="shared" si="2"/>
        <v>1177200</v>
      </c>
    </row>
    <row r="114" spans="2:7" x14ac:dyDescent="0.25">
      <c r="B114" s="24" t="s">
        <v>701</v>
      </c>
      <c r="C114" s="24"/>
      <c r="D114" s="25">
        <f>36*3</f>
        <v>108</v>
      </c>
      <c r="E114" s="63">
        <v>15000</v>
      </c>
      <c r="F114" s="33">
        <f t="shared" si="2"/>
        <v>1620000</v>
      </c>
    </row>
    <row r="115" spans="2:7" ht="120.75" customHeight="1" x14ac:dyDescent="0.25">
      <c r="B115" s="24" t="s">
        <v>351</v>
      </c>
      <c r="C115" s="24"/>
      <c r="D115" s="25">
        <f>36*2</f>
        <v>72</v>
      </c>
      <c r="E115" s="63">
        <v>25390</v>
      </c>
      <c r="F115" s="33">
        <f t="shared" si="2"/>
        <v>1828080</v>
      </c>
    </row>
    <row r="116" spans="2:7" ht="111" customHeight="1" x14ac:dyDescent="0.25">
      <c r="B116" s="24" t="s">
        <v>646</v>
      </c>
      <c r="C116" s="24"/>
      <c r="D116" s="25">
        <v>36</v>
      </c>
      <c r="E116" s="63">
        <v>59900</v>
      </c>
      <c r="F116" s="33">
        <f t="shared" si="2"/>
        <v>2156400</v>
      </c>
    </row>
    <row r="117" spans="2:7" ht="104.25" customHeight="1" x14ac:dyDescent="0.25">
      <c r="B117" s="24" t="s">
        <v>647</v>
      </c>
      <c r="C117" s="24"/>
      <c r="D117" s="25">
        <v>36</v>
      </c>
      <c r="E117" s="63">
        <v>89900</v>
      </c>
      <c r="F117" s="33">
        <f t="shared" si="2"/>
        <v>3236400</v>
      </c>
    </row>
    <row r="118" spans="2:7" ht="104.25" customHeight="1" x14ac:dyDescent="0.25">
      <c r="B118" s="24" t="s">
        <v>665</v>
      </c>
      <c r="C118" s="24"/>
      <c r="D118" s="25">
        <v>36</v>
      </c>
      <c r="E118" s="63">
        <v>24000</v>
      </c>
      <c r="F118" s="33">
        <f t="shared" si="2"/>
        <v>864000</v>
      </c>
    </row>
    <row r="119" spans="2:7" ht="69.75" customHeight="1" x14ac:dyDescent="0.25">
      <c r="B119" s="24" t="s">
        <v>575</v>
      </c>
      <c r="C119" s="24"/>
      <c r="D119" s="25">
        <v>36</v>
      </c>
      <c r="E119" s="63">
        <v>12000</v>
      </c>
      <c r="F119" s="33">
        <f t="shared" si="2"/>
        <v>432000</v>
      </c>
    </row>
    <row r="120" spans="2:7" ht="93" customHeight="1" x14ac:dyDescent="0.25">
      <c r="B120" s="24" t="s">
        <v>761</v>
      </c>
      <c r="C120" s="24"/>
      <c r="D120" s="25">
        <v>1000</v>
      </c>
      <c r="E120" s="63">
        <v>1000</v>
      </c>
      <c r="F120" s="33">
        <f t="shared" si="2"/>
        <v>1000000</v>
      </c>
    </row>
    <row r="121" spans="2:7" x14ac:dyDescent="0.25">
      <c r="B121" s="1"/>
      <c r="C121" s="1"/>
      <c r="D121" s="14"/>
      <c r="E121" s="29"/>
      <c r="F121" s="30">
        <f t="shared" si="2"/>
        <v>0</v>
      </c>
    </row>
    <row r="122" spans="2:7" x14ac:dyDescent="0.25">
      <c r="B122" s="4" t="s">
        <v>582</v>
      </c>
      <c r="C122" s="4"/>
      <c r="D122" s="14"/>
      <c r="E122" s="29"/>
      <c r="F122" s="30">
        <f t="shared" si="2"/>
        <v>0</v>
      </c>
    </row>
    <row r="123" spans="2:7" x14ac:dyDescent="0.25">
      <c r="B123" s="1"/>
      <c r="C123" s="1"/>
      <c r="D123" s="14"/>
      <c r="E123" s="29"/>
      <c r="F123" s="30">
        <f t="shared" si="2"/>
        <v>0</v>
      </c>
    </row>
    <row r="124" spans="2:7" ht="112.5" customHeight="1" x14ac:dyDescent="0.25">
      <c r="B124" s="24" t="s">
        <v>648</v>
      </c>
      <c r="C124" s="24"/>
      <c r="D124" s="25">
        <v>100</v>
      </c>
      <c r="E124" s="63">
        <v>87000</v>
      </c>
      <c r="F124" s="33">
        <f t="shared" si="2"/>
        <v>8700000</v>
      </c>
      <c r="G124" s="46"/>
    </row>
    <row r="125" spans="2:7" ht="115.5" customHeight="1" x14ac:dyDescent="0.25">
      <c r="B125" s="24" t="s">
        <v>649</v>
      </c>
      <c r="C125" s="24"/>
      <c r="D125" s="25">
        <v>100</v>
      </c>
      <c r="E125" s="63">
        <v>22000</v>
      </c>
      <c r="F125" s="33">
        <f t="shared" si="2"/>
        <v>2200000</v>
      </c>
    </row>
    <row r="126" spans="2:7" ht="105" customHeight="1" x14ac:dyDescent="0.25">
      <c r="B126" s="24" t="s">
        <v>650</v>
      </c>
      <c r="C126" s="24"/>
      <c r="D126" s="25">
        <v>100</v>
      </c>
      <c r="E126" s="63">
        <v>5400</v>
      </c>
      <c r="F126" s="33">
        <f t="shared" si="2"/>
        <v>540000</v>
      </c>
    </row>
    <row r="127" spans="2:7" ht="118.5" customHeight="1" x14ac:dyDescent="0.25">
      <c r="B127" s="24" t="s">
        <v>651</v>
      </c>
      <c r="C127" s="24"/>
      <c r="D127" s="25">
        <v>200</v>
      </c>
      <c r="E127" s="63">
        <v>5500</v>
      </c>
      <c r="F127" s="33">
        <f t="shared" si="2"/>
        <v>1100000</v>
      </c>
    </row>
    <row r="128" spans="2:7" ht="118.5" customHeight="1" x14ac:dyDescent="0.25">
      <c r="B128" s="24" t="s">
        <v>652</v>
      </c>
      <c r="C128" s="24"/>
      <c r="D128" s="25">
        <v>100</v>
      </c>
      <c r="E128" s="63">
        <v>49900</v>
      </c>
      <c r="F128" s="33">
        <f t="shared" si="2"/>
        <v>4990000</v>
      </c>
    </row>
    <row r="129" spans="2:6" x14ac:dyDescent="0.25">
      <c r="B129" s="24" t="s">
        <v>653</v>
      </c>
      <c r="C129" s="24"/>
      <c r="D129" s="25">
        <v>15</v>
      </c>
      <c r="E129" s="63">
        <v>180000</v>
      </c>
      <c r="F129" s="33">
        <f t="shared" si="2"/>
        <v>2700000</v>
      </c>
    </row>
    <row r="130" spans="2:6" x14ac:dyDescent="0.25">
      <c r="B130" s="24" t="s">
        <v>862</v>
      </c>
      <c r="C130" s="24"/>
      <c r="D130" s="25">
        <v>8</v>
      </c>
      <c r="E130" s="63">
        <v>150000</v>
      </c>
      <c r="F130" s="33">
        <f t="shared" si="2"/>
        <v>1200000</v>
      </c>
    </row>
    <row r="131" spans="2:6" x14ac:dyDescent="0.25">
      <c r="B131" s="24" t="s">
        <v>654</v>
      </c>
      <c r="C131" s="24"/>
      <c r="D131" s="25">
        <v>82</v>
      </c>
      <c r="E131" s="63">
        <v>150000</v>
      </c>
      <c r="F131" s="33">
        <f t="shared" si="2"/>
        <v>12300000</v>
      </c>
    </row>
    <row r="132" spans="2:6" ht="132.75" customHeight="1" x14ac:dyDescent="0.25">
      <c r="B132" s="24" t="s">
        <v>655</v>
      </c>
      <c r="C132" s="24"/>
      <c r="D132" s="25">
        <v>1</v>
      </c>
      <c r="E132" s="63">
        <v>1075000</v>
      </c>
      <c r="F132" s="33">
        <f t="shared" si="2"/>
        <v>1075000</v>
      </c>
    </row>
    <row r="133" spans="2:6" ht="138.75" customHeight="1" x14ac:dyDescent="0.25">
      <c r="B133" s="24" t="s">
        <v>806</v>
      </c>
      <c r="C133" s="24"/>
      <c r="D133" s="25">
        <v>1</v>
      </c>
      <c r="E133" s="63">
        <v>2500000</v>
      </c>
      <c r="F133" s="33">
        <f t="shared" si="2"/>
        <v>2500000</v>
      </c>
    </row>
    <row r="134" spans="2:6" ht="147.75" customHeight="1" x14ac:dyDescent="0.25">
      <c r="B134" s="24" t="s">
        <v>807</v>
      </c>
      <c r="C134" s="24"/>
      <c r="D134" s="25">
        <v>1</v>
      </c>
      <c r="E134" s="63">
        <v>10000000</v>
      </c>
      <c r="F134" s="33">
        <f t="shared" si="2"/>
        <v>10000000</v>
      </c>
    </row>
    <row r="135" spans="2:6" ht="71.25" customHeight="1" x14ac:dyDescent="0.25">
      <c r="B135" s="24" t="s">
        <v>707</v>
      </c>
      <c r="C135" s="24"/>
      <c r="D135" s="25">
        <v>10</v>
      </c>
      <c r="E135" s="63">
        <v>209784</v>
      </c>
      <c r="F135" s="33">
        <f t="shared" si="2"/>
        <v>2097840</v>
      </c>
    </row>
    <row r="136" spans="2:6" ht="94.5" customHeight="1" x14ac:dyDescent="0.25">
      <c r="B136" s="24" t="s">
        <v>708</v>
      </c>
      <c r="C136" s="24"/>
      <c r="D136" s="25">
        <v>2</v>
      </c>
      <c r="E136" s="63">
        <v>427210</v>
      </c>
      <c r="F136" s="33">
        <f t="shared" si="2"/>
        <v>854420</v>
      </c>
    </row>
    <row r="137" spans="2:6" ht="105.75" customHeight="1" x14ac:dyDescent="0.25">
      <c r="B137" s="24" t="s">
        <v>709</v>
      </c>
      <c r="C137" s="24"/>
      <c r="D137" s="25">
        <v>10</v>
      </c>
      <c r="E137" s="63">
        <v>64564</v>
      </c>
      <c r="F137" s="33">
        <f t="shared" si="2"/>
        <v>645640</v>
      </c>
    </row>
    <row r="138" spans="2:6" ht="114" customHeight="1" x14ac:dyDescent="0.25">
      <c r="B138" s="24" t="s">
        <v>711</v>
      </c>
      <c r="C138" s="24"/>
      <c r="D138" s="25">
        <v>1</v>
      </c>
      <c r="E138" s="63">
        <v>132000</v>
      </c>
      <c r="F138" s="33">
        <f t="shared" si="2"/>
        <v>132000</v>
      </c>
    </row>
    <row r="139" spans="2:6" ht="126.75" customHeight="1" x14ac:dyDescent="0.25">
      <c r="B139" s="24" t="s">
        <v>712</v>
      </c>
      <c r="C139" s="24"/>
      <c r="D139" s="25">
        <v>1</v>
      </c>
      <c r="E139" s="63">
        <v>1959900</v>
      </c>
      <c r="F139" s="33">
        <f t="shared" si="2"/>
        <v>1959900</v>
      </c>
    </row>
    <row r="140" spans="2:6" ht="105.75" customHeight="1" x14ac:dyDescent="0.25">
      <c r="B140" s="24" t="s">
        <v>717</v>
      </c>
      <c r="C140" s="24"/>
      <c r="D140" s="25">
        <v>1</v>
      </c>
      <c r="E140" s="63">
        <v>818000</v>
      </c>
      <c r="F140" s="33">
        <f t="shared" si="2"/>
        <v>818000</v>
      </c>
    </row>
    <row r="141" spans="2:6" ht="108.75" customHeight="1" x14ac:dyDescent="0.25">
      <c r="B141" s="24" t="s">
        <v>718</v>
      </c>
      <c r="C141" s="24"/>
      <c r="D141" s="25">
        <v>1</v>
      </c>
      <c r="E141" s="63">
        <v>1350000</v>
      </c>
      <c r="F141" s="33">
        <f t="shared" si="2"/>
        <v>1350000</v>
      </c>
    </row>
    <row r="142" spans="2:6" ht="120.75" customHeight="1" x14ac:dyDescent="0.25">
      <c r="B142" s="24" t="s">
        <v>719</v>
      </c>
      <c r="C142" s="24"/>
      <c r="D142" s="25">
        <v>1</v>
      </c>
      <c r="E142" s="63">
        <v>1149000</v>
      </c>
      <c r="F142" s="33">
        <f t="shared" si="2"/>
        <v>1149000</v>
      </c>
    </row>
    <row r="143" spans="2:6" ht="114" customHeight="1" x14ac:dyDescent="0.25">
      <c r="B143" s="24" t="s">
        <v>720</v>
      </c>
      <c r="C143" s="24"/>
      <c r="D143" s="25">
        <v>1</v>
      </c>
      <c r="E143" s="63">
        <v>1350000</v>
      </c>
      <c r="F143" s="33">
        <f t="shared" ref="F143:F147" si="3">+D143*E143</f>
        <v>1350000</v>
      </c>
    </row>
    <row r="144" spans="2:6" ht="111.75" customHeight="1" x14ac:dyDescent="0.25">
      <c r="B144" s="64" t="s">
        <v>721</v>
      </c>
      <c r="C144" s="64"/>
      <c r="D144" s="25">
        <v>1</v>
      </c>
      <c r="E144" s="63">
        <v>1029000</v>
      </c>
      <c r="F144" s="33">
        <f t="shared" si="3"/>
        <v>1029000</v>
      </c>
    </row>
    <row r="145" spans="2:6" ht="120.75" customHeight="1" x14ac:dyDescent="0.25">
      <c r="B145" s="24" t="s">
        <v>722</v>
      </c>
      <c r="C145" s="24"/>
      <c r="D145" s="25">
        <v>1</v>
      </c>
      <c r="E145" s="63">
        <v>1025000</v>
      </c>
      <c r="F145" s="33">
        <f t="shared" si="3"/>
        <v>1025000</v>
      </c>
    </row>
    <row r="146" spans="2:6" ht="114" customHeight="1" x14ac:dyDescent="0.25">
      <c r="B146" s="24" t="s">
        <v>723</v>
      </c>
      <c r="C146" s="24"/>
      <c r="D146" s="25">
        <v>1</v>
      </c>
      <c r="E146" s="63">
        <v>125000</v>
      </c>
      <c r="F146" s="33">
        <f t="shared" si="3"/>
        <v>125000</v>
      </c>
    </row>
    <row r="147" spans="2:6" ht="116.25" customHeight="1" x14ac:dyDescent="0.25">
      <c r="B147" s="24" t="s">
        <v>724</v>
      </c>
      <c r="C147" s="24"/>
      <c r="D147" s="25">
        <v>1</v>
      </c>
      <c r="E147" s="63">
        <v>1089000</v>
      </c>
      <c r="F147" s="33">
        <f t="shared" si="3"/>
        <v>1089000</v>
      </c>
    </row>
    <row r="148" spans="2:6" ht="126.75" customHeight="1" x14ac:dyDescent="0.25">
      <c r="B148" s="24" t="s">
        <v>746</v>
      </c>
      <c r="C148" s="24"/>
      <c r="D148" s="25">
        <v>3</v>
      </c>
      <c r="E148" s="63">
        <v>486000</v>
      </c>
      <c r="F148" s="33">
        <f>+E148*D148</f>
        <v>1458000</v>
      </c>
    </row>
    <row r="149" spans="2:6" ht="126.75" customHeight="1" x14ac:dyDescent="0.25">
      <c r="B149" s="24" t="s">
        <v>837</v>
      </c>
      <c r="C149" s="24"/>
      <c r="D149" s="25">
        <v>1</v>
      </c>
      <c r="E149" s="63">
        <v>1500000</v>
      </c>
      <c r="F149" s="33">
        <f>+E149*D149</f>
        <v>1500000</v>
      </c>
    </row>
    <row r="150" spans="2:6" ht="60" x14ac:dyDescent="0.25">
      <c r="B150" s="78" t="s">
        <v>899</v>
      </c>
      <c r="C150" s="24"/>
      <c r="D150" s="25">
        <v>1</v>
      </c>
      <c r="E150" s="63">
        <v>4000000</v>
      </c>
      <c r="F150" s="33">
        <f>+E150*D150</f>
        <v>4000000</v>
      </c>
    </row>
    <row r="151" spans="2:6" x14ac:dyDescent="0.25">
      <c r="B151" s="24" t="s">
        <v>657</v>
      </c>
      <c r="C151" s="24"/>
      <c r="D151" s="25">
        <v>3</v>
      </c>
      <c r="E151" s="63">
        <v>300000</v>
      </c>
      <c r="F151" s="33">
        <f t="shared" si="2"/>
        <v>900000</v>
      </c>
    </row>
    <row r="152" spans="2:6" x14ac:dyDescent="0.25">
      <c r="B152" s="24" t="s">
        <v>658</v>
      </c>
      <c r="C152" s="24"/>
      <c r="D152" s="25">
        <v>3</v>
      </c>
      <c r="E152" s="63">
        <v>150000</v>
      </c>
      <c r="F152" s="33">
        <f t="shared" si="2"/>
        <v>450000</v>
      </c>
    </row>
    <row r="153" spans="2:6" ht="96" customHeight="1" x14ac:dyDescent="0.25">
      <c r="B153" s="24" t="s">
        <v>656</v>
      </c>
      <c r="C153" s="24"/>
      <c r="D153" s="25">
        <v>3</v>
      </c>
      <c r="E153" s="63">
        <f>+E118</f>
        <v>24000</v>
      </c>
      <c r="F153" s="33">
        <f t="shared" si="2"/>
        <v>72000</v>
      </c>
    </row>
    <row r="154" spans="2:6" x14ac:dyDescent="0.25">
      <c r="B154" s="1"/>
      <c r="C154" s="1"/>
      <c r="D154" s="14"/>
      <c r="E154" s="29"/>
      <c r="F154" s="30">
        <f t="shared" si="2"/>
        <v>0</v>
      </c>
    </row>
    <row r="155" spans="2:6" x14ac:dyDescent="0.25">
      <c r="B155" s="4" t="s">
        <v>583</v>
      </c>
      <c r="C155" s="4"/>
      <c r="D155" s="14"/>
      <c r="E155" s="29"/>
      <c r="F155" s="30">
        <f t="shared" si="2"/>
        <v>0</v>
      </c>
    </row>
    <row r="156" spans="2:6" x14ac:dyDescent="0.25">
      <c r="B156" s="1"/>
      <c r="C156" s="1"/>
      <c r="D156" s="14"/>
      <c r="E156" s="29"/>
      <c r="F156" s="30">
        <f t="shared" si="2"/>
        <v>0</v>
      </c>
    </row>
    <row r="157" spans="2:6" x14ac:dyDescent="0.25">
      <c r="B157" s="24" t="s">
        <v>659</v>
      </c>
      <c r="C157" s="24"/>
      <c r="D157" s="25">
        <v>1</v>
      </c>
      <c r="E157" s="63">
        <v>500000</v>
      </c>
      <c r="F157" s="33">
        <f t="shared" si="2"/>
        <v>500000</v>
      </c>
    </row>
    <row r="158" spans="2:6" x14ac:dyDescent="0.25">
      <c r="B158" s="1"/>
      <c r="C158" s="1"/>
      <c r="D158" s="58"/>
      <c r="E158" s="29"/>
      <c r="F158" s="30">
        <f t="shared" ref="F158:F241" si="4">+D158*E158</f>
        <v>0</v>
      </c>
    </row>
    <row r="159" spans="2:6" x14ac:dyDescent="0.25">
      <c r="B159" s="4" t="s">
        <v>660</v>
      </c>
      <c r="C159" s="4"/>
      <c r="D159" s="58"/>
      <c r="E159" s="29"/>
      <c r="F159" s="30">
        <f t="shared" si="4"/>
        <v>0</v>
      </c>
    </row>
    <row r="160" spans="2:6" x14ac:dyDescent="0.25">
      <c r="B160" s="1"/>
      <c r="C160" s="1"/>
      <c r="D160" s="58"/>
      <c r="E160" s="29"/>
      <c r="F160" s="30">
        <f t="shared" si="4"/>
        <v>0</v>
      </c>
    </row>
    <row r="161" spans="2:6" ht="117" customHeight="1" x14ac:dyDescent="0.25">
      <c r="B161" s="24" t="s">
        <v>808</v>
      </c>
      <c r="C161" s="24"/>
      <c r="D161" s="25">
        <v>2</v>
      </c>
      <c r="E161" s="63">
        <v>1599900</v>
      </c>
      <c r="F161" s="33">
        <f t="shared" si="4"/>
        <v>3199800</v>
      </c>
    </row>
    <row r="162" spans="2:6" ht="134.25" customHeight="1" x14ac:dyDescent="0.25">
      <c r="B162" s="24" t="s">
        <v>702</v>
      </c>
      <c r="C162" s="24"/>
      <c r="D162" s="25">
        <v>2</v>
      </c>
      <c r="E162" s="63">
        <v>1376900</v>
      </c>
      <c r="F162" s="33">
        <f>+D162*E162</f>
        <v>2753800</v>
      </c>
    </row>
    <row r="163" spans="2:6" ht="132" customHeight="1" x14ac:dyDescent="0.25">
      <c r="B163" s="24" t="s">
        <v>661</v>
      </c>
      <c r="C163" s="24"/>
      <c r="D163" s="25">
        <v>1</v>
      </c>
      <c r="E163" s="63">
        <v>1400000</v>
      </c>
      <c r="F163" s="33">
        <f t="shared" si="4"/>
        <v>1400000</v>
      </c>
    </row>
    <row r="164" spans="2:6" ht="98.25" customHeight="1" x14ac:dyDescent="0.25">
      <c r="B164" s="24" t="s">
        <v>662</v>
      </c>
      <c r="C164" s="24"/>
      <c r="D164" s="25">
        <v>1</v>
      </c>
      <c r="E164" s="63">
        <v>1739990</v>
      </c>
      <c r="F164" s="33">
        <f t="shared" si="4"/>
        <v>1739990</v>
      </c>
    </row>
    <row r="165" spans="2:6" ht="111.75" customHeight="1" x14ac:dyDescent="0.25">
      <c r="B165" s="24" t="s">
        <v>663</v>
      </c>
      <c r="C165" s="24"/>
      <c r="D165" s="25">
        <v>10</v>
      </c>
      <c r="E165" s="63">
        <v>229900</v>
      </c>
      <c r="F165" s="63">
        <f t="shared" si="4"/>
        <v>2299000</v>
      </c>
    </row>
    <row r="166" spans="2:6" ht="149.25" customHeight="1" x14ac:dyDescent="0.25">
      <c r="B166" s="24" t="s">
        <v>703</v>
      </c>
      <c r="C166" s="24"/>
      <c r="D166" s="25">
        <v>5</v>
      </c>
      <c r="E166" s="63">
        <v>59900</v>
      </c>
      <c r="F166" s="33">
        <f t="shared" si="4"/>
        <v>299500</v>
      </c>
    </row>
    <row r="167" spans="2:6" ht="83.25" customHeight="1" x14ac:dyDescent="0.25">
      <c r="B167" s="24" t="s">
        <v>809</v>
      </c>
      <c r="C167" s="24"/>
      <c r="D167" s="25">
        <v>3</v>
      </c>
      <c r="E167" s="63">
        <v>364990</v>
      </c>
      <c r="F167" s="33">
        <f t="shared" si="4"/>
        <v>1094970</v>
      </c>
    </row>
    <row r="168" spans="2:6" ht="101.25" customHeight="1" x14ac:dyDescent="0.25">
      <c r="B168" s="24" t="s">
        <v>704</v>
      </c>
      <c r="C168" s="24"/>
      <c r="D168" s="25">
        <v>2</v>
      </c>
      <c r="E168" s="63">
        <v>256900</v>
      </c>
      <c r="F168" s="33">
        <f t="shared" si="4"/>
        <v>513800</v>
      </c>
    </row>
    <row r="169" spans="2:6" ht="140.25" customHeight="1" x14ac:dyDescent="0.25">
      <c r="B169" s="24" t="s">
        <v>811</v>
      </c>
      <c r="C169" s="24"/>
      <c r="D169" s="25">
        <v>1</v>
      </c>
      <c r="E169" s="63">
        <f>535200+149000+12700+170000+106000+103000</f>
        <v>1075900</v>
      </c>
      <c r="F169" s="33">
        <f t="shared" si="4"/>
        <v>1075900</v>
      </c>
    </row>
    <row r="170" spans="2:6" ht="108" customHeight="1" x14ac:dyDescent="0.25">
      <c r="B170" s="24" t="s">
        <v>810</v>
      </c>
      <c r="C170" s="24"/>
      <c r="D170" s="25">
        <v>5</v>
      </c>
      <c r="E170" s="63">
        <v>58500</v>
      </c>
      <c r="F170" s="33">
        <f t="shared" si="4"/>
        <v>292500</v>
      </c>
    </row>
    <row r="171" spans="2:6" ht="171.75" customHeight="1" x14ac:dyDescent="0.25">
      <c r="B171" s="24" t="s">
        <v>705</v>
      </c>
      <c r="C171" s="24"/>
      <c r="D171" s="25">
        <v>1</v>
      </c>
      <c r="E171" s="63">
        <v>1645000</v>
      </c>
      <c r="F171" s="33">
        <f t="shared" si="4"/>
        <v>1645000</v>
      </c>
    </row>
    <row r="172" spans="2:6" ht="174.75" customHeight="1" x14ac:dyDescent="0.25">
      <c r="B172" s="24" t="s">
        <v>19</v>
      </c>
      <c r="C172" s="24"/>
      <c r="D172" s="25">
        <v>1</v>
      </c>
      <c r="E172" s="63">
        <v>7000000</v>
      </c>
      <c r="F172" s="33">
        <f t="shared" si="4"/>
        <v>7000000</v>
      </c>
    </row>
    <row r="173" spans="2:6" ht="120.75" customHeight="1" x14ac:dyDescent="0.25">
      <c r="B173" s="24" t="s">
        <v>665</v>
      </c>
      <c r="C173" s="24"/>
      <c r="D173" s="25">
        <v>2</v>
      </c>
      <c r="E173" s="63">
        <v>24000</v>
      </c>
      <c r="F173" s="33">
        <f t="shared" si="4"/>
        <v>48000</v>
      </c>
    </row>
    <row r="174" spans="2:6" x14ac:dyDescent="0.25">
      <c r="B174" s="1"/>
      <c r="C174" s="1"/>
      <c r="D174" s="58"/>
      <c r="E174" s="29"/>
      <c r="F174" s="29"/>
    </row>
    <row r="175" spans="2:6" x14ac:dyDescent="0.25">
      <c r="B175" s="4" t="s">
        <v>507</v>
      </c>
      <c r="C175" s="4"/>
      <c r="D175" s="14"/>
      <c r="E175" s="29"/>
      <c r="F175" s="30">
        <f t="shared" si="4"/>
        <v>0</v>
      </c>
    </row>
    <row r="176" spans="2:6" x14ac:dyDescent="0.25">
      <c r="B176" s="4"/>
      <c r="C176" s="4"/>
      <c r="D176" s="59"/>
      <c r="E176" s="29"/>
      <c r="F176" s="30"/>
    </row>
    <row r="177" spans="2:6" ht="118.5" customHeight="1" x14ac:dyDescent="0.25">
      <c r="B177" s="24" t="s">
        <v>812</v>
      </c>
      <c r="C177" s="24"/>
      <c r="D177" s="25">
        <v>1</v>
      </c>
      <c r="E177" s="63">
        <v>486000</v>
      </c>
      <c r="F177" s="33">
        <f>+E177*D177</f>
        <v>486000</v>
      </c>
    </row>
    <row r="178" spans="2:6" ht="108" customHeight="1" x14ac:dyDescent="0.25">
      <c r="B178" s="24" t="s">
        <v>813</v>
      </c>
      <c r="C178" s="32"/>
      <c r="D178" s="25">
        <v>2</v>
      </c>
      <c r="E178" s="63">
        <v>635000</v>
      </c>
      <c r="F178" s="33">
        <f>+E178*D178</f>
        <v>1270000</v>
      </c>
    </row>
    <row r="179" spans="2:6" ht="108" customHeight="1" x14ac:dyDescent="0.25">
      <c r="B179" s="24" t="s">
        <v>665</v>
      </c>
      <c r="C179" s="24"/>
      <c r="D179" s="25">
        <v>1</v>
      </c>
      <c r="E179" s="63">
        <v>24000</v>
      </c>
      <c r="F179" s="33">
        <f t="shared" ref="F179:F182" si="5">+D179*E179</f>
        <v>24000</v>
      </c>
    </row>
    <row r="180" spans="2:6" ht="108" customHeight="1" x14ac:dyDescent="0.25">
      <c r="B180" s="24" t="s">
        <v>644</v>
      </c>
      <c r="C180" s="24"/>
      <c r="D180" s="25">
        <v>4</v>
      </c>
      <c r="E180" s="63">
        <v>17900</v>
      </c>
      <c r="F180" s="33">
        <f t="shared" si="5"/>
        <v>71600</v>
      </c>
    </row>
    <row r="181" spans="2:6" ht="91.5" customHeight="1" x14ac:dyDescent="0.25">
      <c r="B181" s="24" t="s">
        <v>574</v>
      </c>
      <c r="C181" s="24"/>
      <c r="D181" s="25">
        <v>4</v>
      </c>
      <c r="E181" s="63">
        <v>10900</v>
      </c>
      <c r="F181" s="33">
        <f t="shared" si="5"/>
        <v>43600</v>
      </c>
    </row>
    <row r="182" spans="2:6" ht="91.5" customHeight="1" x14ac:dyDescent="0.25">
      <c r="B182" s="24" t="s">
        <v>351</v>
      </c>
      <c r="C182" s="24"/>
      <c r="D182" s="25">
        <v>4</v>
      </c>
      <c r="E182" s="63">
        <v>25390</v>
      </c>
      <c r="F182" s="33">
        <f t="shared" si="5"/>
        <v>101560</v>
      </c>
    </row>
    <row r="183" spans="2:6" x14ac:dyDescent="0.25">
      <c r="B183" s="4"/>
      <c r="C183" s="4"/>
      <c r="D183" s="59"/>
      <c r="E183" s="29"/>
      <c r="F183" s="30"/>
    </row>
    <row r="184" spans="2:6" x14ac:dyDescent="0.25">
      <c r="B184" s="4" t="s">
        <v>21</v>
      </c>
      <c r="C184" s="4"/>
      <c r="D184" s="14"/>
      <c r="E184" s="29"/>
      <c r="F184" s="30">
        <f t="shared" si="4"/>
        <v>0</v>
      </c>
    </row>
    <row r="185" spans="2:6" x14ac:dyDescent="0.25">
      <c r="B185" s="4"/>
      <c r="C185" s="4"/>
      <c r="D185" s="67"/>
      <c r="E185" s="29"/>
      <c r="F185" s="30"/>
    </row>
    <row r="186" spans="2:6" ht="127.5" customHeight="1" x14ac:dyDescent="0.25">
      <c r="B186" s="24" t="s">
        <v>814</v>
      </c>
      <c r="C186" s="32"/>
      <c r="D186" s="25">
        <v>1</v>
      </c>
      <c r="E186" s="63">
        <v>2400000</v>
      </c>
      <c r="F186" s="33">
        <f t="shared" ref="F186" si="6">+D186*E186</f>
        <v>2400000</v>
      </c>
    </row>
    <row r="187" spans="2:6" ht="105" customHeight="1" x14ac:dyDescent="0.25">
      <c r="B187" s="24" t="s">
        <v>665</v>
      </c>
      <c r="C187" s="24"/>
      <c r="D187" s="25">
        <v>1</v>
      </c>
      <c r="E187" s="63">
        <v>24000</v>
      </c>
      <c r="F187" s="33">
        <f t="shared" ref="F187" si="7">+D187*E187</f>
        <v>24000</v>
      </c>
    </row>
    <row r="188" spans="2:6" x14ac:dyDescent="0.25">
      <c r="B188" s="4"/>
      <c r="C188" s="4"/>
      <c r="D188" s="67"/>
      <c r="E188" s="29"/>
      <c r="F188" s="30"/>
    </row>
    <row r="189" spans="2:6" x14ac:dyDescent="0.25">
      <c r="B189" s="1"/>
      <c r="C189" s="1"/>
      <c r="D189" s="58"/>
      <c r="E189" s="29"/>
      <c r="F189" s="30">
        <f t="shared" si="4"/>
        <v>0</v>
      </c>
    </row>
    <row r="190" spans="2:6" x14ac:dyDescent="0.25">
      <c r="B190" s="1"/>
      <c r="C190" s="1"/>
      <c r="D190" s="58"/>
      <c r="E190" s="29"/>
      <c r="F190" s="30">
        <f t="shared" si="4"/>
        <v>0</v>
      </c>
    </row>
    <row r="191" spans="2:6" x14ac:dyDescent="0.25">
      <c r="B191" s="4" t="s">
        <v>674</v>
      </c>
      <c r="C191" s="4"/>
      <c r="D191" s="14"/>
      <c r="E191" s="29"/>
      <c r="F191" s="30">
        <f t="shared" si="4"/>
        <v>0</v>
      </c>
    </row>
    <row r="192" spans="2:6" x14ac:dyDescent="0.25">
      <c r="B192" s="1"/>
      <c r="C192" s="1"/>
      <c r="D192" s="58"/>
      <c r="E192" s="29"/>
      <c r="F192" s="30">
        <f t="shared" si="4"/>
        <v>0</v>
      </c>
    </row>
    <row r="193" spans="2:6" ht="89.25" customHeight="1" x14ac:dyDescent="0.25">
      <c r="B193" s="24" t="s">
        <v>698</v>
      </c>
      <c r="C193" s="24"/>
      <c r="D193" s="25">
        <v>100</v>
      </c>
      <c r="E193" s="63">
        <v>22900</v>
      </c>
      <c r="F193" s="33">
        <f t="shared" si="4"/>
        <v>2290000</v>
      </c>
    </row>
    <row r="194" spans="2:6" ht="135" customHeight="1" x14ac:dyDescent="0.25">
      <c r="B194" s="24" t="s">
        <v>699</v>
      </c>
      <c r="C194" s="24"/>
      <c r="D194" s="25">
        <v>50</v>
      </c>
      <c r="E194" s="63">
        <v>62900</v>
      </c>
      <c r="F194" s="33">
        <f t="shared" si="4"/>
        <v>3145000</v>
      </c>
    </row>
    <row r="195" spans="2:6" ht="135" customHeight="1" x14ac:dyDescent="0.25">
      <c r="B195" s="24" t="s">
        <v>815</v>
      </c>
      <c r="C195" s="24"/>
      <c r="D195" s="25">
        <v>3</v>
      </c>
      <c r="E195" s="63">
        <v>139900</v>
      </c>
      <c r="F195" s="33">
        <f t="shared" si="4"/>
        <v>419700</v>
      </c>
    </row>
    <row r="196" spans="2:6" ht="156" customHeight="1" x14ac:dyDescent="0.25">
      <c r="B196" s="24" t="s">
        <v>706</v>
      </c>
      <c r="C196" s="24"/>
      <c r="D196" s="25">
        <v>1</v>
      </c>
      <c r="E196" s="63">
        <f>469900+299900</f>
        <v>769800</v>
      </c>
      <c r="F196" s="33">
        <f t="shared" si="4"/>
        <v>769800</v>
      </c>
    </row>
    <row r="197" spans="2:6" ht="156" customHeight="1" x14ac:dyDescent="0.25">
      <c r="B197" s="24" t="s">
        <v>816</v>
      </c>
      <c r="C197" s="24"/>
      <c r="D197" s="25">
        <v>1</v>
      </c>
      <c r="E197" s="63">
        <v>5114990</v>
      </c>
      <c r="F197" s="33">
        <f t="shared" si="4"/>
        <v>5114990</v>
      </c>
    </row>
    <row r="198" spans="2:6" ht="117.75" customHeight="1" x14ac:dyDescent="0.25">
      <c r="B198" s="24" t="s">
        <v>746</v>
      </c>
      <c r="C198" s="24"/>
      <c r="D198" s="25">
        <v>3</v>
      </c>
      <c r="E198" s="63">
        <v>486000</v>
      </c>
      <c r="F198" s="33">
        <f>+E198*D198</f>
        <v>1458000</v>
      </c>
    </row>
    <row r="199" spans="2:6" ht="111" customHeight="1" x14ac:dyDescent="0.25">
      <c r="B199" s="24" t="s">
        <v>665</v>
      </c>
      <c r="C199" s="24"/>
      <c r="D199" s="25">
        <v>2</v>
      </c>
      <c r="E199" s="63">
        <v>24000</v>
      </c>
      <c r="F199" s="33">
        <f t="shared" ref="F199" si="8">+D199*E199</f>
        <v>48000</v>
      </c>
    </row>
    <row r="200" spans="2:6" x14ac:dyDescent="0.25">
      <c r="B200" s="1"/>
      <c r="C200" s="1"/>
      <c r="D200" s="59"/>
      <c r="E200" s="29"/>
      <c r="F200" s="30"/>
    </row>
    <row r="201" spans="2:6" x14ac:dyDescent="0.25">
      <c r="B201" s="1"/>
      <c r="C201" s="1"/>
      <c r="D201" s="59"/>
      <c r="E201" s="29"/>
      <c r="F201" s="30"/>
    </row>
    <row r="202" spans="2:6" x14ac:dyDescent="0.25">
      <c r="B202" s="4" t="s">
        <v>85</v>
      </c>
      <c r="C202" s="4"/>
      <c r="D202" s="58"/>
      <c r="E202" s="29"/>
      <c r="F202" s="30">
        <f t="shared" si="4"/>
        <v>0</v>
      </c>
    </row>
    <row r="203" spans="2:6" x14ac:dyDescent="0.25">
      <c r="B203" s="1"/>
      <c r="C203" s="1"/>
      <c r="D203" s="58"/>
      <c r="E203" s="29"/>
      <c r="F203" s="30">
        <f t="shared" si="4"/>
        <v>0</v>
      </c>
    </row>
    <row r="204" spans="2:6" x14ac:dyDescent="0.25">
      <c r="B204" s="24" t="s">
        <v>726</v>
      </c>
      <c r="C204" s="24"/>
      <c r="D204" s="25">
        <v>1</v>
      </c>
      <c r="E204" s="63">
        <v>20000000</v>
      </c>
      <c r="F204" s="33">
        <f t="shared" si="4"/>
        <v>20000000</v>
      </c>
    </row>
    <row r="205" spans="2:6" ht="113.25" customHeight="1" x14ac:dyDescent="0.25">
      <c r="B205" s="66" t="s">
        <v>676</v>
      </c>
      <c r="C205" s="66"/>
      <c r="D205" s="25">
        <v>10</v>
      </c>
      <c r="E205" s="63">
        <v>299900</v>
      </c>
      <c r="F205" s="33">
        <f t="shared" si="4"/>
        <v>2999000</v>
      </c>
    </row>
    <row r="206" spans="2:6" x14ac:dyDescent="0.25">
      <c r="B206" s="24" t="s">
        <v>677</v>
      </c>
      <c r="C206" s="24"/>
      <c r="D206" s="25">
        <v>5</v>
      </c>
      <c r="E206" s="63">
        <f>+E223</f>
        <v>1200000</v>
      </c>
      <c r="F206" s="33">
        <f t="shared" si="4"/>
        <v>6000000</v>
      </c>
    </row>
    <row r="207" spans="2:6" x14ac:dyDescent="0.25">
      <c r="B207" s="24" t="s">
        <v>631</v>
      </c>
      <c r="C207" s="24"/>
      <c r="D207" s="25">
        <f>+D206*2</f>
        <v>10</v>
      </c>
      <c r="E207" s="63">
        <v>12000</v>
      </c>
      <c r="F207" s="33">
        <f t="shared" si="4"/>
        <v>120000</v>
      </c>
    </row>
    <row r="208" spans="2:6" x14ac:dyDescent="0.25">
      <c r="B208" s="24" t="s">
        <v>678</v>
      </c>
      <c r="C208" s="24"/>
      <c r="D208" s="25">
        <f>+D206*3</f>
        <v>15</v>
      </c>
      <c r="E208" s="63">
        <v>45000</v>
      </c>
      <c r="F208" s="33">
        <f t="shared" si="4"/>
        <v>675000</v>
      </c>
    </row>
    <row r="209" spans="2:6" x14ac:dyDescent="0.25">
      <c r="B209" s="24" t="s">
        <v>679</v>
      </c>
      <c r="C209" s="24"/>
      <c r="D209" s="25">
        <v>1</v>
      </c>
      <c r="E209" s="63">
        <v>15000000</v>
      </c>
      <c r="F209" s="33">
        <f t="shared" si="4"/>
        <v>15000000</v>
      </c>
    </row>
    <row r="210" spans="2:6" x14ac:dyDescent="0.25">
      <c r="B210" s="1"/>
      <c r="C210" s="1"/>
      <c r="D210" s="58"/>
      <c r="E210" s="29"/>
      <c r="F210" s="30">
        <f t="shared" si="4"/>
        <v>0</v>
      </c>
    </row>
    <row r="211" spans="2:6" x14ac:dyDescent="0.25">
      <c r="B211" s="4" t="s">
        <v>13</v>
      </c>
      <c r="C211" s="4"/>
      <c r="D211" s="58"/>
      <c r="E211" s="29"/>
      <c r="F211" s="30">
        <f t="shared" si="4"/>
        <v>0</v>
      </c>
    </row>
    <row r="212" spans="2:6" x14ac:dyDescent="0.25">
      <c r="B212" s="1"/>
      <c r="C212" s="1"/>
      <c r="D212" s="58"/>
      <c r="E212" s="29"/>
      <c r="F212" s="30">
        <f t="shared" si="4"/>
        <v>0</v>
      </c>
    </row>
    <row r="213" spans="2:6" x14ac:dyDescent="0.25">
      <c r="B213" s="24" t="s">
        <v>680</v>
      </c>
      <c r="C213" s="24"/>
      <c r="D213" s="25">
        <v>1</v>
      </c>
      <c r="E213" s="63">
        <v>1700000</v>
      </c>
      <c r="F213" s="33">
        <f t="shared" si="4"/>
        <v>1700000</v>
      </c>
    </row>
    <row r="214" spans="2:6" x14ac:dyDescent="0.25">
      <c r="B214" s="24" t="s">
        <v>631</v>
      </c>
      <c r="C214" s="24"/>
      <c r="D214" s="25">
        <v>18</v>
      </c>
      <c r="E214" s="63">
        <v>120000</v>
      </c>
      <c r="F214" s="33">
        <f t="shared" si="4"/>
        <v>2160000</v>
      </c>
    </row>
    <row r="215" spans="2:6" x14ac:dyDescent="0.25">
      <c r="B215" s="24" t="s">
        <v>675</v>
      </c>
      <c r="C215" s="24"/>
      <c r="D215" s="25">
        <v>6</v>
      </c>
      <c r="E215" s="63">
        <v>180000</v>
      </c>
      <c r="F215" s="33">
        <f t="shared" si="4"/>
        <v>1080000</v>
      </c>
    </row>
    <row r="216" spans="2:6" ht="118.5" customHeight="1" x14ac:dyDescent="0.25">
      <c r="B216" s="24" t="s">
        <v>690</v>
      </c>
      <c r="C216" s="24"/>
      <c r="D216" s="25">
        <v>1</v>
      </c>
      <c r="E216" s="63">
        <f>+E59</f>
        <v>549900</v>
      </c>
      <c r="F216" s="33">
        <f t="shared" si="4"/>
        <v>549900</v>
      </c>
    </row>
    <row r="217" spans="2:6" ht="90" customHeight="1" x14ac:dyDescent="0.25">
      <c r="B217" s="24" t="s">
        <v>817</v>
      </c>
      <c r="C217" s="24"/>
      <c r="D217" s="25">
        <v>1</v>
      </c>
      <c r="E217" s="63">
        <f>+E230</f>
        <v>486000</v>
      </c>
      <c r="F217" s="33">
        <f t="shared" si="4"/>
        <v>486000</v>
      </c>
    </row>
    <row r="218" spans="2:6" x14ac:dyDescent="0.25">
      <c r="B218" s="1"/>
      <c r="C218" s="1"/>
      <c r="D218" s="58"/>
      <c r="E218" s="29"/>
      <c r="F218" s="30">
        <f t="shared" si="4"/>
        <v>0</v>
      </c>
    </row>
    <row r="219" spans="2:6" x14ac:dyDescent="0.25">
      <c r="B219" s="4" t="s">
        <v>14</v>
      </c>
      <c r="C219" s="4"/>
      <c r="D219" s="58"/>
      <c r="E219" s="29"/>
      <c r="F219" s="30">
        <f t="shared" si="4"/>
        <v>0</v>
      </c>
    </row>
    <row r="220" spans="2:6" x14ac:dyDescent="0.25">
      <c r="B220" s="1"/>
      <c r="C220" s="1"/>
      <c r="D220" s="58"/>
      <c r="E220" s="29"/>
      <c r="F220" s="30">
        <f t="shared" si="4"/>
        <v>0</v>
      </c>
    </row>
    <row r="221" spans="2:6" x14ac:dyDescent="0.25">
      <c r="B221" s="24" t="s">
        <v>681</v>
      </c>
      <c r="C221" s="24"/>
      <c r="D221" s="25">
        <v>1</v>
      </c>
      <c r="E221" s="63">
        <f>4600*4000</f>
        <v>18400000</v>
      </c>
      <c r="F221" s="33">
        <f t="shared" si="4"/>
        <v>18400000</v>
      </c>
    </row>
    <row r="222" spans="2:6" x14ac:dyDescent="0.25">
      <c r="B222" s="24" t="s">
        <v>682</v>
      </c>
      <c r="C222" s="24"/>
      <c r="D222" s="25">
        <v>4</v>
      </c>
      <c r="E222" s="63">
        <f>+E205</f>
        <v>299900</v>
      </c>
      <c r="F222" s="33">
        <f t="shared" si="4"/>
        <v>1199600</v>
      </c>
    </row>
    <row r="223" spans="2:6" x14ac:dyDescent="0.25">
      <c r="B223" s="24" t="s">
        <v>683</v>
      </c>
      <c r="C223" s="24"/>
      <c r="D223" s="25">
        <v>1</v>
      </c>
      <c r="E223" s="63">
        <f>300*4000</f>
        <v>1200000</v>
      </c>
      <c r="F223" s="33">
        <f t="shared" si="4"/>
        <v>1200000</v>
      </c>
    </row>
    <row r="224" spans="2:6" x14ac:dyDescent="0.25">
      <c r="B224" s="1"/>
      <c r="C224" s="1"/>
      <c r="D224" s="58"/>
      <c r="E224" s="29"/>
      <c r="F224" s="30">
        <f t="shared" si="4"/>
        <v>0</v>
      </c>
    </row>
    <row r="225" spans="2:6" x14ac:dyDescent="0.25">
      <c r="B225" s="4" t="s">
        <v>86</v>
      </c>
      <c r="C225" s="4"/>
      <c r="D225" s="58"/>
      <c r="E225" s="29"/>
      <c r="F225" s="30">
        <f t="shared" si="4"/>
        <v>0</v>
      </c>
    </row>
    <row r="226" spans="2:6" x14ac:dyDescent="0.25">
      <c r="B226" s="4"/>
      <c r="C226" s="4"/>
      <c r="D226" s="58"/>
      <c r="E226" s="29"/>
      <c r="F226" s="30">
        <f t="shared" si="4"/>
        <v>0</v>
      </c>
    </row>
    <row r="227" spans="2:6" x14ac:dyDescent="0.25">
      <c r="B227" s="66" t="s">
        <v>631</v>
      </c>
      <c r="C227" s="66"/>
      <c r="D227" s="25">
        <v>8</v>
      </c>
      <c r="E227" s="63">
        <f>+E80</f>
        <v>59900</v>
      </c>
      <c r="F227" s="33">
        <f t="shared" si="4"/>
        <v>479200</v>
      </c>
    </row>
    <row r="228" spans="2:6" ht="161.25" customHeight="1" x14ac:dyDescent="0.25">
      <c r="B228" s="66" t="s">
        <v>684</v>
      </c>
      <c r="C228" s="66"/>
      <c r="D228" s="25">
        <v>2</v>
      </c>
      <c r="E228" s="63">
        <v>1399900</v>
      </c>
      <c r="F228" s="33">
        <f t="shared" si="4"/>
        <v>2799800</v>
      </c>
    </row>
    <row r="229" spans="2:6" x14ac:dyDescent="0.25">
      <c r="B229" s="24" t="s">
        <v>616</v>
      </c>
      <c r="C229" s="24"/>
      <c r="D229" s="25">
        <v>2</v>
      </c>
      <c r="E229" s="63">
        <v>250000</v>
      </c>
      <c r="F229" s="33">
        <f t="shared" si="4"/>
        <v>500000</v>
      </c>
    </row>
    <row r="230" spans="2:6" ht="106.5" customHeight="1" x14ac:dyDescent="0.25">
      <c r="B230" s="24" t="s">
        <v>745</v>
      </c>
      <c r="C230" s="24"/>
      <c r="D230" s="25">
        <v>1</v>
      </c>
      <c r="E230" s="63">
        <f>+E177</f>
        <v>486000</v>
      </c>
      <c r="F230" s="33">
        <f t="shared" si="4"/>
        <v>486000</v>
      </c>
    </row>
    <row r="231" spans="2:6" ht="106.5" customHeight="1" x14ac:dyDescent="0.25">
      <c r="B231" s="24" t="s">
        <v>713</v>
      </c>
      <c r="C231" s="24"/>
      <c r="D231" s="25">
        <v>2</v>
      </c>
      <c r="E231" s="63">
        <f>+E140</f>
        <v>818000</v>
      </c>
      <c r="F231" s="33"/>
    </row>
    <row r="232" spans="2:6" ht="111.75" customHeight="1" x14ac:dyDescent="0.25">
      <c r="B232" s="24" t="s">
        <v>714</v>
      </c>
      <c r="C232" s="24"/>
      <c r="D232" s="25">
        <v>1</v>
      </c>
      <c r="E232" s="63">
        <v>2500000</v>
      </c>
      <c r="F232" s="33">
        <f>+D232*E232</f>
        <v>2500000</v>
      </c>
    </row>
    <row r="233" spans="2:6" ht="128.25" customHeight="1" x14ac:dyDescent="0.25">
      <c r="B233" s="24" t="s">
        <v>715</v>
      </c>
      <c r="C233" s="24"/>
      <c r="D233" s="25">
        <v>1</v>
      </c>
      <c r="E233" s="63">
        <v>3998000</v>
      </c>
      <c r="F233" s="33">
        <f>+D233*E233</f>
        <v>3998000</v>
      </c>
    </row>
    <row r="234" spans="2:6" ht="106.5" customHeight="1" x14ac:dyDescent="0.25">
      <c r="B234" s="24" t="s">
        <v>716</v>
      </c>
      <c r="C234" s="24"/>
      <c r="D234" s="25">
        <v>1</v>
      </c>
      <c r="E234" s="63">
        <v>404900</v>
      </c>
      <c r="F234" s="33">
        <f>+D234*E234</f>
        <v>404900</v>
      </c>
    </row>
    <row r="235" spans="2:6" x14ac:dyDescent="0.25">
      <c r="B235" s="1"/>
      <c r="C235" s="1"/>
      <c r="D235" s="58"/>
      <c r="E235" s="29"/>
      <c r="F235" s="30">
        <f t="shared" si="4"/>
        <v>0</v>
      </c>
    </row>
    <row r="236" spans="2:6" x14ac:dyDescent="0.25">
      <c r="B236" s="4" t="s">
        <v>97</v>
      </c>
      <c r="C236" s="4"/>
      <c r="D236" s="58"/>
      <c r="E236" s="29"/>
      <c r="F236" s="30">
        <f t="shared" si="4"/>
        <v>0</v>
      </c>
    </row>
    <row r="237" spans="2:6" x14ac:dyDescent="0.25">
      <c r="B237" s="1"/>
      <c r="C237" s="1"/>
      <c r="D237" s="58"/>
      <c r="E237" s="29"/>
      <c r="F237" s="30">
        <f t="shared" si="4"/>
        <v>0</v>
      </c>
    </row>
    <row r="238" spans="2:6" x14ac:dyDescent="0.25">
      <c r="B238" s="24" t="s">
        <v>675</v>
      </c>
      <c r="C238" s="24"/>
      <c r="D238" s="25">
        <v>1</v>
      </c>
      <c r="E238" s="63">
        <v>180000</v>
      </c>
      <c r="F238" s="33">
        <f t="shared" si="4"/>
        <v>180000</v>
      </c>
    </row>
    <row r="239" spans="2:6" x14ac:dyDescent="0.25">
      <c r="B239" s="24" t="s">
        <v>631</v>
      </c>
      <c r="C239" s="24"/>
      <c r="D239" s="25">
        <v>3</v>
      </c>
      <c r="E239" s="63">
        <v>120000</v>
      </c>
      <c r="F239" s="33">
        <f t="shared" si="4"/>
        <v>360000</v>
      </c>
    </row>
    <row r="240" spans="2:6" x14ac:dyDescent="0.25">
      <c r="B240" s="24" t="s">
        <v>685</v>
      </c>
      <c r="C240" s="24"/>
      <c r="D240" s="25">
        <v>1</v>
      </c>
      <c r="E240" s="63">
        <v>150000</v>
      </c>
      <c r="F240" s="33">
        <f t="shared" si="4"/>
        <v>150000</v>
      </c>
    </row>
    <row r="241" spans="2:6" x14ac:dyDescent="0.25">
      <c r="B241" s="1"/>
      <c r="C241" s="1"/>
      <c r="D241" s="58"/>
      <c r="E241" s="29"/>
      <c r="F241" s="30">
        <f t="shared" si="4"/>
        <v>0</v>
      </c>
    </row>
    <row r="242" spans="2:6" x14ac:dyDescent="0.25">
      <c r="B242" s="4" t="s">
        <v>581</v>
      </c>
      <c r="C242" s="4"/>
      <c r="D242" s="14"/>
      <c r="E242" s="29"/>
      <c r="F242" s="30">
        <f t="shared" ref="F242:F288" si="9">+D242*E242</f>
        <v>0</v>
      </c>
    </row>
    <row r="243" spans="2:6" x14ac:dyDescent="0.25">
      <c r="B243" s="4"/>
      <c r="C243" s="4"/>
      <c r="D243" s="14"/>
      <c r="E243" s="29"/>
      <c r="F243" s="30">
        <f t="shared" si="9"/>
        <v>0</v>
      </c>
    </row>
    <row r="244" spans="2:6" x14ac:dyDescent="0.25">
      <c r="B244" s="24" t="s">
        <v>665</v>
      </c>
      <c r="C244" s="24"/>
      <c r="D244" s="25">
        <v>4</v>
      </c>
      <c r="E244" s="63">
        <f>+E118</f>
        <v>24000</v>
      </c>
      <c r="F244" s="33">
        <f t="shared" si="9"/>
        <v>96000</v>
      </c>
    </row>
    <row r="245" spans="2:6" x14ac:dyDescent="0.25">
      <c r="B245" s="24" t="s">
        <v>666</v>
      </c>
      <c r="C245" s="24"/>
      <c r="D245" s="25">
        <v>4</v>
      </c>
      <c r="E245" s="63">
        <v>206300</v>
      </c>
      <c r="F245" s="33">
        <f t="shared" si="9"/>
        <v>825200</v>
      </c>
    </row>
    <row r="246" spans="2:6" x14ac:dyDescent="0.25">
      <c r="B246" s="24" t="s">
        <v>667</v>
      </c>
      <c r="C246" s="24"/>
      <c r="D246" s="25">
        <v>4</v>
      </c>
      <c r="E246" s="63">
        <v>126700</v>
      </c>
      <c r="F246" s="33">
        <f t="shared" si="9"/>
        <v>506800</v>
      </c>
    </row>
    <row r="247" spans="2:6" x14ac:dyDescent="0.25">
      <c r="B247" s="24" t="s">
        <v>668</v>
      </c>
      <c r="C247" s="24"/>
      <c r="D247" s="25">
        <v>4</v>
      </c>
      <c r="E247" s="63">
        <v>53200</v>
      </c>
      <c r="F247" s="33">
        <f t="shared" si="9"/>
        <v>212800</v>
      </c>
    </row>
    <row r="248" spans="2:6" x14ac:dyDescent="0.25">
      <c r="B248" s="24" t="s">
        <v>669</v>
      </c>
      <c r="C248" s="24"/>
      <c r="D248" s="25">
        <v>4</v>
      </c>
      <c r="E248" s="63">
        <v>66600</v>
      </c>
      <c r="F248" s="33">
        <f t="shared" si="9"/>
        <v>266400</v>
      </c>
    </row>
    <row r="249" spans="2:6" x14ac:dyDescent="0.25">
      <c r="B249" s="24" t="s">
        <v>575</v>
      </c>
      <c r="C249" s="24"/>
      <c r="D249" s="25">
        <v>2</v>
      </c>
      <c r="E249" s="63">
        <f>+E119</f>
        <v>12000</v>
      </c>
      <c r="F249" s="33">
        <f t="shared" si="9"/>
        <v>24000</v>
      </c>
    </row>
    <row r="250" spans="2:6" x14ac:dyDescent="0.25">
      <c r="B250" s="24" t="s">
        <v>670</v>
      </c>
      <c r="C250" s="24"/>
      <c r="D250" s="25">
        <v>1</v>
      </c>
      <c r="E250" s="63">
        <v>659900</v>
      </c>
      <c r="F250" s="33">
        <f t="shared" si="9"/>
        <v>659900</v>
      </c>
    </row>
    <row r="251" spans="2:6" x14ac:dyDescent="0.25">
      <c r="B251" s="24" t="s">
        <v>664</v>
      </c>
      <c r="C251" s="24"/>
      <c r="D251" s="25">
        <v>4</v>
      </c>
      <c r="E251" s="63">
        <f>+E173</f>
        <v>24000</v>
      </c>
      <c r="F251" s="33">
        <f t="shared" si="9"/>
        <v>96000</v>
      </c>
    </row>
    <row r="252" spans="2:6" ht="150.75" customHeight="1" x14ac:dyDescent="0.25">
      <c r="B252" s="24" t="s">
        <v>818</v>
      </c>
      <c r="C252" s="24"/>
      <c r="D252" s="25">
        <v>1</v>
      </c>
      <c r="E252" s="63">
        <v>4000000</v>
      </c>
      <c r="F252" s="33">
        <f t="shared" si="9"/>
        <v>4000000</v>
      </c>
    </row>
    <row r="253" spans="2:6" x14ac:dyDescent="0.25">
      <c r="B253" s="1"/>
      <c r="C253" s="1"/>
      <c r="D253" s="14"/>
      <c r="E253" s="29"/>
      <c r="F253" s="30">
        <f t="shared" si="9"/>
        <v>0</v>
      </c>
    </row>
    <row r="254" spans="2:6" x14ac:dyDescent="0.25">
      <c r="B254" s="4" t="s">
        <v>197</v>
      </c>
      <c r="C254" s="4"/>
      <c r="D254" s="14"/>
      <c r="E254" s="29"/>
      <c r="F254" s="30">
        <f t="shared" si="9"/>
        <v>0</v>
      </c>
    </row>
    <row r="255" spans="2:6" x14ac:dyDescent="0.25">
      <c r="B255" s="1"/>
      <c r="C255" s="1"/>
      <c r="D255" s="14"/>
      <c r="E255" s="29"/>
      <c r="F255" s="30">
        <f t="shared" si="9"/>
        <v>0</v>
      </c>
    </row>
    <row r="256" spans="2:6" x14ac:dyDescent="0.25">
      <c r="B256" s="24" t="s">
        <v>664</v>
      </c>
      <c r="C256" s="24"/>
      <c r="D256" s="25">
        <v>10</v>
      </c>
      <c r="E256" s="63">
        <f>+E173</f>
        <v>24000</v>
      </c>
      <c r="F256" s="33">
        <f t="shared" si="9"/>
        <v>240000</v>
      </c>
    </row>
    <row r="257" spans="2:6" x14ac:dyDescent="0.25">
      <c r="B257" s="24" t="s">
        <v>671</v>
      </c>
      <c r="C257" s="24"/>
      <c r="D257" s="25">
        <v>5</v>
      </c>
      <c r="E257" s="63">
        <v>189900</v>
      </c>
      <c r="F257" s="33">
        <f t="shared" si="9"/>
        <v>949500</v>
      </c>
    </row>
    <row r="258" spans="2:6" x14ac:dyDescent="0.25">
      <c r="B258" s="24" t="s">
        <v>672</v>
      </c>
      <c r="C258" s="24"/>
      <c r="D258" s="25">
        <v>10</v>
      </c>
      <c r="E258" s="63">
        <v>14900</v>
      </c>
      <c r="F258" s="33">
        <f t="shared" si="9"/>
        <v>149000</v>
      </c>
    </row>
    <row r="259" spans="2:6" x14ac:dyDescent="0.25">
      <c r="B259" s="64" t="s">
        <v>686</v>
      </c>
      <c r="C259" s="64"/>
      <c r="D259" s="25">
        <v>2</v>
      </c>
      <c r="E259" s="63">
        <v>212000</v>
      </c>
      <c r="F259" s="33">
        <f t="shared" si="9"/>
        <v>424000</v>
      </c>
    </row>
    <row r="260" spans="2:6" x14ac:dyDescent="0.25">
      <c r="B260" s="1"/>
      <c r="C260" s="1"/>
      <c r="D260" s="58"/>
      <c r="E260" s="29"/>
      <c r="F260" s="30">
        <f t="shared" si="9"/>
        <v>0</v>
      </c>
    </row>
    <row r="261" spans="2:6" x14ac:dyDescent="0.25">
      <c r="B261" s="4" t="s">
        <v>580</v>
      </c>
      <c r="C261" s="4"/>
      <c r="D261" s="14"/>
      <c r="E261" s="29"/>
      <c r="F261" s="30">
        <f t="shared" si="9"/>
        <v>0</v>
      </c>
    </row>
    <row r="262" spans="2:6" x14ac:dyDescent="0.25">
      <c r="B262" s="1"/>
      <c r="C262" s="1"/>
      <c r="D262" s="14"/>
      <c r="E262" s="29"/>
      <c r="F262" s="30">
        <f t="shared" si="9"/>
        <v>0</v>
      </c>
    </row>
    <row r="263" spans="2:6" x14ac:dyDescent="0.25">
      <c r="B263" s="24" t="s">
        <v>687</v>
      </c>
      <c r="C263" s="24"/>
      <c r="D263" s="25">
        <v>1</v>
      </c>
      <c r="E263" s="63">
        <v>849900</v>
      </c>
      <c r="F263" s="33">
        <f t="shared" si="9"/>
        <v>849900</v>
      </c>
    </row>
    <row r="264" spans="2:6" x14ac:dyDescent="0.25">
      <c r="B264" s="24" t="s">
        <v>665</v>
      </c>
      <c r="C264" s="24"/>
      <c r="D264" s="25">
        <v>2</v>
      </c>
      <c r="E264" s="63">
        <f>+E118</f>
        <v>24000</v>
      </c>
      <c r="F264" s="33">
        <f t="shared" si="9"/>
        <v>48000</v>
      </c>
    </row>
    <row r="265" spans="2:6" ht="138" customHeight="1" x14ac:dyDescent="0.25">
      <c r="B265" s="24" t="s">
        <v>819</v>
      </c>
      <c r="C265" s="24"/>
      <c r="D265" s="25">
        <v>1</v>
      </c>
      <c r="E265" s="63">
        <v>6990000</v>
      </c>
      <c r="F265" s="33">
        <f t="shared" si="9"/>
        <v>6990000</v>
      </c>
    </row>
    <row r="266" spans="2:6" ht="138" customHeight="1" x14ac:dyDescent="0.25">
      <c r="B266" s="24" t="s">
        <v>1126</v>
      </c>
      <c r="C266" s="24"/>
      <c r="D266" s="25">
        <v>1</v>
      </c>
      <c r="E266" s="63">
        <v>4000000</v>
      </c>
      <c r="F266" s="33">
        <f t="shared" si="9"/>
        <v>4000000</v>
      </c>
    </row>
    <row r="267" spans="2:6" x14ac:dyDescent="0.25">
      <c r="B267" s="24" t="s">
        <v>688</v>
      </c>
      <c r="C267" s="24"/>
      <c r="D267" s="25">
        <f>+E318*5</f>
        <v>130</v>
      </c>
      <c r="E267" s="63">
        <v>30000</v>
      </c>
      <c r="F267" s="33">
        <f t="shared" si="9"/>
        <v>3900000</v>
      </c>
    </row>
    <row r="268" spans="2:6" x14ac:dyDescent="0.25">
      <c r="B268" s="24" t="s">
        <v>666</v>
      </c>
      <c r="C268" s="24"/>
      <c r="D268" s="25">
        <v>2</v>
      </c>
      <c r="E268" s="63">
        <f>+E245</f>
        <v>206300</v>
      </c>
      <c r="F268" s="33">
        <f t="shared" si="9"/>
        <v>412600</v>
      </c>
    </row>
    <row r="269" spans="2:6" x14ac:dyDescent="0.25">
      <c r="B269" s="24" t="s">
        <v>667</v>
      </c>
      <c r="C269" s="24"/>
      <c r="D269" s="25">
        <v>4</v>
      </c>
      <c r="E269" s="63">
        <f>+E246</f>
        <v>126700</v>
      </c>
      <c r="F269" s="33">
        <f t="shared" si="9"/>
        <v>506800</v>
      </c>
    </row>
    <row r="270" spans="2:6" x14ac:dyDescent="0.25">
      <c r="B270" s="24" t="s">
        <v>668</v>
      </c>
      <c r="C270" s="24"/>
      <c r="D270" s="25">
        <v>4</v>
      </c>
      <c r="E270" s="63">
        <f>+E247</f>
        <v>53200</v>
      </c>
      <c r="F270" s="33">
        <f t="shared" si="9"/>
        <v>212800</v>
      </c>
    </row>
    <row r="271" spans="2:6" x14ac:dyDescent="0.25">
      <c r="B271" s="24" t="s">
        <v>669</v>
      </c>
      <c r="C271" s="24"/>
      <c r="D271" s="25">
        <v>4</v>
      </c>
      <c r="E271" s="63">
        <f>+E248</f>
        <v>66600</v>
      </c>
      <c r="F271" s="33">
        <f t="shared" si="9"/>
        <v>266400</v>
      </c>
    </row>
    <row r="272" spans="2:6" x14ac:dyDescent="0.25">
      <c r="B272" s="24" t="s">
        <v>689</v>
      </c>
      <c r="C272" s="24"/>
      <c r="D272" s="25">
        <v>2</v>
      </c>
      <c r="E272" s="63">
        <f>+E249</f>
        <v>12000</v>
      </c>
      <c r="F272" s="33">
        <f t="shared" si="9"/>
        <v>24000</v>
      </c>
    </row>
    <row r="273" spans="2:6" x14ac:dyDescent="0.25">
      <c r="B273" s="24" t="s">
        <v>664</v>
      </c>
      <c r="C273" s="24"/>
      <c r="D273" s="25">
        <v>4</v>
      </c>
      <c r="E273" s="63">
        <f>+E251</f>
        <v>24000</v>
      </c>
      <c r="F273" s="33">
        <f t="shared" si="9"/>
        <v>96000</v>
      </c>
    </row>
    <row r="274" spans="2:6" ht="91.5" customHeight="1" x14ac:dyDescent="0.25">
      <c r="B274" s="24" t="s">
        <v>744</v>
      </c>
      <c r="C274" s="24"/>
      <c r="D274" s="25">
        <v>1</v>
      </c>
      <c r="E274" s="63">
        <f>+E230</f>
        <v>486000</v>
      </c>
      <c r="F274" s="33">
        <f t="shared" si="9"/>
        <v>486000</v>
      </c>
    </row>
    <row r="275" spans="2:6" x14ac:dyDescent="0.25">
      <c r="B275" s="5"/>
      <c r="C275" s="5"/>
      <c r="D275" s="61"/>
      <c r="E275" s="65"/>
      <c r="F275" s="62"/>
    </row>
    <row r="276" spans="2:6" x14ac:dyDescent="0.25">
      <c r="B276" s="4" t="s">
        <v>590</v>
      </c>
      <c r="C276" s="4"/>
      <c r="D276" s="58"/>
      <c r="E276" s="29"/>
      <c r="F276" s="30">
        <f t="shared" si="9"/>
        <v>0</v>
      </c>
    </row>
    <row r="277" spans="2:6" x14ac:dyDescent="0.25">
      <c r="B277" s="1"/>
      <c r="C277" s="1"/>
      <c r="D277" s="58"/>
      <c r="E277" s="29"/>
      <c r="F277" s="30">
        <f t="shared" si="9"/>
        <v>0</v>
      </c>
    </row>
    <row r="278" spans="2:6" x14ac:dyDescent="0.25">
      <c r="B278" s="24" t="s">
        <v>673</v>
      </c>
      <c r="C278" s="24"/>
      <c r="D278" s="25">
        <v>6</v>
      </c>
      <c r="E278" s="63">
        <v>1500000</v>
      </c>
      <c r="F278" s="33">
        <f t="shared" si="9"/>
        <v>9000000</v>
      </c>
    </row>
    <row r="279" spans="2:6" x14ac:dyDescent="0.25">
      <c r="B279" s="1"/>
      <c r="C279" s="1"/>
      <c r="D279" s="58"/>
      <c r="E279" s="29"/>
      <c r="F279" s="30">
        <f t="shared" si="9"/>
        <v>0</v>
      </c>
    </row>
    <row r="280" spans="2:6" x14ac:dyDescent="0.25">
      <c r="B280" s="4" t="s">
        <v>589</v>
      </c>
      <c r="C280" s="4"/>
      <c r="D280" s="58"/>
      <c r="E280" s="29"/>
      <c r="F280" s="30">
        <f t="shared" si="9"/>
        <v>0</v>
      </c>
    </row>
    <row r="281" spans="2:6" x14ac:dyDescent="0.25">
      <c r="B281" s="1"/>
      <c r="C281" s="1"/>
      <c r="D281" s="58"/>
      <c r="E281" s="29"/>
      <c r="F281" s="30">
        <f t="shared" si="9"/>
        <v>0</v>
      </c>
    </row>
    <row r="282" spans="2:6" ht="105" customHeight="1" x14ac:dyDescent="0.25">
      <c r="B282" s="24" t="s">
        <v>820</v>
      </c>
      <c r="C282" s="24"/>
      <c r="D282" s="25">
        <v>6</v>
      </c>
      <c r="E282" s="63">
        <v>175000</v>
      </c>
      <c r="F282" s="33">
        <f>+E282*D282</f>
        <v>1050000</v>
      </c>
    </row>
    <row r="283" spans="2:6" ht="103.5" customHeight="1" x14ac:dyDescent="0.25">
      <c r="B283" s="24" t="s">
        <v>821</v>
      </c>
      <c r="C283" s="24"/>
      <c r="D283" s="25">
        <v>5</v>
      </c>
      <c r="E283" s="63">
        <v>189000</v>
      </c>
      <c r="F283" s="33">
        <f>+E283*D283</f>
        <v>945000</v>
      </c>
    </row>
    <row r="284" spans="2:6" x14ac:dyDescent="0.25">
      <c r="B284" s="1"/>
      <c r="C284" s="1"/>
      <c r="D284" s="67"/>
      <c r="E284" s="29"/>
      <c r="F284" s="30"/>
    </row>
    <row r="285" spans="2:6" x14ac:dyDescent="0.25">
      <c r="B285" s="4" t="s">
        <v>691</v>
      </c>
      <c r="C285" s="4"/>
      <c r="D285" s="58"/>
      <c r="E285" s="29"/>
      <c r="F285" s="30">
        <f t="shared" si="9"/>
        <v>0</v>
      </c>
    </row>
    <row r="286" spans="2:6" x14ac:dyDescent="0.25">
      <c r="B286" s="1"/>
      <c r="C286" s="1"/>
      <c r="D286" s="58"/>
      <c r="E286" s="29"/>
      <c r="F286" s="30">
        <f t="shared" si="9"/>
        <v>0</v>
      </c>
    </row>
    <row r="287" spans="2:6" ht="176.25" customHeight="1" x14ac:dyDescent="0.25">
      <c r="B287" s="24" t="s">
        <v>762</v>
      </c>
      <c r="C287" s="24"/>
      <c r="D287" s="25">
        <v>1</v>
      </c>
      <c r="E287" s="63">
        <f>4375*3500</f>
        <v>15312500</v>
      </c>
      <c r="F287" s="33">
        <f t="shared" si="9"/>
        <v>15312500</v>
      </c>
    </row>
    <row r="288" spans="2:6" ht="120" customHeight="1" x14ac:dyDescent="0.25">
      <c r="B288" s="24" t="s">
        <v>839</v>
      </c>
      <c r="C288" s="24"/>
      <c r="D288" s="25">
        <v>1</v>
      </c>
      <c r="E288" s="63">
        <f>300*3500</f>
        <v>1050000</v>
      </c>
      <c r="F288" s="33">
        <f t="shared" si="9"/>
        <v>1050000</v>
      </c>
    </row>
    <row r="289" spans="1:8" ht="124.5" customHeight="1" x14ac:dyDescent="0.25">
      <c r="B289" s="24" t="s">
        <v>822</v>
      </c>
      <c r="C289" s="24"/>
      <c r="D289" s="25">
        <v>100</v>
      </c>
      <c r="E289" s="63">
        <f>+(90*3500)</f>
        <v>315000</v>
      </c>
      <c r="F289" s="33">
        <f>+E289*D289</f>
        <v>31500000</v>
      </c>
    </row>
    <row r="290" spans="1:8" x14ac:dyDescent="0.25">
      <c r="B290" s="1"/>
      <c r="C290" s="1"/>
      <c r="D290" s="67"/>
      <c r="E290" s="29"/>
      <c r="F290" s="30"/>
    </row>
    <row r="291" spans="1:8" x14ac:dyDescent="0.25">
      <c r="B291" s="32" t="s">
        <v>838</v>
      </c>
      <c r="C291" s="24"/>
      <c r="D291" s="25"/>
      <c r="E291" s="63"/>
      <c r="F291" s="204">
        <f>+SUM(F9:F289)</f>
        <v>725776707</v>
      </c>
    </row>
    <row r="294" spans="1:8" x14ac:dyDescent="0.25">
      <c r="B294" s="3" t="s">
        <v>586</v>
      </c>
      <c r="C294" s="3"/>
    </row>
    <row r="295" spans="1:8" x14ac:dyDescent="0.25">
      <c r="B295" s="3" t="s">
        <v>587</v>
      </c>
      <c r="C295" s="3"/>
    </row>
    <row r="296" spans="1:8" x14ac:dyDescent="0.25">
      <c r="B296" s="3"/>
      <c r="C296" s="290" t="s">
        <v>1432</v>
      </c>
      <c r="D296" s="290" t="s">
        <v>1433</v>
      </c>
      <c r="E296" s="290" t="s">
        <v>1434</v>
      </c>
    </row>
    <row r="297" spans="1:8" x14ac:dyDescent="0.25">
      <c r="B297" s="1" t="s">
        <v>570</v>
      </c>
      <c r="C297" t="s">
        <v>1443</v>
      </c>
      <c r="D297" s="293" t="s">
        <v>1435</v>
      </c>
      <c r="E297" s="293">
        <v>2</v>
      </c>
    </row>
    <row r="298" spans="1:8" x14ac:dyDescent="0.25">
      <c r="B298" s="1" t="s">
        <v>571</v>
      </c>
      <c r="C298" s="1" t="s">
        <v>1442</v>
      </c>
      <c r="D298" s="293" t="s">
        <v>1436</v>
      </c>
      <c r="E298" s="293">
        <v>1</v>
      </c>
    </row>
    <row r="299" spans="1:8" x14ac:dyDescent="0.25">
      <c r="B299" s="1" t="s">
        <v>1430</v>
      </c>
      <c r="C299" s="1"/>
      <c r="D299" s="293" t="s">
        <v>1435</v>
      </c>
      <c r="E299" s="293">
        <v>1</v>
      </c>
    </row>
    <row r="300" spans="1:8" x14ac:dyDescent="0.25">
      <c r="B300" s="1" t="s">
        <v>1429</v>
      </c>
      <c r="C300" s="1"/>
      <c r="D300" s="293" t="s">
        <v>1436</v>
      </c>
      <c r="E300" s="293">
        <v>1</v>
      </c>
    </row>
    <row r="301" spans="1:8" x14ac:dyDescent="0.25">
      <c r="B301" s="1" t="s">
        <v>572</v>
      </c>
      <c r="C301" s="1" t="s">
        <v>1444</v>
      </c>
      <c r="D301" s="293" t="s">
        <v>1437</v>
      </c>
      <c r="E301" s="293">
        <v>1</v>
      </c>
    </row>
    <row r="302" spans="1:8" s="15" customFormat="1" x14ac:dyDescent="0.25">
      <c r="A302"/>
      <c r="B302" s="55" t="s">
        <v>1431</v>
      </c>
      <c r="C302" s="55"/>
      <c r="D302" s="293" t="s">
        <v>1435</v>
      </c>
      <c r="E302" s="293">
        <v>1</v>
      </c>
      <c r="F302" s="53"/>
      <c r="G302"/>
      <c r="H302"/>
    </row>
    <row r="303" spans="1:8" s="15" customFormat="1" x14ac:dyDescent="0.25">
      <c r="A303"/>
      <c r="B303" s="55" t="s">
        <v>594</v>
      </c>
      <c r="C303" s="55"/>
      <c r="D303" s="293" t="s">
        <v>1438</v>
      </c>
      <c r="E303" s="293">
        <v>3</v>
      </c>
      <c r="F303" s="53"/>
      <c r="G303"/>
      <c r="H303"/>
    </row>
    <row r="304" spans="1:8" s="15" customFormat="1" x14ac:dyDescent="0.25">
      <c r="A304"/>
      <c r="B304" s="55" t="s">
        <v>593</v>
      </c>
      <c r="C304" s="55" t="s">
        <v>1445</v>
      </c>
      <c r="D304" s="293" t="s">
        <v>1439</v>
      </c>
      <c r="E304" s="293">
        <v>1</v>
      </c>
      <c r="F304" s="53"/>
      <c r="G304"/>
      <c r="H304"/>
    </row>
    <row r="305" spans="1:8" s="15" customFormat="1" x14ac:dyDescent="0.25">
      <c r="A305"/>
      <c r="B305" s="55" t="s">
        <v>1019</v>
      </c>
      <c r="C305" s="55" t="s">
        <v>1446</v>
      </c>
      <c r="D305" s="293" t="s">
        <v>1438</v>
      </c>
      <c r="E305" s="293">
        <v>2</v>
      </c>
      <c r="F305" s="53"/>
      <c r="G305"/>
      <c r="H305"/>
    </row>
    <row r="306" spans="1:8" s="15" customFormat="1" x14ac:dyDescent="0.25">
      <c r="A306"/>
      <c r="B306" s="55" t="s">
        <v>584</v>
      </c>
      <c r="C306" s="55"/>
      <c r="D306" s="293" t="s">
        <v>1440</v>
      </c>
      <c r="E306" s="293">
        <v>1</v>
      </c>
      <c r="F306" s="53"/>
      <c r="G306"/>
      <c r="H306"/>
    </row>
    <row r="307" spans="1:8" s="15" customFormat="1" x14ac:dyDescent="0.25">
      <c r="A307"/>
      <c r="B307" s="1" t="s">
        <v>585</v>
      </c>
      <c r="C307" s="1"/>
      <c r="D307" s="293" t="s">
        <v>1438</v>
      </c>
      <c r="E307" s="293">
        <v>1</v>
      </c>
      <c r="F307" s="53"/>
      <c r="G307"/>
      <c r="H307"/>
    </row>
    <row r="308" spans="1:8" s="15" customFormat="1" x14ac:dyDescent="0.25">
      <c r="A308"/>
      <c r="B308" s="1" t="s">
        <v>591</v>
      </c>
      <c r="C308" s="1" t="s">
        <v>1449</v>
      </c>
      <c r="D308" s="293" t="s">
        <v>1438</v>
      </c>
      <c r="E308" s="293">
        <v>2</v>
      </c>
      <c r="F308" s="53"/>
      <c r="G308"/>
      <c r="H308"/>
    </row>
    <row r="309" spans="1:8" s="15" customFormat="1" x14ac:dyDescent="0.25">
      <c r="A309"/>
      <c r="B309" s="55" t="s">
        <v>592</v>
      </c>
      <c r="C309" s="55" t="s">
        <v>1448</v>
      </c>
      <c r="D309" s="293" t="s">
        <v>1435</v>
      </c>
      <c r="E309" s="293">
        <v>1</v>
      </c>
      <c r="F309" s="53"/>
      <c r="G309"/>
      <c r="H309"/>
    </row>
    <row r="310" spans="1:8" s="15" customFormat="1" x14ac:dyDescent="0.25">
      <c r="A310"/>
      <c r="B310" s="55" t="s">
        <v>694</v>
      </c>
      <c r="C310" s="55" t="s">
        <v>1447</v>
      </c>
      <c r="D310" s="293" t="s">
        <v>1438</v>
      </c>
      <c r="E310" s="293">
        <v>2</v>
      </c>
      <c r="F310" s="53"/>
      <c r="G310"/>
      <c r="H310"/>
    </row>
    <row r="311" spans="1:8" s="15" customFormat="1" x14ac:dyDescent="0.25">
      <c r="A311"/>
      <c r="B311" s="55"/>
      <c r="C311" s="55"/>
      <c r="D311" s="293"/>
      <c r="E311" s="293"/>
      <c r="F311" s="53"/>
      <c r="G311"/>
      <c r="H311"/>
    </row>
    <row r="312" spans="1:8" s="15" customFormat="1" x14ac:dyDescent="0.25">
      <c r="A312"/>
      <c r="B312" s="156" t="s">
        <v>1020</v>
      </c>
      <c r="C312" s="55"/>
      <c r="D312" s="293" t="s">
        <v>1440</v>
      </c>
      <c r="E312" s="293">
        <v>1</v>
      </c>
      <c r="F312" s="53"/>
      <c r="G312"/>
      <c r="H312"/>
    </row>
    <row r="313" spans="1:8" s="15" customFormat="1" x14ac:dyDescent="0.25">
      <c r="A313"/>
      <c r="B313" s="156" t="s">
        <v>1022</v>
      </c>
      <c r="C313" s="55"/>
      <c r="D313" s="293" t="s">
        <v>1441</v>
      </c>
      <c r="E313" s="293">
        <v>2</v>
      </c>
      <c r="F313" s="53"/>
      <c r="G313"/>
      <c r="H313"/>
    </row>
    <row r="314" spans="1:8" s="15" customFormat="1" x14ac:dyDescent="0.25">
      <c r="A314"/>
      <c r="B314" s="156" t="s">
        <v>1021</v>
      </c>
      <c r="C314" s="55"/>
      <c r="D314" s="293" t="s">
        <v>1441</v>
      </c>
      <c r="E314" s="293">
        <v>1</v>
      </c>
      <c r="F314" s="53"/>
      <c r="G314"/>
      <c r="H314"/>
    </row>
    <row r="315" spans="1:8" s="15" customFormat="1" x14ac:dyDescent="0.25">
      <c r="A315"/>
      <c r="B315" s="156" t="s">
        <v>1071</v>
      </c>
      <c r="C315" s="55"/>
      <c r="D315" s="293" t="s">
        <v>1439</v>
      </c>
      <c r="E315" s="293">
        <v>1</v>
      </c>
      <c r="F315" s="53"/>
      <c r="G315"/>
      <c r="H315"/>
    </row>
    <row r="316" spans="1:8" s="15" customFormat="1" x14ac:dyDescent="0.25">
      <c r="A316"/>
      <c r="B316" s="156" t="s">
        <v>1073</v>
      </c>
      <c r="C316" s="55"/>
      <c r="D316" s="293" t="s">
        <v>1435</v>
      </c>
      <c r="E316" s="293">
        <v>1</v>
      </c>
      <c r="F316" s="53"/>
      <c r="G316"/>
      <c r="H316"/>
    </row>
    <row r="317" spans="1:8" s="15" customFormat="1" x14ac:dyDescent="0.25">
      <c r="A317"/>
      <c r="B317" s="55"/>
      <c r="C317" s="55"/>
      <c r="D317" s="293"/>
      <c r="E317" s="293"/>
      <c r="F317" s="53"/>
      <c r="G317"/>
      <c r="H317"/>
    </row>
    <row r="318" spans="1:8" s="15" customFormat="1" x14ac:dyDescent="0.25">
      <c r="A318"/>
      <c r="B318" s="4" t="s">
        <v>573</v>
      </c>
      <c r="C318" s="4"/>
      <c r="D318" s="310"/>
      <c r="E318" s="310">
        <f>+SUM(E297:E317)</f>
        <v>26</v>
      </c>
      <c r="F318" s="53"/>
      <c r="G318"/>
      <c r="H318"/>
    </row>
  </sheetData>
  <mergeCells count="1">
    <mergeCell ref="B3:F3"/>
  </mergeCells>
  <hyperlinks>
    <hyperlink ref="C11" r:id="rId1"/>
    <hyperlink ref="C10" r:id="rId2"/>
    <hyperlink ref="C9" r:id="rId3"/>
    <hyperlink ref="C12" r:id="rId4"/>
    <hyperlink ref="C13" r:id="rId5"/>
    <hyperlink ref="C21" r:id="rId6" display="https://articulo.mercadolibre.com.co/MCO-532121169-lampara-led-solar-de-alumbrado-publico-150w-control-remo-_JM?matt_tool=68802118&amp;matt_word&amp;gclid=CjwKCAjwssD0BRBIEiwA-JP5rDvgBKI6Mo-Pe1_bH6R59qJ2GWXsHu1eTB289Cbup3cQH1bDQpkAMBoCLrQQAvD_BwE&amp;quantity=1&amp;variation=43557147072"/>
    <hyperlink ref="C34" r:id="rId7"/>
  </hyperlinks>
  <pageMargins left="0.7" right="0.7" top="0.75" bottom="0.75" header="0.3" footer="0.3"/>
  <pageSetup paperSize="9" orientation="portrait" horizontalDpi="360" verticalDpi="360" r:id="rId8"/>
  <drawing r:id="rId9"/>
  <legacyDrawing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DC14"/>
  </sheetPr>
  <dimension ref="B2:J330"/>
  <sheetViews>
    <sheetView showGridLines="0" topLeftCell="A28" zoomScale="80" zoomScaleNormal="80" workbookViewId="0">
      <selection activeCell="I25" sqref="I25"/>
    </sheetView>
  </sheetViews>
  <sheetFormatPr baseColWidth="10" defaultRowHeight="15" x14ac:dyDescent="0.25"/>
  <cols>
    <col min="1" max="1" width="5.42578125" customWidth="1"/>
    <col min="2" max="2" width="52.42578125" bestFit="1" customWidth="1"/>
    <col min="3" max="3" width="12.28515625" bestFit="1" customWidth="1"/>
    <col min="4" max="4" width="25" hidden="1" customWidth="1"/>
    <col min="5" max="5" width="25" bestFit="1" customWidth="1"/>
    <col min="6" max="6" width="33.85546875" bestFit="1" customWidth="1"/>
    <col min="7" max="7" width="31.5703125" bestFit="1" customWidth="1"/>
    <col min="8" max="8" width="26" bestFit="1" customWidth="1"/>
    <col min="9" max="9" width="27.5703125" bestFit="1" customWidth="1"/>
    <col min="10" max="10" width="45.140625" bestFit="1" customWidth="1"/>
  </cols>
  <sheetData>
    <row r="2" spans="2:10" ht="19.899999999999999" customHeight="1" x14ac:dyDescent="0.25">
      <c r="B2" s="721" t="s">
        <v>1070</v>
      </c>
      <c r="C2" s="721"/>
      <c r="D2" s="721"/>
      <c r="E2" s="721"/>
      <c r="F2" s="721"/>
      <c r="G2" s="721"/>
      <c r="H2" s="721"/>
      <c r="I2" s="721"/>
      <c r="J2" s="721"/>
    </row>
    <row r="4" spans="2:10" x14ac:dyDescent="0.25">
      <c r="B4" s="128" t="s">
        <v>1072</v>
      </c>
      <c r="C4" s="128" t="s">
        <v>1023</v>
      </c>
      <c r="D4" s="128" t="s">
        <v>1478</v>
      </c>
      <c r="E4" s="128" t="s">
        <v>1479</v>
      </c>
      <c r="F4" s="128" t="s">
        <v>1066</v>
      </c>
      <c r="G4" s="128" t="s">
        <v>1067</v>
      </c>
      <c r="H4" s="128" t="s">
        <v>1068</v>
      </c>
      <c r="I4" s="128" t="s">
        <v>1069</v>
      </c>
      <c r="J4" s="51"/>
    </row>
    <row r="5" spans="2:10" x14ac:dyDescent="0.25">
      <c r="B5" s="326" t="s">
        <v>570</v>
      </c>
      <c r="C5" s="14">
        <v>2</v>
      </c>
      <c r="D5" s="30">
        <v>980657</v>
      </c>
      <c r="E5" s="56">
        <f>+(D5*'Calculos oferta -demanda 2'!$C$76)+'Costo nómina'!D5</f>
        <v>1018902.623</v>
      </c>
      <c r="F5" s="29">
        <f>+G50</f>
        <v>1397463.1562928623</v>
      </c>
      <c r="G5" s="29">
        <f>+J39</f>
        <v>321781.12326928851</v>
      </c>
      <c r="H5" s="29">
        <f>+(F5+G5)*C5</f>
        <v>3438488.5591243017</v>
      </c>
      <c r="I5" s="29">
        <f>+H5*12</f>
        <v>41261862.709491618</v>
      </c>
      <c r="J5" s="10"/>
    </row>
    <row r="6" spans="2:10" x14ac:dyDescent="0.25">
      <c r="B6" s="326" t="s">
        <v>571</v>
      </c>
      <c r="C6" s="14">
        <v>1</v>
      </c>
      <c r="D6" s="30">
        <v>1500000</v>
      </c>
      <c r="E6" s="56">
        <f>+(D6*'Calculos oferta -demanda 2'!$C$76)+'Costo nómina'!D6</f>
        <v>1558500</v>
      </c>
      <c r="F6" s="29">
        <f>+G71</f>
        <v>1815964.2</v>
      </c>
      <c r="G6" s="29">
        <f>+J60</f>
        <v>418145.55</v>
      </c>
      <c r="H6" s="29">
        <f>+(F6+G6)*C6</f>
        <v>2234109.75</v>
      </c>
      <c r="I6" s="29">
        <f t="shared" ref="I6:I18" si="0">+H6*12</f>
        <v>26809317</v>
      </c>
      <c r="J6" s="10"/>
    </row>
    <row r="7" spans="2:10" x14ac:dyDescent="0.25">
      <c r="B7" s="326" t="s">
        <v>1430</v>
      </c>
      <c r="C7" s="175">
        <v>1</v>
      </c>
      <c r="D7" s="30">
        <v>1000000</v>
      </c>
      <c r="E7" s="56">
        <f>+(D7*'Calculos oferta -demanda 2'!$C$76)+'Costo nómina'!D7</f>
        <v>1039000</v>
      </c>
      <c r="F7" s="29">
        <f>+G93</f>
        <v>1165200</v>
      </c>
      <c r="G7" s="29">
        <f>+J82</f>
        <v>268300</v>
      </c>
      <c r="H7" s="29">
        <f>+(F7+G7)*C7</f>
        <v>1433500</v>
      </c>
      <c r="I7" s="29">
        <f t="shared" si="0"/>
        <v>17202000</v>
      </c>
      <c r="J7" s="10"/>
    </row>
    <row r="8" spans="2:10" x14ac:dyDescent="0.25">
      <c r="B8" s="326" t="s">
        <v>1429</v>
      </c>
      <c r="C8" s="14">
        <v>1</v>
      </c>
      <c r="D8" s="30">
        <v>1100000</v>
      </c>
      <c r="E8" s="56">
        <f>+(D8*'Calculos oferta -demanda 2'!$C$76)+'Costo nómina'!D8</f>
        <v>1142900</v>
      </c>
      <c r="F8" s="29">
        <f>+G115</f>
        <v>1331707.08</v>
      </c>
      <c r="G8" s="29">
        <f>+J104</f>
        <v>306640.06999999995</v>
      </c>
      <c r="H8" s="29">
        <f t="shared" ref="H8:H18" si="1">+(F8+G8)*C8</f>
        <v>1638347.15</v>
      </c>
      <c r="I8" s="29">
        <f t="shared" si="0"/>
        <v>19660165.799999997</v>
      </c>
      <c r="J8" s="10"/>
    </row>
    <row r="9" spans="2:10" x14ac:dyDescent="0.25">
      <c r="B9" s="326" t="s">
        <v>572</v>
      </c>
      <c r="C9" s="14">
        <v>1</v>
      </c>
      <c r="D9" s="30">
        <v>1300000</v>
      </c>
      <c r="E9" s="56">
        <f>+(D9*'Calculos oferta -demanda 2'!$C$76)+'Costo nómina'!D9</f>
        <v>1350700</v>
      </c>
      <c r="F9" s="29">
        <f>+G136</f>
        <v>1573835.6400000001</v>
      </c>
      <c r="G9" s="29">
        <f>+J125</f>
        <v>362392.81</v>
      </c>
      <c r="H9" s="29">
        <f t="shared" si="1"/>
        <v>1936228.4500000002</v>
      </c>
      <c r="I9" s="29">
        <f t="shared" si="0"/>
        <v>23234741.400000002</v>
      </c>
      <c r="J9" s="10"/>
    </row>
    <row r="10" spans="2:10" x14ac:dyDescent="0.25">
      <c r="B10" s="326" t="s">
        <v>1431</v>
      </c>
      <c r="C10" s="14">
        <v>1</v>
      </c>
      <c r="D10" s="30">
        <v>980657</v>
      </c>
      <c r="E10" s="56">
        <f>+(D10*'Calculos oferta -demanda 2'!$C$76)+'Costo nómina'!D10</f>
        <v>1018902.623</v>
      </c>
      <c r="F10" s="29">
        <f>+G157</f>
        <v>1397463.1562928623</v>
      </c>
      <c r="G10" s="29">
        <f>+J146</f>
        <v>321781.12326928851</v>
      </c>
      <c r="H10" s="29">
        <f t="shared" si="1"/>
        <v>1719244.2795621508</v>
      </c>
      <c r="I10" s="29">
        <f t="shared" si="0"/>
        <v>20630931.354745809</v>
      </c>
      <c r="J10" s="10"/>
    </row>
    <row r="11" spans="2:10" x14ac:dyDescent="0.25">
      <c r="B11" s="327" t="s">
        <v>594</v>
      </c>
      <c r="C11" s="14">
        <v>3</v>
      </c>
      <c r="D11" s="30">
        <v>980657</v>
      </c>
      <c r="E11" s="56">
        <f>+(D11*'Calculos oferta -demanda 2'!$C$76)+'Costo nómina'!D11</f>
        <v>1018902.623</v>
      </c>
      <c r="F11" s="29">
        <f>+G178</f>
        <v>1397463.1562928623</v>
      </c>
      <c r="G11" s="29">
        <f>+J167</f>
        <v>321781.12326928851</v>
      </c>
      <c r="H11" s="29">
        <f t="shared" si="1"/>
        <v>5157732.8386864522</v>
      </c>
      <c r="I11" s="29">
        <f t="shared" si="0"/>
        <v>61892794.064237431</v>
      </c>
      <c r="J11" s="10"/>
    </row>
    <row r="12" spans="2:10" x14ac:dyDescent="0.25">
      <c r="B12" s="327" t="s">
        <v>593</v>
      </c>
      <c r="C12" s="14">
        <v>1</v>
      </c>
      <c r="D12" s="30">
        <v>3000000</v>
      </c>
      <c r="E12" s="56">
        <f>+(D12*'Calculos oferta -demanda 2'!$C$76)+'Costo nómina'!D12</f>
        <v>3117000</v>
      </c>
      <c r="F12" s="29">
        <f>+G199</f>
        <v>4275082.3875000002</v>
      </c>
      <c r="G12" s="29">
        <f>+J188</f>
        <v>984384.31562500005</v>
      </c>
      <c r="H12" s="29">
        <f t="shared" si="1"/>
        <v>5259466.703125</v>
      </c>
      <c r="I12" s="29">
        <f t="shared" si="0"/>
        <v>63113600.4375</v>
      </c>
      <c r="J12" s="10"/>
    </row>
    <row r="13" spans="2:10" x14ac:dyDescent="0.25">
      <c r="B13" s="327" t="s">
        <v>1019</v>
      </c>
      <c r="C13" s="14">
        <v>2</v>
      </c>
      <c r="D13" s="30">
        <v>980657</v>
      </c>
      <c r="E13" s="56">
        <f>+(D13*'Calculos oferta -demanda 2'!$C$76)+'Costo nómina'!D13</f>
        <v>1018902.623</v>
      </c>
      <c r="F13" s="29">
        <f>+G219</f>
        <v>1397463.1562928623</v>
      </c>
      <c r="G13" s="29">
        <f>+J208</f>
        <v>321781.12326928851</v>
      </c>
      <c r="H13" s="29">
        <f t="shared" si="1"/>
        <v>3438488.5591243017</v>
      </c>
      <c r="I13" s="29">
        <f t="shared" si="0"/>
        <v>41261862.709491618</v>
      </c>
      <c r="J13" s="10"/>
    </row>
    <row r="14" spans="2:10" x14ac:dyDescent="0.25">
      <c r="B14" s="326" t="s">
        <v>584</v>
      </c>
      <c r="C14" s="14">
        <v>1</v>
      </c>
      <c r="D14" s="30">
        <v>980657</v>
      </c>
      <c r="E14" s="56">
        <f>+(D14*'Calculos oferta -demanda 2'!$C$76)+'Costo nómina'!D14</f>
        <v>1018902.623</v>
      </c>
      <c r="F14" s="29">
        <f>+G240</f>
        <v>1187225.3363196</v>
      </c>
      <c r="G14" s="29">
        <f>+J229</f>
        <v>273371.57375089999</v>
      </c>
      <c r="H14" s="29">
        <f t="shared" si="1"/>
        <v>1460596.9100704999</v>
      </c>
      <c r="I14" s="29">
        <f t="shared" si="0"/>
        <v>17527162.920846</v>
      </c>
      <c r="J14" s="10"/>
    </row>
    <row r="15" spans="2:10" x14ac:dyDescent="0.25">
      <c r="B15" s="326" t="s">
        <v>585</v>
      </c>
      <c r="C15" s="14">
        <v>1</v>
      </c>
      <c r="D15" s="30">
        <v>980657</v>
      </c>
      <c r="E15" s="56">
        <f>+(D15*'Calculos oferta -demanda 2'!$C$76)+'Costo nómina'!D15</f>
        <v>1018902.623</v>
      </c>
      <c r="F15" s="29">
        <f>+G261</f>
        <v>1397463.1562928623</v>
      </c>
      <c r="G15" s="29">
        <f>+J250</f>
        <v>321781.12326928851</v>
      </c>
      <c r="H15" s="29">
        <f t="shared" si="1"/>
        <v>1719244.2795621508</v>
      </c>
      <c r="I15" s="29">
        <f t="shared" si="0"/>
        <v>20630931.354745809</v>
      </c>
      <c r="J15" s="10"/>
    </row>
    <row r="16" spans="2:10" x14ac:dyDescent="0.25">
      <c r="B16" s="327" t="s">
        <v>591</v>
      </c>
      <c r="C16" s="14">
        <v>2</v>
      </c>
      <c r="D16" s="30">
        <v>980657</v>
      </c>
      <c r="E16" s="56">
        <f>+(D16*'Calculos oferta -demanda 2'!$C$76)+'Costo nómina'!D16</f>
        <v>1018902.623</v>
      </c>
      <c r="F16" s="29">
        <f>+G282</f>
        <v>1397463.1562928623</v>
      </c>
      <c r="G16" s="29">
        <f>+J271</f>
        <v>321781.12326928851</v>
      </c>
      <c r="H16" s="29">
        <f t="shared" si="1"/>
        <v>3438488.5591243017</v>
      </c>
      <c r="I16" s="29">
        <f t="shared" si="0"/>
        <v>41261862.709491618</v>
      </c>
      <c r="J16" s="10"/>
    </row>
    <row r="17" spans="2:10" x14ac:dyDescent="0.25">
      <c r="B17" s="327" t="s">
        <v>592</v>
      </c>
      <c r="C17" s="14">
        <v>1</v>
      </c>
      <c r="D17" s="30">
        <v>1200000</v>
      </c>
      <c r="E17" s="56">
        <f>+(D17*'Calculos oferta -demanda 2'!$C$76)+'Costo nómina'!D17</f>
        <v>1246800</v>
      </c>
      <c r="F17" s="29">
        <f>+G303</f>
        <v>1452771.3599999999</v>
      </c>
      <c r="G17" s="29">
        <f>+J292</f>
        <v>334516.44</v>
      </c>
      <c r="H17" s="29">
        <f t="shared" si="1"/>
        <v>1787287.7999999998</v>
      </c>
      <c r="I17" s="29">
        <f t="shared" si="0"/>
        <v>21447453.599999998</v>
      </c>
      <c r="J17" s="10"/>
    </row>
    <row r="18" spans="2:10" x14ac:dyDescent="0.25">
      <c r="B18" s="327" t="s">
        <v>694</v>
      </c>
      <c r="C18" s="14">
        <v>2</v>
      </c>
      <c r="D18" s="30">
        <v>980657</v>
      </c>
      <c r="E18" s="56">
        <f>+(D18*'Calculos oferta -demanda 2'!$C$76)+'Costo nómina'!D18</f>
        <v>1018902.623</v>
      </c>
      <c r="F18" s="29">
        <f>+G324</f>
        <v>1389571.6500571</v>
      </c>
      <c r="G18" s="29">
        <f>+J313</f>
        <v>319964.01794569165</v>
      </c>
      <c r="H18" s="29">
        <f t="shared" si="1"/>
        <v>3419071.3360055834</v>
      </c>
      <c r="I18" s="29">
        <f t="shared" si="0"/>
        <v>41028856.032067001</v>
      </c>
      <c r="J18" s="10"/>
    </row>
    <row r="19" spans="2:10" x14ac:dyDescent="0.25">
      <c r="B19" s="55"/>
      <c r="C19" s="14"/>
      <c r="D19" s="30"/>
      <c r="E19" s="56"/>
      <c r="F19" s="1"/>
      <c r="G19" s="1"/>
      <c r="H19" s="1"/>
      <c r="I19" s="1"/>
      <c r="J19" s="10"/>
    </row>
    <row r="20" spans="2:10" x14ac:dyDescent="0.25">
      <c r="B20" s="124" t="s">
        <v>1074</v>
      </c>
      <c r="C20" s="124">
        <f>+SUM(C5:C18)</f>
        <v>20</v>
      </c>
      <c r="D20" s="125"/>
      <c r="E20" s="139"/>
      <c r="F20" s="125">
        <f>+SUM(F5:F18)</f>
        <v>22576136.591633875</v>
      </c>
      <c r="G20" s="125">
        <f t="shared" ref="G20:I20" si="2">+SUM(G5:G18)</f>
        <v>5198401.5169373238</v>
      </c>
      <c r="H20" s="125">
        <f>+SUM(H5:H18)</f>
        <v>38080295.174384743</v>
      </c>
      <c r="I20" s="125">
        <f t="shared" si="2"/>
        <v>456963542.09261692</v>
      </c>
      <c r="J20" s="10"/>
    </row>
    <row r="21" spans="2:10" x14ac:dyDescent="0.25">
      <c r="B21" s="55"/>
      <c r="C21" s="67"/>
      <c r="D21" s="30"/>
      <c r="E21" s="56"/>
      <c r="F21" s="1"/>
      <c r="G21" s="1"/>
      <c r="H21" s="1"/>
      <c r="I21" s="1"/>
      <c r="J21" s="10"/>
    </row>
    <row r="22" spans="2:10" x14ac:dyDescent="0.25">
      <c r="B22" s="156" t="s">
        <v>1020</v>
      </c>
      <c r="C22" s="14">
        <v>1</v>
      </c>
      <c r="D22" s="30">
        <v>600000</v>
      </c>
      <c r="E22" s="56">
        <f>+(D22*'Calculos oferta -demanda 2'!$C$76)+'Costo nómina'!D22</f>
        <v>623400</v>
      </c>
      <c r="F22" s="77">
        <f>+E22</f>
        <v>623400</v>
      </c>
      <c r="G22" s="29">
        <v>0</v>
      </c>
      <c r="H22" s="29">
        <f>+E22*C22</f>
        <v>623400</v>
      </c>
      <c r="I22" s="29">
        <f>+H22*12</f>
        <v>7480800</v>
      </c>
      <c r="J22" s="10"/>
    </row>
    <row r="23" spans="2:10" x14ac:dyDescent="0.25">
      <c r="B23" s="156" t="s">
        <v>1022</v>
      </c>
      <c r="C23" s="14">
        <v>2</v>
      </c>
      <c r="D23" s="30">
        <v>600000</v>
      </c>
      <c r="E23" s="56">
        <f>+(D23*'Calculos oferta -demanda 2'!$C$76)+'Costo nómina'!D23</f>
        <v>623400</v>
      </c>
      <c r="F23" s="77">
        <f t="shared" ref="F23:F26" si="3">+E23</f>
        <v>623400</v>
      </c>
      <c r="G23" s="29">
        <v>0</v>
      </c>
      <c r="H23" s="29">
        <f t="shared" ref="H23:H26" si="4">+E23*C23</f>
        <v>1246800</v>
      </c>
      <c r="I23" s="29">
        <f t="shared" ref="I23:I26" si="5">+H23*12</f>
        <v>14961600</v>
      </c>
      <c r="J23" s="10"/>
    </row>
    <row r="24" spans="2:10" x14ac:dyDescent="0.25">
      <c r="B24" s="156" t="s">
        <v>1021</v>
      </c>
      <c r="C24" s="14">
        <v>1</v>
      </c>
      <c r="D24" s="30">
        <v>600000</v>
      </c>
      <c r="E24" s="56">
        <f>+(D24*'Calculos oferta -demanda 2'!$C$76)+'Costo nómina'!D24</f>
        <v>623400</v>
      </c>
      <c r="F24" s="77">
        <f t="shared" si="3"/>
        <v>623400</v>
      </c>
      <c r="G24" s="29">
        <v>0</v>
      </c>
      <c r="H24" s="29">
        <f t="shared" si="4"/>
        <v>623400</v>
      </c>
      <c r="I24" s="29">
        <f t="shared" si="5"/>
        <v>7480800</v>
      </c>
      <c r="J24" s="10"/>
    </row>
    <row r="25" spans="2:10" x14ac:dyDescent="0.25">
      <c r="B25" s="156" t="s">
        <v>1071</v>
      </c>
      <c r="C25" s="67">
        <v>1</v>
      </c>
      <c r="D25" s="30">
        <v>300000</v>
      </c>
      <c r="E25" s="56">
        <f>+(D25*'Calculos oferta -demanda 2'!$C$76)+'Costo nómina'!D25</f>
        <v>311700</v>
      </c>
      <c r="F25" s="77">
        <f t="shared" si="3"/>
        <v>311700</v>
      </c>
      <c r="G25" s="29">
        <v>0</v>
      </c>
      <c r="H25" s="29">
        <f t="shared" si="4"/>
        <v>311700</v>
      </c>
      <c r="I25" s="29">
        <f t="shared" si="5"/>
        <v>3740400</v>
      </c>
      <c r="J25" s="10"/>
    </row>
    <row r="26" spans="2:10" x14ac:dyDescent="0.25">
      <c r="B26" s="156" t="s">
        <v>1073</v>
      </c>
      <c r="C26" s="67">
        <v>1</v>
      </c>
      <c r="D26" s="30">
        <v>600000</v>
      </c>
      <c r="E26" s="56">
        <f>+(D26*'Calculos oferta -demanda 2'!$C$76)+'Costo nómina'!D26</f>
        <v>623400</v>
      </c>
      <c r="F26" s="77">
        <f t="shared" si="3"/>
        <v>623400</v>
      </c>
      <c r="G26" s="29">
        <v>0</v>
      </c>
      <c r="H26" s="29">
        <f t="shared" si="4"/>
        <v>623400</v>
      </c>
      <c r="I26" s="29">
        <f t="shared" si="5"/>
        <v>7480800</v>
      </c>
      <c r="J26" s="10"/>
    </row>
    <row r="27" spans="2:10" x14ac:dyDescent="0.25">
      <c r="B27" s="55"/>
      <c r="C27" s="14"/>
      <c r="D27" s="324"/>
      <c r="E27" s="56"/>
      <c r="F27" s="1"/>
      <c r="G27" s="1"/>
      <c r="H27" s="1"/>
      <c r="I27" s="1"/>
      <c r="J27" s="10"/>
    </row>
    <row r="28" spans="2:10" x14ac:dyDescent="0.25">
      <c r="B28" s="124" t="s">
        <v>1101</v>
      </c>
      <c r="C28" s="124">
        <f>+SUM(C22:C26)</f>
        <v>6</v>
      </c>
      <c r="D28" s="124"/>
      <c r="E28" s="139"/>
      <c r="F28" s="125">
        <f>+SUM(F22:F26)</f>
        <v>2805300</v>
      </c>
      <c r="G28" s="125">
        <f t="shared" ref="G28:I28" si="6">+SUM(G22:G26)</f>
        <v>0</v>
      </c>
      <c r="H28" s="125">
        <f t="shared" si="6"/>
        <v>3428700</v>
      </c>
      <c r="I28" s="125">
        <f t="shared" si="6"/>
        <v>41144400</v>
      </c>
      <c r="J28" s="10"/>
    </row>
    <row r="29" spans="2:10" x14ac:dyDescent="0.25">
      <c r="B29" s="124" t="s">
        <v>1075</v>
      </c>
      <c r="C29" s="124">
        <f>+C20+C28</f>
        <v>26</v>
      </c>
      <c r="D29" s="124"/>
      <c r="E29" s="125">
        <f t="shared" ref="E29:I29" si="7">+E20+E28</f>
        <v>0</v>
      </c>
      <c r="F29" s="125">
        <f t="shared" si="7"/>
        <v>25381436.591633875</v>
      </c>
      <c r="G29" s="125">
        <f t="shared" si="7"/>
        <v>5198401.5169373238</v>
      </c>
      <c r="H29" s="125">
        <f t="shared" si="7"/>
        <v>41508995.174384743</v>
      </c>
      <c r="I29" s="125">
        <f t="shared" si="7"/>
        <v>498107942.09261692</v>
      </c>
      <c r="J29" s="10"/>
    </row>
    <row r="32" spans="2:10" ht="15.75" thickBot="1" x14ac:dyDescent="0.3"/>
    <row r="33" spans="2:10" s="74" customFormat="1" ht="36" customHeight="1" x14ac:dyDescent="0.25">
      <c r="B33" s="765" t="s">
        <v>1048</v>
      </c>
      <c r="C33" s="765"/>
      <c r="D33" s="344"/>
      <c r="F33" s="765" t="s">
        <v>1049</v>
      </c>
      <c r="G33" s="765"/>
      <c r="I33" s="766" t="s">
        <v>1052</v>
      </c>
      <c r="J33" s="767"/>
    </row>
    <row r="34" spans="2:10" x14ac:dyDescent="0.25">
      <c r="B34" s="1" t="s">
        <v>1045</v>
      </c>
      <c r="C34" s="148">
        <f>+'Costo nómina'!E5</f>
        <v>1018902.623</v>
      </c>
      <c r="D34" s="345"/>
      <c r="F34" s="1" t="s">
        <v>1045</v>
      </c>
      <c r="G34" s="148">
        <f>+'Costo nómina'!E5</f>
        <v>1018902.623</v>
      </c>
      <c r="I34" s="149" t="s">
        <v>1044</v>
      </c>
      <c r="J34" s="150">
        <f>+G37*8.33%</f>
        <v>99904.46354204895</v>
      </c>
    </row>
    <row r="35" spans="2:10" x14ac:dyDescent="0.25">
      <c r="B35" s="1" t="s">
        <v>1043</v>
      </c>
      <c r="C35" s="148">
        <f>+(G38*20)*1.25</f>
        <v>106135.68989583335</v>
      </c>
      <c r="D35" s="345"/>
      <c r="F35" s="1" t="s">
        <v>1043</v>
      </c>
      <c r="G35" s="148">
        <f>+C35</f>
        <v>106135.68989583335</v>
      </c>
      <c r="I35" s="149" t="s">
        <v>1042</v>
      </c>
      <c r="J35" s="150">
        <f>+G37*8.33%</f>
        <v>99904.46354204895</v>
      </c>
    </row>
    <row r="36" spans="2:10" x14ac:dyDescent="0.25">
      <c r="B36" s="1" t="s">
        <v>1041</v>
      </c>
      <c r="C36" s="148">
        <f>+(G38*10)*1.75</f>
        <v>74294.982927083343</v>
      </c>
      <c r="D36" s="345"/>
      <c r="E36" s="140"/>
      <c r="F36" s="1" t="s">
        <v>1041</v>
      </c>
      <c r="G36" s="148">
        <f>+C36</f>
        <v>74294.982927083343</v>
      </c>
      <c r="I36" s="149" t="s">
        <v>1040</v>
      </c>
      <c r="J36" s="150">
        <f>+G37*1%</f>
        <v>11993.332958229166</v>
      </c>
    </row>
    <row r="37" spans="2:10" x14ac:dyDescent="0.25">
      <c r="B37" s="122" t="s">
        <v>1050</v>
      </c>
      <c r="C37" s="147">
        <f>SUM(C34:C36)</f>
        <v>1199333.2958229166</v>
      </c>
      <c r="D37" s="346"/>
      <c r="E37" s="140"/>
      <c r="F37" s="122" t="s">
        <v>1051</v>
      </c>
      <c r="G37" s="147">
        <f>SUM(G34:G36)</f>
        <v>1199333.2958229166</v>
      </c>
      <c r="I37" s="149" t="s">
        <v>1039</v>
      </c>
      <c r="J37" s="150">
        <f>+G37*4.17%</f>
        <v>50012.198435815619</v>
      </c>
    </row>
    <row r="38" spans="2:10" x14ac:dyDescent="0.25">
      <c r="B38" s="1"/>
      <c r="C38" s="148"/>
      <c r="D38" s="345"/>
      <c r="E38" s="140"/>
      <c r="F38" s="1" t="s">
        <v>1038</v>
      </c>
      <c r="G38" s="148">
        <f>+G34/240</f>
        <v>4245.4275958333337</v>
      </c>
      <c r="I38" s="149" t="s">
        <v>1037</v>
      </c>
      <c r="J38" s="150">
        <f>+G37*5%</f>
        <v>59966.664791145828</v>
      </c>
    </row>
    <row r="39" spans="2:10" ht="15.75" thickBot="1" x14ac:dyDescent="0.3">
      <c r="B39" s="1"/>
      <c r="C39" s="1"/>
      <c r="D39" s="10"/>
      <c r="E39" s="140"/>
      <c r="F39" s="1"/>
      <c r="G39" s="1"/>
      <c r="I39" s="151" t="s">
        <v>1036</v>
      </c>
      <c r="J39" s="152">
        <f>SUM(J34:J38)</f>
        <v>321781.12326928851</v>
      </c>
    </row>
    <row r="40" spans="2:10" x14ac:dyDescent="0.25">
      <c r="B40" s="1"/>
      <c r="C40" s="1"/>
      <c r="D40" s="10"/>
      <c r="E40" s="140"/>
      <c r="F40" s="1"/>
      <c r="G40" s="1"/>
      <c r="I40" s="11"/>
      <c r="J40" s="143"/>
    </row>
    <row r="41" spans="2:10" x14ac:dyDescent="0.25">
      <c r="B41" s="122" t="s">
        <v>1046</v>
      </c>
      <c r="C41" s="73"/>
      <c r="D41" s="347"/>
      <c r="E41" s="140"/>
      <c r="F41" s="122" t="s">
        <v>1047</v>
      </c>
      <c r="G41" s="73"/>
      <c r="I41" s="11"/>
      <c r="J41" s="143"/>
    </row>
    <row r="42" spans="2:10" x14ac:dyDescent="0.25">
      <c r="B42" s="1" t="s">
        <v>1035</v>
      </c>
      <c r="C42" s="148">
        <f>+C37*4%</f>
        <v>47973.331832916665</v>
      </c>
      <c r="D42" s="345"/>
      <c r="E42" s="140"/>
      <c r="F42" s="1" t="s">
        <v>1035</v>
      </c>
      <c r="G42" s="148">
        <v>0</v>
      </c>
      <c r="I42" s="11"/>
      <c r="J42" s="143"/>
    </row>
    <row r="43" spans="2:10" x14ac:dyDescent="0.25">
      <c r="B43" s="1" t="s">
        <v>1034</v>
      </c>
      <c r="C43" s="148">
        <f>+C37*4%</f>
        <v>47973.331832916665</v>
      </c>
      <c r="D43" s="345"/>
      <c r="E43" s="140"/>
      <c r="F43" s="1" t="s">
        <v>1034</v>
      </c>
      <c r="G43" s="148">
        <f>+G37*12%</f>
        <v>143919.99549874998</v>
      </c>
      <c r="I43" s="11"/>
      <c r="J43" s="143"/>
    </row>
    <row r="44" spans="2:10" x14ac:dyDescent="0.25">
      <c r="B44" s="1" t="s">
        <v>1033</v>
      </c>
      <c r="C44" s="148">
        <f>+C37*1%</f>
        <v>11993.332958229166</v>
      </c>
      <c r="D44" s="345"/>
      <c r="E44" s="140"/>
      <c r="F44" s="1" t="s">
        <v>1032</v>
      </c>
      <c r="G44" s="148">
        <f>+G37*0.52%</f>
        <v>6236.5331382791655</v>
      </c>
      <c r="I44" s="11"/>
      <c r="J44" s="143"/>
    </row>
    <row r="45" spans="2:10" ht="15.75" customHeight="1" x14ac:dyDescent="0.25">
      <c r="B45" s="1" t="s">
        <v>1031</v>
      </c>
      <c r="C45" s="148">
        <v>0</v>
      </c>
      <c r="D45" s="345"/>
      <c r="E45" s="140"/>
      <c r="F45" s="1" t="s">
        <v>1030</v>
      </c>
      <c r="G45" s="148">
        <f>+G37*4%</f>
        <v>47973.331832916665</v>
      </c>
    </row>
    <row r="46" spans="2:10" x14ac:dyDescent="0.25">
      <c r="B46" s="1" t="s">
        <v>1029</v>
      </c>
      <c r="C46" s="148">
        <v>0</v>
      </c>
      <c r="D46" s="345"/>
      <c r="E46" s="140"/>
      <c r="F46" s="1" t="s">
        <v>1028</v>
      </c>
      <c r="G46" s="148">
        <v>0</v>
      </c>
      <c r="I46" s="11"/>
      <c r="J46" s="143"/>
    </row>
    <row r="47" spans="2:10" x14ac:dyDescent="0.25">
      <c r="B47" s="122" t="s">
        <v>1027</v>
      </c>
      <c r="C47" s="147">
        <f>+SUM(C42:C44)</f>
        <v>107939.99662406249</v>
      </c>
      <c r="D47" s="346"/>
      <c r="F47" s="1" t="s">
        <v>595</v>
      </c>
      <c r="G47" s="148">
        <v>0</v>
      </c>
      <c r="I47" s="11"/>
      <c r="J47" s="143"/>
    </row>
    <row r="48" spans="2:10" ht="15.75" thickBot="1" x14ac:dyDescent="0.3">
      <c r="B48" s="145"/>
      <c r="C48" s="144"/>
      <c r="D48" s="345"/>
      <c r="F48" s="122" t="s">
        <v>1026</v>
      </c>
      <c r="G48" s="147">
        <f>SUM(G42:G47)</f>
        <v>198129.86046994582</v>
      </c>
      <c r="I48" s="12"/>
      <c r="J48" s="146"/>
    </row>
    <row r="49" spans="2:10" ht="16.5" thickBot="1" x14ac:dyDescent="0.3">
      <c r="B49" s="153" t="s">
        <v>1025</v>
      </c>
      <c r="C49" s="154">
        <f>+C37-C47</f>
        <v>1091393.299198854</v>
      </c>
      <c r="D49" s="348"/>
      <c r="F49" s="145"/>
      <c r="G49" s="144"/>
      <c r="I49" s="11"/>
      <c r="J49" s="143"/>
    </row>
    <row r="50" spans="2:10" ht="16.5" thickBot="1" x14ac:dyDescent="0.3">
      <c r="C50" s="140"/>
      <c r="D50" s="140"/>
      <c r="F50" s="153" t="s">
        <v>1024</v>
      </c>
      <c r="G50" s="154">
        <f>+G37+G48</f>
        <v>1397463.1562928623</v>
      </c>
      <c r="I50" s="142"/>
      <c r="J50" s="141"/>
    </row>
    <row r="51" spans="2:10" x14ac:dyDescent="0.25">
      <c r="C51" s="140"/>
      <c r="D51" s="140"/>
      <c r="G51" s="140"/>
    </row>
    <row r="52" spans="2:10" x14ac:dyDescent="0.25">
      <c r="C52" s="140"/>
      <c r="D52" s="140"/>
      <c r="G52" s="140"/>
    </row>
    <row r="53" spans="2:10" ht="15.75" thickBot="1" x14ac:dyDescent="0.3">
      <c r="B53" s="10"/>
      <c r="C53" s="10"/>
      <c r="D53" s="10"/>
    </row>
    <row r="54" spans="2:10" ht="15.75" x14ac:dyDescent="0.25">
      <c r="B54" s="765" t="s">
        <v>1053</v>
      </c>
      <c r="C54" s="765"/>
      <c r="D54" s="344"/>
      <c r="E54" s="74"/>
      <c r="F54" s="765" t="s">
        <v>1049</v>
      </c>
      <c r="G54" s="765"/>
      <c r="H54" s="74"/>
      <c r="I54" s="766" t="s">
        <v>1052</v>
      </c>
      <c r="J54" s="767"/>
    </row>
    <row r="55" spans="2:10" x14ac:dyDescent="0.25">
      <c r="B55" s="1" t="s">
        <v>1045</v>
      </c>
      <c r="C55" s="148">
        <f>+'Costo nómina'!E6</f>
        <v>1558500</v>
      </c>
      <c r="D55" s="345"/>
      <c r="F55" s="1" t="s">
        <v>1045</v>
      </c>
      <c r="G55" s="148">
        <f>+'Costo nómina'!E6</f>
        <v>1558500</v>
      </c>
      <c r="I55" s="149" t="s">
        <v>1044</v>
      </c>
      <c r="J55" s="150">
        <f>+G58*8.33%</f>
        <v>129823.05</v>
      </c>
    </row>
    <row r="56" spans="2:10" x14ac:dyDescent="0.25">
      <c r="B56" s="1" t="s">
        <v>1043</v>
      </c>
      <c r="C56" s="148">
        <v>0</v>
      </c>
      <c r="D56" s="345"/>
      <c r="F56" s="1" t="s">
        <v>1043</v>
      </c>
      <c r="G56" s="148">
        <f>+C56</f>
        <v>0</v>
      </c>
      <c r="I56" s="149" t="s">
        <v>1042</v>
      </c>
      <c r="J56" s="150">
        <f>+G58*8.33%</f>
        <v>129823.05</v>
      </c>
    </row>
    <row r="57" spans="2:10" x14ac:dyDescent="0.25">
      <c r="B57" s="1" t="s">
        <v>1041</v>
      </c>
      <c r="C57" s="148">
        <v>0</v>
      </c>
      <c r="D57" s="345"/>
      <c r="E57" s="140"/>
      <c r="F57" s="1" t="s">
        <v>1041</v>
      </c>
      <c r="G57" s="148">
        <f>+C57</f>
        <v>0</v>
      </c>
      <c r="I57" s="149" t="s">
        <v>1040</v>
      </c>
      <c r="J57" s="150">
        <f>+G58*1%</f>
        <v>15585</v>
      </c>
    </row>
    <row r="58" spans="2:10" x14ac:dyDescent="0.25">
      <c r="B58" s="122" t="s">
        <v>1050</v>
      </c>
      <c r="C58" s="147">
        <f>SUM(C55:C57)</f>
        <v>1558500</v>
      </c>
      <c r="D58" s="346"/>
      <c r="E58" s="140"/>
      <c r="F58" s="122" t="s">
        <v>1051</v>
      </c>
      <c r="G58" s="147">
        <f>SUM(G55:G57)</f>
        <v>1558500</v>
      </c>
      <c r="I58" s="149" t="s">
        <v>1039</v>
      </c>
      <c r="J58" s="150">
        <f>+G58*4.17%</f>
        <v>64989.450000000004</v>
      </c>
    </row>
    <row r="59" spans="2:10" x14ac:dyDescent="0.25">
      <c r="B59" s="1"/>
      <c r="C59" s="148"/>
      <c r="D59" s="345"/>
      <c r="E59" s="140"/>
      <c r="F59" s="1" t="s">
        <v>1038</v>
      </c>
      <c r="G59" s="148">
        <f>+G55/240</f>
        <v>6493.75</v>
      </c>
      <c r="I59" s="149" t="s">
        <v>1037</v>
      </c>
      <c r="J59" s="150">
        <f>+G58*5%</f>
        <v>77925</v>
      </c>
    </row>
    <row r="60" spans="2:10" ht="15.75" thickBot="1" x14ac:dyDescent="0.3">
      <c r="B60" s="1"/>
      <c r="C60" s="1"/>
      <c r="D60" s="10"/>
      <c r="E60" s="140"/>
      <c r="F60" s="1"/>
      <c r="G60" s="1"/>
      <c r="I60" s="151" t="s">
        <v>1036</v>
      </c>
      <c r="J60" s="152">
        <f>SUM(J55:J59)</f>
        <v>418145.55</v>
      </c>
    </row>
    <row r="61" spans="2:10" x14ac:dyDescent="0.25">
      <c r="B61" s="1"/>
      <c r="C61" s="1"/>
      <c r="D61" s="10"/>
      <c r="E61" s="140"/>
      <c r="F61" s="1"/>
      <c r="G61" s="1"/>
      <c r="I61" s="11"/>
      <c r="J61" s="143"/>
    </row>
    <row r="62" spans="2:10" x14ac:dyDescent="0.25">
      <c r="B62" s="122" t="s">
        <v>1046</v>
      </c>
      <c r="C62" s="73"/>
      <c r="D62" s="347"/>
      <c r="E62" s="140"/>
      <c r="F62" s="122" t="s">
        <v>1047</v>
      </c>
      <c r="G62" s="73"/>
      <c r="I62" s="11"/>
      <c r="J62" s="143"/>
    </row>
    <row r="63" spans="2:10" x14ac:dyDescent="0.25">
      <c r="B63" s="1" t="s">
        <v>1035</v>
      </c>
      <c r="C63" s="148">
        <f>+C58*4%</f>
        <v>62340</v>
      </c>
      <c r="D63" s="345"/>
      <c r="E63" s="140"/>
      <c r="F63" s="1" t="s">
        <v>1035</v>
      </c>
      <c r="G63" s="148">
        <v>0</v>
      </c>
      <c r="I63" s="11"/>
      <c r="J63" s="143"/>
    </row>
    <row r="64" spans="2:10" x14ac:dyDescent="0.25">
      <c r="B64" s="1" t="s">
        <v>1034</v>
      </c>
      <c r="C64" s="148">
        <f>+C58*4%</f>
        <v>62340</v>
      </c>
      <c r="D64" s="345"/>
      <c r="E64" s="140"/>
      <c r="F64" s="1" t="s">
        <v>1034</v>
      </c>
      <c r="G64" s="148">
        <f>+G58*12%</f>
        <v>187020</v>
      </c>
      <c r="I64" s="11"/>
      <c r="J64" s="143"/>
    </row>
    <row r="65" spans="2:10" x14ac:dyDescent="0.25">
      <c r="B65" s="1" t="s">
        <v>1033</v>
      </c>
      <c r="C65" s="148">
        <f>+C58*1%</f>
        <v>15585</v>
      </c>
      <c r="D65" s="345"/>
      <c r="E65" s="140"/>
      <c r="F65" s="1" t="s">
        <v>1032</v>
      </c>
      <c r="G65" s="148">
        <f>+G58*0.52%</f>
        <v>8104.2</v>
      </c>
      <c r="I65" s="11"/>
      <c r="J65" s="143"/>
    </row>
    <row r="66" spans="2:10" x14ac:dyDescent="0.25">
      <c r="B66" s="1" t="s">
        <v>1031</v>
      </c>
      <c r="C66" s="148">
        <v>0</v>
      </c>
      <c r="D66" s="345"/>
      <c r="E66" s="140"/>
      <c r="F66" s="1" t="s">
        <v>1030</v>
      </c>
      <c r="G66" s="148">
        <f>+G58*4%</f>
        <v>62340</v>
      </c>
    </row>
    <row r="67" spans="2:10" x14ac:dyDescent="0.25">
      <c r="B67" s="1" t="s">
        <v>1029</v>
      </c>
      <c r="C67" s="148">
        <v>0</v>
      </c>
      <c r="D67" s="345"/>
      <c r="E67" s="140"/>
      <c r="F67" s="1" t="s">
        <v>1028</v>
      </c>
      <c r="G67" s="148">
        <v>0</v>
      </c>
      <c r="I67" s="11"/>
      <c r="J67" s="143"/>
    </row>
    <row r="68" spans="2:10" x14ac:dyDescent="0.25">
      <c r="B68" s="122" t="s">
        <v>1027</v>
      </c>
      <c r="C68" s="147">
        <f>+SUM(C63:C65)</f>
        <v>140265</v>
      </c>
      <c r="D68" s="346"/>
      <c r="F68" s="1" t="s">
        <v>595</v>
      </c>
      <c r="G68" s="148">
        <v>0</v>
      </c>
      <c r="I68" s="11"/>
      <c r="J68" s="143"/>
    </row>
    <row r="69" spans="2:10" ht="15.75" thickBot="1" x14ac:dyDescent="0.3">
      <c r="B69" s="145"/>
      <c r="C69" s="144"/>
      <c r="D69" s="345"/>
      <c r="F69" s="122" t="s">
        <v>1026</v>
      </c>
      <c r="G69" s="147">
        <f>SUM(G63:G68)</f>
        <v>257464.2</v>
      </c>
      <c r="I69" s="12"/>
      <c r="J69" s="146"/>
    </row>
    <row r="70" spans="2:10" ht="16.5" thickBot="1" x14ac:dyDescent="0.3">
      <c r="B70" s="153" t="s">
        <v>1025</v>
      </c>
      <c r="C70" s="154">
        <f>+C58-C68</f>
        <v>1418235</v>
      </c>
      <c r="D70" s="348"/>
      <c r="F70" s="145"/>
      <c r="G70" s="144"/>
      <c r="I70" s="11"/>
      <c r="J70" s="143"/>
    </row>
    <row r="71" spans="2:10" ht="16.5" thickBot="1" x14ac:dyDescent="0.3">
      <c r="C71" s="140"/>
      <c r="D71" s="140"/>
      <c r="F71" s="153" t="s">
        <v>1024</v>
      </c>
      <c r="G71" s="154">
        <f>+G58+G69</f>
        <v>1815964.2</v>
      </c>
      <c r="I71" s="142"/>
      <c r="J71" s="141"/>
    </row>
    <row r="75" spans="2:10" ht="15.75" customHeight="1" thickBot="1" x14ac:dyDescent="0.3"/>
    <row r="76" spans="2:10" ht="15.75" x14ac:dyDescent="0.25">
      <c r="B76" s="765" t="s">
        <v>1226</v>
      </c>
      <c r="C76" s="765"/>
      <c r="D76" s="344"/>
      <c r="E76" s="74"/>
      <c r="F76" s="765" t="s">
        <v>1049</v>
      </c>
      <c r="G76" s="765"/>
      <c r="H76" s="74"/>
      <c r="I76" s="766" t="s">
        <v>1052</v>
      </c>
      <c r="J76" s="767"/>
    </row>
    <row r="77" spans="2:10" x14ac:dyDescent="0.25">
      <c r="B77" s="1" t="s">
        <v>1045</v>
      </c>
      <c r="C77" s="148">
        <v>1000000</v>
      </c>
      <c r="D77" s="345"/>
      <c r="F77" s="1" t="s">
        <v>1045</v>
      </c>
      <c r="G77" s="148">
        <v>1000000</v>
      </c>
      <c r="I77" s="149" t="s">
        <v>1044</v>
      </c>
      <c r="J77" s="150">
        <f>+G80*8.33%</f>
        <v>83300</v>
      </c>
    </row>
    <row r="78" spans="2:10" x14ac:dyDescent="0.25">
      <c r="B78" s="1" t="s">
        <v>1043</v>
      </c>
      <c r="C78" s="148">
        <v>0</v>
      </c>
      <c r="D78" s="345"/>
      <c r="F78" s="1" t="s">
        <v>1043</v>
      </c>
      <c r="G78" s="148">
        <f>+C78</f>
        <v>0</v>
      </c>
      <c r="I78" s="149" t="s">
        <v>1042</v>
      </c>
      <c r="J78" s="150">
        <f>+G80*8.33%</f>
        <v>83300</v>
      </c>
    </row>
    <row r="79" spans="2:10" x14ac:dyDescent="0.25">
      <c r="B79" s="1" t="s">
        <v>1041</v>
      </c>
      <c r="C79" s="148">
        <v>0</v>
      </c>
      <c r="D79" s="345"/>
      <c r="E79" s="140"/>
      <c r="F79" s="1" t="s">
        <v>1041</v>
      </c>
      <c r="G79" s="148">
        <f>+C79</f>
        <v>0</v>
      </c>
      <c r="I79" s="149" t="s">
        <v>1040</v>
      </c>
      <c r="J79" s="150">
        <f>+G80*1%</f>
        <v>10000</v>
      </c>
    </row>
    <row r="80" spans="2:10" x14ac:dyDescent="0.25">
      <c r="B80" s="122" t="s">
        <v>1050</v>
      </c>
      <c r="C80" s="147">
        <f>SUM(C77:C79)</f>
        <v>1000000</v>
      </c>
      <c r="D80" s="346"/>
      <c r="E80" s="140"/>
      <c r="F80" s="122" t="s">
        <v>1051</v>
      </c>
      <c r="G80" s="147">
        <f>SUM(G77:G79)</f>
        <v>1000000</v>
      </c>
      <c r="I80" s="149" t="s">
        <v>1039</v>
      </c>
      <c r="J80" s="150">
        <f>+G80*4.17%</f>
        <v>41700</v>
      </c>
    </row>
    <row r="81" spans="2:10" x14ac:dyDescent="0.25">
      <c r="B81" s="1"/>
      <c r="C81" s="148"/>
      <c r="D81" s="345"/>
      <c r="E81" s="140"/>
      <c r="F81" s="1" t="s">
        <v>1038</v>
      </c>
      <c r="G81" s="148">
        <f>+G77/240</f>
        <v>4166.666666666667</v>
      </c>
      <c r="I81" s="149" t="s">
        <v>1037</v>
      </c>
      <c r="J81" s="150">
        <f>+G80*5%</f>
        <v>50000</v>
      </c>
    </row>
    <row r="82" spans="2:10" ht="15.75" thickBot="1" x14ac:dyDescent="0.3">
      <c r="B82" s="1"/>
      <c r="C82" s="1"/>
      <c r="D82" s="10"/>
      <c r="E82" s="140"/>
      <c r="F82" s="1"/>
      <c r="G82" s="1"/>
      <c r="I82" s="151" t="s">
        <v>1036</v>
      </c>
      <c r="J82" s="152">
        <f>SUM(J77:J81)</f>
        <v>268300</v>
      </c>
    </row>
    <row r="83" spans="2:10" x14ac:dyDescent="0.25">
      <c r="B83" s="1"/>
      <c r="C83" s="1"/>
      <c r="D83" s="10"/>
      <c r="E83" s="140"/>
      <c r="F83" s="1"/>
      <c r="G83" s="1"/>
      <c r="I83" s="11"/>
      <c r="J83" s="143"/>
    </row>
    <row r="84" spans="2:10" x14ac:dyDescent="0.25">
      <c r="B84" s="122" t="s">
        <v>1046</v>
      </c>
      <c r="C84" s="73"/>
      <c r="D84" s="347"/>
      <c r="E84" s="140"/>
      <c r="F84" s="122" t="s">
        <v>1047</v>
      </c>
      <c r="G84" s="73"/>
      <c r="I84" s="11"/>
      <c r="J84" s="143"/>
    </row>
    <row r="85" spans="2:10" x14ac:dyDescent="0.25">
      <c r="B85" s="1" t="s">
        <v>1035</v>
      </c>
      <c r="C85" s="148">
        <f>+C80*4%</f>
        <v>40000</v>
      </c>
      <c r="D85" s="345"/>
      <c r="E85" s="140"/>
      <c r="F85" s="1" t="s">
        <v>1035</v>
      </c>
      <c r="G85" s="148">
        <v>0</v>
      </c>
      <c r="I85" s="11"/>
      <c r="J85" s="143"/>
    </row>
    <row r="86" spans="2:10" x14ac:dyDescent="0.25">
      <c r="B86" s="1" t="s">
        <v>1034</v>
      </c>
      <c r="C86" s="148">
        <f>+C80*4%</f>
        <v>40000</v>
      </c>
      <c r="D86" s="345"/>
      <c r="E86" s="140"/>
      <c r="F86" s="1" t="s">
        <v>1034</v>
      </c>
      <c r="G86" s="148">
        <f>+G80*12%</f>
        <v>120000</v>
      </c>
      <c r="I86" s="11"/>
      <c r="J86" s="143"/>
    </row>
    <row r="87" spans="2:10" x14ac:dyDescent="0.25">
      <c r="B87" s="1" t="s">
        <v>1033</v>
      </c>
      <c r="C87" s="148">
        <f>+C80*1%</f>
        <v>10000</v>
      </c>
      <c r="D87" s="345"/>
      <c r="E87" s="140"/>
      <c r="F87" s="1" t="s">
        <v>1032</v>
      </c>
      <c r="G87" s="148">
        <f>+G80*0.52%</f>
        <v>5200</v>
      </c>
      <c r="I87" s="11"/>
      <c r="J87" s="143"/>
    </row>
    <row r="88" spans="2:10" x14ac:dyDescent="0.25">
      <c r="B88" s="1" t="s">
        <v>1031</v>
      </c>
      <c r="C88" s="148">
        <v>0</v>
      </c>
      <c r="D88" s="345"/>
      <c r="E88" s="140"/>
      <c r="F88" s="1" t="s">
        <v>1030</v>
      </c>
      <c r="G88" s="148">
        <f>+G80*4%</f>
        <v>40000</v>
      </c>
    </row>
    <row r="89" spans="2:10" x14ac:dyDescent="0.25">
      <c r="B89" s="1" t="s">
        <v>1029</v>
      </c>
      <c r="C89" s="148">
        <v>0</v>
      </c>
      <c r="D89" s="345"/>
      <c r="E89" s="140"/>
      <c r="F89" s="1" t="s">
        <v>1028</v>
      </c>
      <c r="G89" s="148">
        <v>0</v>
      </c>
      <c r="I89" s="11"/>
      <c r="J89" s="143"/>
    </row>
    <row r="90" spans="2:10" x14ac:dyDescent="0.25">
      <c r="B90" s="122" t="s">
        <v>1027</v>
      </c>
      <c r="C90" s="147">
        <f>+SUM(C85:C87)</f>
        <v>90000</v>
      </c>
      <c r="D90" s="346"/>
      <c r="F90" s="1" t="s">
        <v>595</v>
      </c>
      <c r="G90" s="148">
        <v>0</v>
      </c>
      <c r="I90" s="11"/>
      <c r="J90" s="143"/>
    </row>
    <row r="91" spans="2:10" ht="15.75" thickBot="1" x14ac:dyDescent="0.3">
      <c r="B91" s="145"/>
      <c r="C91" s="144"/>
      <c r="D91" s="345"/>
      <c r="F91" s="122" t="s">
        <v>1026</v>
      </c>
      <c r="G91" s="147">
        <f>SUM(G85:G90)</f>
        <v>165200</v>
      </c>
      <c r="I91" s="12"/>
      <c r="J91" s="146"/>
    </row>
    <row r="92" spans="2:10" ht="16.5" thickBot="1" x14ac:dyDescent="0.3">
      <c r="B92" s="153" t="s">
        <v>1025</v>
      </c>
      <c r="C92" s="154">
        <f>+C80-C90</f>
        <v>910000</v>
      </c>
      <c r="D92" s="348"/>
      <c r="F92" s="145"/>
      <c r="G92" s="144"/>
      <c r="I92" s="11"/>
      <c r="J92" s="143"/>
    </row>
    <row r="93" spans="2:10" ht="16.5" thickBot="1" x14ac:dyDescent="0.3">
      <c r="C93" s="140"/>
      <c r="D93" s="140"/>
      <c r="F93" s="153" t="s">
        <v>1024</v>
      </c>
      <c r="G93" s="154">
        <f>+G80+G91</f>
        <v>1165200</v>
      </c>
      <c r="I93" s="142"/>
      <c r="J93" s="141"/>
    </row>
    <row r="97" spans="2:10" ht="15.75" thickBot="1" x14ac:dyDescent="0.3"/>
    <row r="98" spans="2:10" ht="15.75" x14ac:dyDescent="0.25">
      <c r="B98" s="765" t="s">
        <v>1054</v>
      </c>
      <c r="C98" s="765"/>
      <c r="D98" s="344"/>
      <c r="E98" s="74"/>
      <c r="F98" s="765" t="s">
        <v>1049</v>
      </c>
      <c r="G98" s="765"/>
      <c r="H98" s="74"/>
      <c r="I98" s="766" t="s">
        <v>1052</v>
      </c>
      <c r="J98" s="767"/>
    </row>
    <row r="99" spans="2:10" x14ac:dyDescent="0.25">
      <c r="B99" s="1" t="s">
        <v>1045</v>
      </c>
      <c r="C99" s="148">
        <f>+'Costo nómina'!E8</f>
        <v>1142900</v>
      </c>
      <c r="D99" s="345"/>
      <c r="F99" s="1" t="s">
        <v>1045</v>
      </c>
      <c r="G99" s="148">
        <f>+'Costo nómina'!E8</f>
        <v>1142900</v>
      </c>
      <c r="I99" s="149" t="s">
        <v>1044</v>
      </c>
      <c r="J99" s="150">
        <f>+G102*8.33%</f>
        <v>95203.569999999992</v>
      </c>
    </row>
    <row r="100" spans="2:10" x14ac:dyDescent="0.25">
      <c r="B100" s="1" t="s">
        <v>1043</v>
      </c>
      <c r="C100" s="148">
        <v>0</v>
      </c>
      <c r="D100" s="345"/>
      <c r="F100" s="1" t="s">
        <v>1043</v>
      </c>
      <c r="G100" s="148">
        <f>+C100</f>
        <v>0</v>
      </c>
      <c r="I100" s="149" t="s">
        <v>1042</v>
      </c>
      <c r="J100" s="150">
        <f>+G102*8.33%</f>
        <v>95203.569999999992</v>
      </c>
    </row>
    <row r="101" spans="2:10" x14ac:dyDescent="0.25">
      <c r="B101" s="1" t="s">
        <v>1041</v>
      </c>
      <c r="C101" s="148">
        <v>0</v>
      </c>
      <c r="D101" s="345"/>
      <c r="E101" s="140"/>
      <c r="F101" s="1" t="s">
        <v>1041</v>
      </c>
      <c r="G101" s="148">
        <f>+C101</f>
        <v>0</v>
      </c>
      <c r="I101" s="149" t="s">
        <v>1040</v>
      </c>
      <c r="J101" s="150">
        <f>+G102*1%</f>
        <v>11429</v>
      </c>
    </row>
    <row r="102" spans="2:10" x14ac:dyDescent="0.25">
      <c r="B102" s="122" t="s">
        <v>1050</v>
      </c>
      <c r="C102" s="147">
        <f>SUM(C99:C101)</f>
        <v>1142900</v>
      </c>
      <c r="D102" s="346"/>
      <c r="E102" s="140"/>
      <c r="F102" s="122" t="s">
        <v>1051</v>
      </c>
      <c r="G102" s="147">
        <f>SUM(G99:G101)</f>
        <v>1142900</v>
      </c>
      <c r="I102" s="149" t="s">
        <v>1039</v>
      </c>
      <c r="J102" s="150">
        <f>+G102*4.17%</f>
        <v>47658.93</v>
      </c>
    </row>
    <row r="103" spans="2:10" x14ac:dyDescent="0.25">
      <c r="B103" s="1"/>
      <c r="C103" s="148"/>
      <c r="D103" s="345"/>
      <c r="E103" s="140"/>
      <c r="F103" s="1" t="s">
        <v>1038</v>
      </c>
      <c r="G103" s="148">
        <f>+G99/240</f>
        <v>4762.083333333333</v>
      </c>
      <c r="I103" s="149" t="s">
        <v>1037</v>
      </c>
      <c r="J103" s="150">
        <f>+G102*5%</f>
        <v>57145</v>
      </c>
    </row>
    <row r="104" spans="2:10" ht="15.75" thickBot="1" x14ac:dyDescent="0.3">
      <c r="B104" s="1"/>
      <c r="C104" s="1"/>
      <c r="D104" s="10"/>
      <c r="E104" s="140"/>
      <c r="F104" s="1"/>
      <c r="G104" s="1"/>
      <c r="I104" s="151" t="s">
        <v>1036</v>
      </c>
      <c r="J104" s="152">
        <f>SUM(J99:J103)</f>
        <v>306640.06999999995</v>
      </c>
    </row>
    <row r="105" spans="2:10" x14ac:dyDescent="0.25">
      <c r="B105" s="1"/>
      <c r="C105" s="1"/>
      <c r="D105" s="10"/>
      <c r="E105" s="140"/>
      <c r="F105" s="1"/>
      <c r="G105" s="1"/>
      <c r="I105" s="11"/>
      <c r="J105" s="143"/>
    </row>
    <row r="106" spans="2:10" x14ac:dyDescent="0.25">
      <c r="B106" s="122" t="s">
        <v>1046</v>
      </c>
      <c r="C106" s="73"/>
      <c r="D106" s="347"/>
      <c r="E106" s="140"/>
      <c r="F106" s="122" t="s">
        <v>1047</v>
      </c>
      <c r="G106" s="73"/>
      <c r="I106" s="11"/>
      <c r="J106" s="143"/>
    </row>
    <row r="107" spans="2:10" x14ac:dyDescent="0.25">
      <c r="B107" s="1" t="s">
        <v>1035</v>
      </c>
      <c r="C107" s="148">
        <f>+C102*4%</f>
        <v>45716</v>
      </c>
      <c r="D107" s="345"/>
      <c r="E107" s="140"/>
      <c r="F107" s="1" t="s">
        <v>1035</v>
      </c>
      <c r="G107" s="148">
        <v>0</v>
      </c>
      <c r="I107" s="11"/>
      <c r="J107" s="143"/>
    </row>
    <row r="108" spans="2:10" x14ac:dyDescent="0.25">
      <c r="B108" s="1" t="s">
        <v>1034</v>
      </c>
      <c r="C108" s="148">
        <f>+C102*4%</f>
        <v>45716</v>
      </c>
      <c r="D108" s="345"/>
      <c r="E108" s="140"/>
      <c r="F108" s="1" t="s">
        <v>1034</v>
      </c>
      <c r="G108" s="148">
        <f>+G102*12%</f>
        <v>137148</v>
      </c>
      <c r="I108" s="11"/>
      <c r="J108" s="143"/>
    </row>
    <row r="109" spans="2:10" x14ac:dyDescent="0.25">
      <c r="B109" s="1" t="s">
        <v>1033</v>
      </c>
      <c r="C109" s="148">
        <f>+C102*1%</f>
        <v>11429</v>
      </c>
      <c r="D109" s="345"/>
      <c r="E109" s="140"/>
      <c r="F109" s="1" t="s">
        <v>1032</v>
      </c>
      <c r="G109" s="148">
        <f>+G102*0.52%</f>
        <v>5943.08</v>
      </c>
      <c r="I109" s="11"/>
      <c r="J109" s="143"/>
    </row>
    <row r="110" spans="2:10" x14ac:dyDescent="0.25">
      <c r="B110" s="1" t="s">
        <v>1031</v>
      </c>
      <c r="C110" s="148">
        <v>0</v>
      </c>
      <c r="D110" s="345"/>
      <c r="E110" s="140"/>
      <c r="F110" s="1" t="s">
        <v>1030</v>
      </c>
      <c r="G110" s="148">
        <f>+G102*4%</f>
        <v>45716</v>
      </c>
    </row>
    <row r="111" spans="2:10" x14ac:dyDescent="0.25">
      <c r="B111" s="1" t="s">
        <v>1029</v>
      </c>
      <c r="C111" s="148">
        <v>0</v>
      </c>
      <c r="D111" s="345"/>
      <c r="E111" s="140"/>
      <c r="F111" s="1" t="s">
        <v>1028</v>
      </c>
      <c r="G111" s="148">
        <v>0</v>
      </c>
      <c r="I111" s="11"/>
      <c r="J111" s="143"/>
    </row>
    <row r="112" spans="2:10" x14ac:dyDescent="0.25">
      <c r="B112" s="122" t="s">
        <v>1027</v>
      </c>
      <c r="C112" s="147">
        <f>+SUM(C107:C109)</f>
        <v>102861</v>
      </c>
      <c r="D112" s="346"/>
      <c r="F112" s="1" t="s">
        <v>595</v>
      </c>
      <c r="G112" s="148">
        <v>0</v>
      </c>
      <c r="I112" s="11"/>
      <c r="J112" s="143"/>
    </row>
    <row r="113" spans="2:10" ht="15.75" thickBot="1" x14ac:dyDescent="0.3">
      <c r="B113" s="145"/>
      <c r="C113" s="144"/>
      <c r="D113" s="345"/>
      <c r="F113" s="122" t="s">
        <v>1026</v>
      </c>
      <c r="G113" s="147">
        <f>SUM(G107:G112)</f>
        <v>188807.08</v>
      </c>
      <c r="I113" s="12"/>
      <c r="J113" s="146"/>
    </row>
    <row r="114" spans="2:10" ht="16.5" thickBot="1" x14ac:dyDescent="0.3">
      <c r="B114" s="153" t="s">
        <v>1025</v>
      </c>
      <c r="C114" s="154">
        <f>+C102-C112</f>
        <v>1040039</v>
      </c>
      <c r="D114" s="348"/>
      <c r="F114" s="145"/>
      <c r="G114" s="144"/>
      <c r="I114" s="11"/>
      <c r="J114" s="143"/>
    </row>
    <row r="115" spans="2:10" ht="16.5" thickBot="1" x14ac:dyDescent="0.3">
      <c r="C115" s="140"/>
      <c r="D115" s="140"/>
      <c r="F115" s="153" t="s">
        <v>1024</v>
      </c>
      <c r="G115" s="154">
        <f>+G102+G113</f>
        <v>1331707.08</v>
      </c>
      <c r="I115" s="142"/>
      <c r="J115" s="141"/>
    </row>
    <row r="118" spans="2:10" ht="15.75" thickBot="1" x14ac:dyDescent="0.3"/>
    <row r="119" spans="2:10" ht="15.75" x14ac:dyDescent="0.25">
      <c r="B119" s="765" t="s">
        <v>1055</v>
      </c>
      <c r="C119" s="765"/>
      <c r="D119" s="344"/>
      <c r="E119" s="74"/>
      <c r="F119" s="765" t="s">
        <v>1049</v>
      </c>
      <c r="G119" s="765"/>
      <c r="H119" s="74"/>
      <c r="I119" s="766" t="s">
        <v>1052</v>
      </c>
      <c r="J119" s="767"/>
    </row>
    <row r="120" spans="2:10" x14ac:dyDescent="0.25">
      <c r="B120" s="1" t="s">
        <v>1045</v>
      </c>
      <c r="C120" s="148">
        <f>+'Costo nómina'!E9</f>
        <v>1350700</v>
      </c>
      <c r="D120" s="345"/>
      <c r="F120" s="1" t="s">
        <v>1045</v>
      </c>
      <c r="G120" s="148">
        <f>+'Costo nómina'!E9</f>
        <v>1350700</v>
      </c>
      <c r="I120" s="149" t="s">
        <v>1044</v>
      </c>
      <c r="J120" s="150">
        <f>+G123*8.33%</f>
        <v>112513.31</v>
      </c>
    </row>
    <row r="121" spans="2:10" x14ac:dyDescent="0.25">
      <c r="B121" s="1" t="s">
        <v>1043</v>
      </c>
      <c r="C121" s="148">
        <v>0</v>
      </c>
      <c r="D121" s="345"/>
      <c r="F121" s="1" t="s">
        <v>1043</v>
      </c>
      <c r="G121" s="148">
        <f>+C121</f>
        <v>0</v>
      </c>
      <c r="I121" s="149" t="s">
        <v>1042</v>
      </c>
      <c r="J121" s="150">
        <f>+G123*8.33%</f>
        <v>112513.31</v>
      </c>
    </row>
    <row r="122" spans="2:10" x14ac:dyDescent="0.25">
      <c r="B122" s="1" t="s">
        <v>1041</v>
      </c>
      <c r="C122" s="148">
        <v>0</v>
      </c>
      <c r="D122" s="345"/>
      <c r="E122" s="140"/>
      <c r="F122" s="1" t="s">
        <v>1041</v>
      </c>
      <c r="G122" s="148">
        <f>+C122</f>
        <v>0</v>
      </c>
      <c r="I122" s="149" t="s">
        <v>1040</v>
      </c>
      <c r="J122" s="150">
        <f>+G123*1%</f>
        <v>13507</v>
      </c>
    </row>
    <row r="123" spans="2:10" x14ac:dyDescent="0.25">
      <c r="B123" s="122" t="s">
        <v>1050</v>
      </c>
      <c r="C123" s="147">
        <f>SUM(C120:C122)</f>
        <v>1350700</v>
      </c>
      <c r="D123" s="346"/>
      <c r="E123" s="140"/>
      <c r="F123" s="122" t="s">
        <v>1051</v>
      </c>
      <c r="G123" s="147">
        <f>SUM(G120:G122)</f>
        <v>1350700</v>
      </c>
      <c r="I123" s="149" t="s">
        <v>1039</v>
      </c>
      <c r="J123" s="150">
        <f>+G123*4.17%</f>
        <v>56324.19</v>
      </c>
    </row>
    <row r="124" spans="2:10" x14ac:dyDescent="0.25">
      <c r="B124" s="1"/>
      <c r="C124" s="148"/>
      <c r="D124" s="345"/>
      <c r="E124" s="140"/>
      <c r="F124" s="1" t="s">
        <v>1038</v>
      </c>
      <c r="G124" s="148">
        <f>+G120/240</f>
        <v>5627.916666666667</v>
      </c>
      <c r="I124" s="149" t="s">
        <v>1037</v>
      </c>
      <c r="J124" s="150">
        <f>+G123*5%</f>
        <v>67535</v>
      </c>
    </row>
    <row r="125" spans="2:10" ht="15.75" thickBot="1" x14ac:dyDescent="0.3">
      <c r="B125" s="1"/>
      <c r="C125" s="1"/>
      <c r="D125" s="10"/>
      <c r="E125" s="140"/>
      <c r="F125" s="1"/>
      <c r="G125" s="1"/>
      <c r="I125" s="151" t="s">
        <v>1036</v>
      </c>
      <c r="J125" s="152">
        <f>SUM(J120:J124)</f>
        <v>362392.81</v>
      </c>
    </row>
    <row r="126" spans="2:10" x14ac:dyDescent="0.25">
      <c r="B126" s="1"/>
      <c r="C126" s="1"/>
      <c r="D126" s="10"/>
      <c r="E126" s="140"/>
      <c r="F126" s="1"/>
      <c r="G126" s="1"/>
      <c r="I126" s="11"/>
      <c r="J126" s="143"/>
    </row>
    <row r="127" spans="2:10" x14ac:dyDescent="0.25">
      <c r="B127" s="122" t="s">
        <v>1046</v>
      </c>
      <c r="C127" s="73"/>
      <c r="D127" s="347"/>
      <c r="E127" s="140"/>
      <c r="F127" s="122" t="s">
        <v>1047</v>
      </c>
      <c r="G127" s="73"/>
      <c r="I127" s="11"/>
      <c r="J127" s="143"/>
    </row>
    <row r="128" spans="2:10" x14ac:dyDescent="0.25">
      <c r="B128" s="1" t="s">
        <v>1035</v>
      </c>
      <c r="C128" s="148">
        <f>+C123*4%</f>
        <v>54028</v>
      </c>
      <c r="D128" s="345"/>
      <c r="E128" s="140"/>
      <c r="F128" s="1" t="s">
        <v>1035</v>
      </c>
      <c r="G128" s="148">
        <v>0</v>
      </c>
      <c r="I128" s="11"/>
      <c r="J128" s="143"/>
    </row>
    <row r="129" spans="2:10" x14ac:dyDescent="0.25">
      <c r="B129" s="1" t="s">
        <v>1034</v>
      </c>
      <c r="C129" s="148">
        <f>+C123*4%</f>
        <v>54028</v>
      </c>
      <c r="D129" s="345"/>
      <c r="E129" s="140"/>
      <c r="F129" s="1" t="s">
        <v>1034</v>
      </c>
      <c r="G129" s="148">
        <f>+G123*12%</f>
        <v>162084</v>
      </c>
      <c r="I129" s="11"/>
      <c r="J129" s="143"/>
    </row>
    <row r="130" spans="2:10" x14ac:dyDescent="0.25">
      <c r="B130" s="1" t="s">
        <v>1033</v>
      </c>
      <c r="C130" s="148">
        <f>+C123*1%</f>
        <v>13507</v>
      </c>
      <c r="D130" s="345"/>
      <c r="E130" s="140"/>
      <c r="F130" s="1" t="s">
        <v>1032</v>
      </c>
      <c r="G130" s="148">
        <f>+G123*0.52%</f>
        <v>7023.6399999999994</v>
      </c>
      <c r="I130" s="11"/>
      <c r="J130" s="143"/>
    </row>
    <row r="131" spans="2:10" x14ac:dyDescent="0.25">
      <c r="B131" s="1" t="s">
        <v>1031</v>
      </c>
      <c r="C131" s="148">
        <v>0</v>
      </c>
      <c r="D131" s="345"/>
      <c r="E131" s="140"/>
      <c r="F131" s="1" t="s">
        <v>1030</v>
      </c>
      <c r="G131" s="148">
        <f>+G123*4%</f>
        <v>54028</v>
      </c>
    </row>
    <row r="132" spans="2:10" x14ac:dyDescent="0.25">
      <c r="B132" s="1" t="s">
        <v>1029</v>
      </c>
      <c r="C132" s="148">
        <v>0</v>
      </c>
      <c r="D132" s="345"/>
      <c r="E132" s="140"/>
      <c r="F132" s="1" t="s">
        <v>1028</v>
      </c>
      <c r="G132" s="148">
        <v>0</v>
      </c>
      <c r="I132" s="11"/>
      <c r="J132" s="143"/>
    </row>
    <row r="133" spans="2:10" x14ac:dyDescent="0.25">
      <c r="B133" s="122" t="s">
        <v>1027</v>
      </c>
      <c r="C133" s="147">
        <f>+SUM(C128:C130)</f>
        <v>121563</v>
      </c>
      <c r="D133" s="346"/>
      <c r="F133" s="1" t="s">
        <v>595</v>
      </c>
      <c r="G133" s="148">
        <v>0</v>
      </c>
      <c r="I133" s="11"/>
      <c r="J133" s="143"/>
    </row>
    <row r="134" spans="2:10" ht="15.75" thickBot="1" x14ac:dyDescent="0.3">
      <c r="B134" s="145"/>
      <c r="C134" s="144"/>
      <c r="D134" s="345"/>
      <c r="F134" s="122" t="s">
        <v>1026</v>
      </c>
      <c r="G134" s="147">
        <f>SUM(G128:G133)</f>
        <v>223135.64</v>
      </c>
      <c r="I134" s="12"/>
      <c r="J134" s="146"/>
    </row>
    <row r="135" spans="2:10" ht="16.5" thickBot="1" x14ac:dyDescent="0.3">
      <c r="B135" s="153" t="s">
        <v>1025</v>
      </c>
      <c r="C135" s="154">
        <f>+C123-C133</f>
        <v>1229137</v>
      </c>
      <c r="D135" s="348"/>
      <c r="F135" s="145"/>
      <c r="G135" s="144"/>
      <c r="I135" s="11"/>
      <c r="J135" s="143"/>
    </row>
    <row r="136" spans="2:10" ht="16.5" thickBot="1" x14ac:dyDescent="0.3">
      <c r="C136" s="140"/>
      <c r="D136" s="140"/>
      <c r="F136" s="153" t="s">
        <v>1024</v>
      </c>
      <c r="G136" s="154">
        <f>+G123+G134</f>
        <v>1573835.6400000001</v>
      </c>
      <c r="I136" s="142"/>
      <c r="J136" s="141"/>
    </row>
    <row r="139" spans="2:10" ht="15.75" thickBot="1" x14ac:dyDescent="0.3"/>
    <row r="140" spans="2:10" ht="15.75" x14ac:dyDescent="0.25">
      <c r="B140" s="765" t="s">
        <v>1056</v>
      </c>
      <c r="C140" s="765"/>
      <c r="D140" s="344"/>
      <c r="E140" s="74"/>
      <c r="F140" s="765" t="s">
        <v>1049</v>
      </c>
      <c r="G140" s="765"/>
      <c r="H140" s="74"/>
      <c r="I140" s="766" t="s">
        <v>1052</v>
      </c>
      <c r="J140" s="767"/>
    </row>
    <row r="141" spans="2:10" x14ac:dyDescent="0.25">
      <c r="B141" s="1" t="s">
        <v>1045</v>
      </c>
      <c r="C141" s="148">
        <f>+'Costo nómina'!E10</f>
        <v>1018902.623</v>
      </c>
      <c r="D141" s="345"/>
      <c r="F141" s="1" t="s">
        <v>1045</v>
      </c>
      <c r="G141" s="148">
        <f>+'Costo nómina'!E10</f>
        <v>1018902.623</v>
      </c>
      <c r="I141" s="149" t="s">
        <v>1044</v>
      </c>
      <c r="J141" s="150">
        <f>+G144*8.33%</f>
        <v>99904.46354204895</v>
      </c>
    </row>
    <row r="142" spans="2:10" x14ac:dyDescent="0.25">
      <c r="B142" s="1" t="s">
        <v>1043</v>
      </c>
      <c r="C142" s="148">
        <f>+(G145*20)*1.25</f>
        <v>106135.68989583335</v>
      </c>
      <c r="D142" s="345"/>
      <c r="F142" s="1" t="s">
        <v>1043</v>
      </c>
      <c r="G142" s="148">
        <f>+C142</f>
        <v>106135.68989583335</v>
      </c>
      <c r="I142" s="149" t="s">
        <v>1042</v>
      </c>
      <c r="J142" s="150">
        <f>+G144*8.33%</f>
        <v>99904.46354204895</v>
      </c>
    </row>
    <row r="143" spans="2:10" x14ac:dyDescent="0.25">
      <c r="B143" s="1" t="s">
        <v>1041</v>
      </c>
      <c r="C143" s="148">
        <f>+(G145*10)*1.75</f>
        <v>74294.982927083343</v>
      </c>
      <c r="D143" s="345"/>
      <c r="E143" s="140"/>
      <c r="F143" s="1" t="s">
        <v>1041</v>
      </c>
      <c r="G143" s="148">
        <f>+C143</f>
        <v>74294.982927083343</v>
      </c>
      <c r="I143" s="149" t="s">
        <v>1040</v>
      </c>
      <c r="J143" s="150">
        <f>+G144*1%</f>
        <v>11993.332958229166</v>
      </c>
    </row>
    <row r="144" spans="2:10" x14ac:dyDescent="0.25">
      <c r="B144" s="122" t="s">
        <v>1050</v>
      </c>
      <c r="C144" s="147">
        <f>SUM(C141:C143)</f>
        <v>1199333.2958229166</v>
      </c>
      <c r="D144" s="346"/>
      <c r="E144" s="140"/>
      <c r="F144" s="122" t="s">
        <v>1051</v>
      </c>
      <c r="G144" s="147">
        <f>SUM(G141:G143)</f>
        <v>1199333.2958229166</v>
      </c>
      <c r="I144" s="149" t="s">
        <v>1039</v>
      </c>
      <c r="J144" s="150">
        <f>+G144*4.17%</f>
        <v>50012.198435815619</v>
      </c>
    </row>
    <row r="145" spans="2:10" x14ac:dyDescent="0.25">
      <c r="B145" s="1"/>
      <c r="C145" s="148"/>
      <c r="D145" s="345"/>
      <c r="E145" s="140"/>
      <c r="F145" s="1" t="s">
        <v>1038</v>
      </c>
      <c r="G145" s="148">
        <f>+G141/240</f>
        <v>4245.4275958333337</v>
      </c>
      <c r="I145" s="149" t="s">
        <v>1037</v>
      </c>
      <c r="J145" s="150">
        <f>+G144*5%</f>
        <v>59966.664791145828</v>
      </c>
    </row>
    <row r="146" spans="2:10" ht="15.75" thickBot="1" x14ac:dyDescent="0.3">
      <c r="B146" s="1"/>
      <c r="C146" s="1"/>
      <c r="D146" s="10"/>
      <c r="E146" s="140"/>
      <c r="F146" s="1"/>
      <c r="G146" s="1"/>
      <c r="I146" s="151" t="s">
        <v>1036</v>
      </c>
      <c r="J146" s="152">
        <f>SUM(J141:J145)</f>
        <v>321781.12326928851</v>
      </c>
    </row>
    <row r="147" spans="2:10" x14ac:dyDescent="0.25">
      <c r="B147" s="1"/>
      <c r="C147" s="1"/>
      <c r="D147" s="10"/>
      <c r="E147" s="140"/>
      <c r="F147" s="1"/>
      <c r="G147" s="1"/>
      <c r="I147" s="11"/>
      <c r="J147" s="143"/>
    </row>
    <row r="148" spans="2:10" x14ac:dyDescent="0.25">
      <c r="B148" s="122" t="s">
        <v>1046</v>
      </c>
      <c r="C148" s="73"/>
      <c r="D148" s="347"/>
      <c r="E148" s="140"/>
      <c r="F148" s="122" t="s">
        <v>1047</v>
      </c>
      <c r="G148" s="73"/>
      <c r="I148" s="11"/>
      <c r="J148" s="143"/>
    </row>
    <row r="149" spans="2:10" x14ac:dyDescent="0.25">
      <c r="B149" s="1" t="s">
        <v>1035</v>
      </c>
      <c r="C149" s="148">
        <f>+C144*4%</f>
        <v>47973.331832916665</v>
      </c>
      <c r="D149" s="345"/>
      <c r="E149" s="140"/>
      <c r="F149" s="1" t="s">
        <v>1035</v>
      </c>
      <c r="G149" s="148">
        <v>0</v>
      </c>
      <c r="I149" s="11"/>
      <c r="J149" s="143"/>
    </row>
    <row r="150" spans="2:10" x14ac:dyDescent="0.25">
      <c r="B150" s="1" t="s">
        <v>1034</v>
      </c>
      <c r="C150" s="148">
        <f>+C144*4%</f>
        <v>47973.331832916665</v>
      </c>
      <c r="D150" s="345"/>
      <c r="E150" s="140"/>
      <c r="F150" s="1" t="s">
        <v>1034</v>
      </c>
      <c r="G150" s="148">
        <f>+G144*12%</f>
        <v>143919.99549874998</v>
      </c>
      <c r="I150" s="11"/>
      <c r="J150" s="143"/>
    </row>
    <row r="151" spans="2:10" x14ac:dyDescent="0.25">
      <c r="B151" s="1" t="s">
        <v>1033</v>
      </c>
      <c r="C151" s="148">
        <f>+C144*1%</f>
        <v>11993.332958229166</v>
      </c>
      <c r="D151" s="345"/>
      <c r="E151" s="140"/>
      <c r="F151" s="1" t="s">
        <v>1032</v>
      </c>
      <c r="G151" s="148">
        <f>+G144*0.52%</f>
        <v>6236.5331382791655</v>
      </c>
      <c r="I151" s="11"/>
      <c r="J151" s="143"/>
    </row>
    <row r="152" spans="2:10" x14ac:dyDescent="0.25">
      <c r="B152" s="1" t="s">
        <v>1031</v>
      </c>
      <c r="C152" s="148">
        <v>0</v>
      </c>
      <c r="D152" s="345"/>
      <c r="E152" s="140"/>
      <c r="F152" s="1" t="s">
        <v>1030</v>
      </c>
      <c r="G152" s="148">
        <f>+G144*4%</f>
        <v>47973.331832916665</v>
      </c>
    </row>
    <row r="153" spans="2:10" x14ac:dyDescent="0.25">
      <c r="B153" s="1" t="s">
        <v>1029</v>
      </c>
      <c r="C153" s="148">
        <v>0</v>
      </c>
      <c r="D153" s="345"/>
      <c r="E153" s="140"/>
      <c r="F153" s="1" t="s">
        <v>1028</v>
      </c>
      <c r="G153" s="148">
        <v>0</v>
      </c>
      <c r="I153" s="11"/>
      <c r="J153" s="143"/>
    </row>
    <row r="154" spans="2:10" x14ac:dyDescent="0.25">
      <c r="B154" s="122" t="s">
        <v>1027</v>
      </c>
      <c r="C154" s="147">
        <f>+SUM(C149:C151)</f>
        <v>107939.99662406249</v>
      </c>
      <c r="D154" s="346"/>
      <c r="F154" s="1" t="s">
        <v>595</v>
      </c>
      <c r="G154" s="148">
        <v>0</v>
      </c>
      <c r="I154" s="11"/>
      <c r="J154" s="143"/>
    </row>
    <row r="155" spans="2:10" ht="15.75" thickBot="1" x14ac:dyDescent="0.3">
      <c r="B155" s="145"/>
      <c r="C155" s="144"/>
      <c r="D155" s="345"/>
      <c r="F155" s="122" t="s">
        <v>1026</v>
      </c>
      <c r="G155" s="147">
        <f>SUM(G149:G154)</f>
        <v>198129.86046994582</v>
      </c>
      <c r="I155" s="12"/>
      <c r="J155" s="146"/>
    </row>
    <row r="156" spans="2:10" ht="16.5" thickBot="1" x14ac:dyDescent="0.3">
      <c r="B156" s="153" t="s">
        <v>1025</v>
      </c>
      <c r="C156" s="154">
        <f>+C144-C154</f>
        <v>1091393.299198854</v>
      </c>
      <c r="D156" s="348"/>
      <c r="F156" s="145"/>
      <c r="G156" s="144"/>
      <c r="I156" s="11"/>
      <c r="J156" s="143"/>
    </row>
    <row r="157" spans="2:10" ht="16.5" thickBot="1" x14ac:dyDescent="0.3">
      <c r="C157" s="140"/>
      <c r="D157" s="140"/>
      <c r="F157" s="153" t="s">
        <v>1024</v>
      </c>
      <c r="G157" s="154">
        <f>+G144+G155</f>
        <v>1397463.1562928623</v>
      </c>
      <c r="I157" s="142"/>
      <c r="J157" s="141"/>
    </row>
    <row r="160" spans="2:10" ht="15.75" thickBot="1" x14ac:dyDescent="0.3"/>
    <row r="161" spans="2:10" ht="15.75" x14ac:dyDescent="0.25">
      <c r="B161" s="765" t="s">
        <v>1057</v>
      </c>
      <c r="C161" s="765"/>
      <c r="D161" s="344"/>
      <c r="E161" s="74"/>
      <c r="F161" s="765" t="s">
        <v>1049</v>
      </c>
      <c r="G161" s="765"/>
      <c r="H161" s="74"/>
      <c r="I161" s="766" t="s">
        <v>1052</v>
      </c>
      <c r="J161" s="767"/>
    </row>
    <row r="162" spans="2:10" x14ac:dyDescent="0.25">
      <c r="B162" s="1" t="s">
        <v>1045</v>
      </c>
      <c r="C162" s="148">
        <f>+'Costo nómina'!E11</f>
        <v>1018902.623</v>
      </c>
      <c r="D162" s="345"/>
      <c r="F162" s="1" t="s">
        <v>1045</v>
      </c>
      <c r="G162" s="148">
        <f>+'Costo nómina'!E11</f>
        <v>1018902.623</v>
      </c>
      <c r="I162" s="149" t="s">
        <v>1044</v>
      </c>
      <c r="J162" s="150">
        <f>+G165*8.33%</f>
        <v>99904.46354204895</v>
      </c>
    </row>
    <row r="163" spans="2:10" x14ac:dyDescent="0.25">
      <c r="B163" s="1" t="s">
        <v>1043</v>
      </c>
      <c r="C163" s="148">
        <f>+(G166*20)*1.25</f>
        <v>106135.68989583335</v>
      </c>
      <c r="D163" s="345"/>
      <c r="F163" s="1" t="s">
        <v>1043</v>
      </c>
      <c r="G163" s="148">
        <f>+C163</f>
        <v>106135.68989583335</v>
      </c>
      <c r="I163" s="149" t="s">
        <v>1042</v>
      </c>
      <c r="J163" s="150">
        <f>+G165*8.33%</f>
        <v>99904.46354204895</v>
      </c>
    </row>
    <row r="164" spans="2:10" x14ac:dyDescent="0.25">
      <c r="B164" s="1" t="s">
        <v>1041</v>
      </c>
      <c r="C164" s="148">
        <f>+(G166*10)*1.75</f>
        <v>74294.982927083343</v>
      </c>
      <c r="D164" s="345"/>
      <c r="E164" s="140"/>
      <c r="F164" s="1" t="s">
        <v>1041</v>
      </c>
      <c r="G164" s="148">
        <f>+C164</f>
        <v>74294.982927083343</v>
      </c>
      <c r="I164" s="149" t="s">
        <v>1040</v>
      </c>
      <c r="J164" s="150">
        <f>+G165*1%</f>
        <v>11993.332958229166</v>
      </c>
    </row>
    <row r="165" spans="2:10" x14ac:dyDescent="0.25">
      <c r="B165" s="122" t="s">
        <v>1050</v>
      </c>
      <c r="C165" s="147">
        <f>SUM(C162:C164)</f>
        <v>1199333.2958229166</v>
      </c>
      <c r="D165" s="346"/>
      <c r="E165" s="140"/>
      <c r="F165" s="122" t="s">
        <v>1051</v>
      </c>
      <c r="G165" s="147">
        <f>SUM(G162:G164)</f>
        <v>1199333.2958229166</v>
      </c>
      <c r="I165" s="149" t="s">
        <v>1039</v>
      </c>
      <c r="J165" s="150">
        <f>+G165*4.17%</f>
        <v>50012.198435815619</v>
      </c>
    </row>
    <row r="166" spans="2:10" x14ac:dyDescent="0.25">
      <c r="B166" s="1"/>
      <c r="C166" s="148"/>
      <c r="D166" s="345"/>
      <c r="E166" s="140"/>
      <c r="F166" s="1" t="s">
        <v>1038</v>
      </c>
      <c r="G166" s="148">
        <f>+G162/240</f>
        <v>4245.4275958333337</v>
      </c>
      <c r="I166" s="149" t="s">
        <v>1037</v>
      </c>
      <c r="J166" s="150">
        <f>+G165*5%</f>
        <v>59966.664791145828</v>
      </c>
    </row>
    <row r="167" spans="2:10" ht="15.75" thickBot="1" x14ac:dyDescent="0.3">
      <c r="B167" s="1"/>
      <c r="C167" s="1"/>
      <c r="D167" s="10"/>
      <c r="E167" s="140"/>
      <c r="F167" s="1"/>
      <c r="G167" s="1"/>
      <c r="I167" s="151" t="s">
        <v>1036</v>
      </c>
      <c r="J167" s="152">
        <f>SUM(J162:J166)</f>
        <v>321781.12326928851</v>
      </c>
    </row>
    <row r="168" spans="2:10" x14ac:dyDescent="0.25">
      <c r="B168" s="1"/>
      <c r="C168" s="1"/>
      <c r="D168" s="10"/>
      <c r="E168" s="140"/>
      <c r="F168" s="1"/>
      <c r="G168" s="1"/>
      <c r="I168" s="11"/>
      <c r="J168" s="143"/>
    </row>
    <row r="169" spans="2:10" x14ac:dyDescent="0.25">
      <c r="B169" s="122" t="s">
        <v>1046</v>
      </c>
      <c r="C169" s="73"/>
      <c r="D169" s="347"/>
      <c r="E169" s="140"/>
      <c r="F169" s="122" t="s">
        <v>1047</v>
      </c>
      <c r="G169" s="73"/>
      <c r="I169" s="11"/>
      <c r="J169" s="143"/>
    </row>
    <row r="170" spans="2:10" x14ac:dyDescent="0.25">
      <c r="B170" s="1" t="s">
        <v>1035</v>
      </c>
      <c r="C170" s="148">
        <f>+C165*4%</f>
        <v>47973.331832916665</v>
      </c>
      <c r="D170" s="345"/>
      <c r="E170" s="140"/>
      <c r="F170" s="1" t="s">
        <v>1035</v>
      </c>
      <c r="G170" s="148">
        <v>0</v>
      </c>
      <c r="I170" s="11"/>
      <c r="J170" s="143"/>
    </row>
    <row r="171" spans="2:10" x14ac:dyDescent="0.25">
      <c r="B171" s="1" t="s">
        <v>1034</v>
      </c>
      <c r="C171" s="148">
        <f>+C165*4%</f>
        <v>47973.331832916665</v>
      </c>
      <c r="D171" s="345"/>
      <c r="E171" s="140"/>
      <c r="F171" s="1" t="s">
        <v>1034</v>
      </c>
      <c r="G171" s="148">
        <f>+G165*12%</f>
        <v>143919.99549874998</v>
      </c>
      <c r="I171" s="11"/>
      <c r="J171" s="143"/>
    </row>
    <row r="172" spans="2:10" x14ac:dyDescent="0.25">
      <c r="B172" s="1" t="s">
        <v>1033</v>
      </c>
      <c r="C172" s="148">
        <f>+C165*1%</f>
        <v>11993.332958229166</v>
      </c>
      <c r="D172" s="345"/>
      <c r="E172" s="140"/>
      <c r="F172" s="1" t="s">
        <v>1032</v>
      </c>
      <c r="G172" s="148">
        <f>+G165*0.52%</f>
        <v>6236.5331382791655</v>
      </c>
      <c r="I172" s="11"/>
      <c r="J172" s="143"/>
    </row>
    <row r="173" spans="2:10" x14ac:dyDescent="0.25">
      <c r="B173" s="1" t="s">
        <v>1031</v>
      </c>
      <c r="C173" s="148">
        <v>0</v>
      </c>
      <c r="D173" s="345"/>
      <c r="E173" s="140"/>
      <c r="F173" s="1" t="s">
        <v>1030</v>
      </c>
      <c r="G173" s="148">
        <f>+G165*4%</f>
        <v>47973.331832916665</v>
      </c>
    </row>
    <row r="174" spans="2:10" x14ac:dyDescent="0.25">
      <c r="B174" s="1" t="s">
        <v>1029</v>
      </c>
      <c r="C174" s="148">
        <v>0</v>
      </c>
      <c r="D174" s="345"/>
      <c r="E174" s="140"/>
      <c r="F174" s="1" t="s">
        <v>1028</v>
      </c>
      <c r="G174" s="148">
        <v>0</v>
      </c>
      <c r="I174" s="11"/>
      <c r="J174" s="143"/>
    </row>
    <row r="175" spans="2:10" x14ac:dyDescent="0.25">
      <c r="B175" s="122" t="s">
        <v>1027</v>
      </c>
      <c r="C175" s="147">
        <f>+SUM(C170:C172)</f>
        <v>107939.99662406249</v>
      </c>
      <c r="D175" s="346"/>
      <c r="F175" s="1" t="s">
        <v>595</v>
      </c>
      <c r="G175" s="148">
        <v>0</v>
      </c>
      <c r="I175" s="11"/>
      <c r="J175" s="143"/>
    </row>
    <row r="176" spans="2:10" ht="15.75" thickBot="1" x14ac:dyDescent="0.3">
      <c r="B176" s="145"/>
      <c r="C176" s="144"/>
      <c r="D176" s="345"/>
      <c r="F176" s="122" t="s">
        <v>1026</v>
      </c>
      <c r="G176" s="147">
        <f>SUM(G170:G175)</f>
        <v>198129.86046994582</v>
      </c>
      <c r="I176" s="12"/>
      <c r="J176" s="146"/>
    </row>
    <row r="177" spans="2:10" ht="16.5" thickBot="1" x14ac:dyDescent="0.3">
      <c r="B177" s="153" t="s">
        <v>1025</v>
      </c>
      <c r="C177" s="154">
        <f>+C165-C175</f>
        <v>1091393.299198854</v>
      </c>
      <c r="D177" s="348"/>
      <c r="F177" s="145"/>
      <c r="G177" s="144"/>
      <c r="I177" s="11"/>
      <c r="J177" s="143"/>
    </row>
    <row r="178" spans="2:10" ht="16.5" thickBot="1" x14ac:dyDescent="0.3">
      <c r="C178" s="140"/>
      <c r="D178" s="140"/>
      <c r="F178" s="153" t="s">
        <v>1024</v>
      </c>
      <c r="G178" s="154">
        <f>+G165+G176</f>
        <v>1397463.1562928623</v>
      </c>
      <c r="I178" s="142"/>
      <c r="J178" s="141"/>
    </row>
    <row r="181" spans="2:10" ht="15.75" thickBot="1" x14ac:dyDescent="0.3"/>
    <row r="182" spans="2:10" ht="15.75" x14ac:dyDescent="0.25">
      <c r="B182" s="765" t="s">
        <v>1058</v>
      </c>
      <c r="C182" s="765"/>
      <c r="D182" s="344"/>
      <c r="E182" s="74"/>
      <c r="F182" s="765" t="s">
        <v>1049</v>
      </c>
      <c r="G182" s="765"/>
      <c r="H182" s="74"/>
      <c r="I182" s="766" t="s">
        <v>1052</v>
      </c>
      <c r="J182" s="767"/>
    </row>
    <row r="183" spans="2:10" x14ac:dyDescent="0.25">
      <c r="B183" s="1" t="s">
        <v>1045</v>
      </c>
      <c r="C183" s="148">
        <f>+'Costo nómina'!E12</f>
        <v>3117000</v>
      </c>
      <c r="D183" s="345"/>
      <c r="F183" s="1" t="s">
        <v>1045</v>
      </c>
      <c r="G183" s="148">
        <f>+'Costo nómina'!E12</f>
        <v>3117000</v>
      </c>
      <c r="I183" s="149" t="s">
        <v>1044</v>
      </c>
      <c r="J183" s="150">
        <f>+G186*8.33%</f>
        <v>305625.09687499999</v>
      </c>
    </row>
    <row r="184" spans="2:10" x14ac:dyDescent="0.25">
      <c r="B184" s="1" t="s">
        <v>1043</v>
      </c>
      <c r="C184" s="148">
        <f>+(G187*20)*1.25</f>
        <v>324687.5</v>
      </c>
      <c r="D184" s="345"/>
      <c r="F184" s="1" t="s">
        <v>1043</v>
      </c>
      <c r="G184" s="148">
        <f>+C184</f>
        <v>324687.5</v>
      </c>
      <c r="I184" s="149" t="s">
        <v>1042</v>
      </c>
      <c r="J184" s="150">
        <f>+G186*8.33%</f>
        <v>305625.09687499999</v>
      </c>
    </row>
    <row r="185" spans="2:10" x14ac:dyDescent="0.25">
      <c r="B185" s="1" t="s">
        <v>1041</v>
      </c>
      <c r="C185" s="148">
        <f>+(G187*10)*1.75</f>
        <v>227281.25</v>
      </c>
      <c r="D185" s="345"/>
      <c r="E185" s="140"/>
      <c r="F185" s="1" t="s">
        <v>1041</v>
      </c>
      <c r="G185" s="148">
        <f>+C185</f>
        <v>227281.25</v>
      </c>
      <c r="I185" s="149" t="s">
        <v>1040</v>
      </c>
      <c r="J185" s="150">
        <f>+G186*1%</f>
        <v>36689.6875</v>
      </c>
    </row>
    <row r="186" spans="2:10" x14ac:dyDescent="0.25">
      <c r="B186" s="122" t="s">
        <v>1050</v>
      </c>
      <c r="C186" s="147">
        <f>SUM(C183:C185)</f>
        <v>3668968.75</v>
      </c>
      <c r="D186" s="346"/>
      <c r="E186" s="140"/>
      <c r="F186" s="122" t="s">
        <v>1051</v>
      </c>
      <c r="G186" s="147">
        <f>SUM(G183:G185)</f>
        <v>3668968.75</v>
      </c>
      <c r="I186" s="149" t="s">
        <v>1039</v>
      </c>
      <c r="J186" s="150">
        <f>+G186*4.17%</f>
        <v>152995.99687500001</v>
      </c>
    </row>
    <row r="187" spans="2:10" x14ac:dyDescent="0.25">
      <c r="B187" s="1"/>
      <c r="C187" s="148"/>
      <c r="D187" s="345"/>
      <c r="E187" s="140"/>
      <c r="F187" s="1" t="s">
        <v>1038</v>
      </c>
      <c r="G187" s="148">
        <f>+G183/240</f>
        <v>12987.5</v>
      </c>
      <c r="I187" s="149" t="s">
        <v>1037</v>
      </c>
      <c r="J187" s="150">
        <f>+G186*5%</f>
        <v>183448.4375</v>
      </c>
    </row>
    <row r="188" spans="2:10" ht="15.75" thickBot="1" x14ac:dyDescent="0.3">
      <c r="B188" s="1"/>
      <c r="C188" s="1"/>
      <c r="D188" s="10"/>
      <c r="E188" s="140"/>
      <c r="F188" s="1"/>
      <c r="G188" s="1"/>
      <c r="I188" s="151" t="s">
        <v>1036</v>
      </c>
      <c r="J188" s="152">
        <f>SUM(J183:J187)</f>
        <v>984384.31562500005</v>
      </c>
    </row>
    <row r="189" spans="2:10" x14ac:dyDescent="0.25">
      <c r="B189" s="1"/>
      <c r="C189" s="1"/>
      <c r="D189" s="10"/>
      <c r="E189" s="140"/>
      <c r="F189" s="1"/>
      <c r="G189" s="1"/>
      <c r="I189" s="11"/>
      <c r="J189" s="143"/>
    </row>
    <row r="190" spans="2:10" x14ac:dyDescent="0.25">
      <c r="B190" s="122" t="s">
        <v>1046</v>
      </c>
      <c r="C190" s="73"/>
      <c r="D190" s="347"/>
      <c r="E190" s="140"/>
      <c r="F190" s="122" t="s">
        <v>1047</v>
      </c>
      <c r="G190" s="73"/>
      <c r="I190" s="11"/>
      <c r="J190" s="143"/>
    </row>
    <row r="191" spans="2:10" x14ac:dyDescent="0.25">
      <c r="B191" s="1" t="s">
        <v>1035</v>
      </c>
      <c r="C191" s="148">
        <f>+C186*4%</f>
        <v>146758.75</v>
      </c>
      <c r="D191" s="345"/>
      <c r="E191" s="140"/>
      <c r="F191" s="1" t="s">
        <v>1035</v>
      </c>
      <c r="G191" s="148">
        <v>0</v>
      </c>
      <c r="I191" s="11"/>
      <c r="J191" s="143"/>
    </row>
    <row r="192" spans="2:10" x14ac:dyDescent="0.25">
      <c r="B192" s="1" t="s">
        <v>1034</v>
      </c>
      <c r="C192" s="148">
        <f>+C186*4%</f>
        <v>146758.75</v>
      </c>
      <c r="D192" s="345"/>
      <c r="E192" s="140"/>
      <c r="F192" s="1" t="s">
        <v>1034</v>
      </c>
      <c r="G192" s="148">
        <f>+G186*12%</f>
        <v>440276.25</v>
      </c>
      <c r="I192" s="11"/>
      <c r="J192" s="143"/>
    </row>
    <row r="193" spans="2:10" x14ac:dyDescent="0.25">
      <c r="B193" s="1" t="s">
        <v>1033</v>
      </c>
      <c r="C193" s="148">
        <f>+C186*1%</f>
        <v>36689.6875</v>
      </c>
      <c r="D193" s="345"/>
      <c r="E193" s="140"/>
      <c r="F193" s="1" t="s">
        <v>1032</v>
      </c>
      <c r="G193" s="148">
        <f>+G186*0.52%</f>
        <v>19078.637500000001</v>
      </c>
      <c r="I193" s="11"/>
      <c r="J193" s="143"/>
    </row>
    <row r="194" spans="2:10" x14ac:dyDescent="0.25">
      <c r="B194" s="1" t="s">
        <v>1031</v>
      </c>
      <c r="C194" s="148">
        <v>0</v>
      </c>
      <c r="D194" s="345"/>
      <c r="E194" s="140"/>
      <c r="F194" s="1" t="s">
        <v>1030</v>
      </c>
      <c r="G194" s="148">
        <f>+G186*4%</f>
        <v>146758.75</v>
      </c>
    </row>
    <row r="195" spans="2:10" x14ac:dyDescent="0.25">
      <c r="B195" s="1" t="s">
        <v>1029</v>
      </c>
      <c r="C195" s="148">
        <v>0</v>
      </c>
      <c r="D195" s="345"/>
      <c r="E195" s="140"/>
      <c r="F195" s="1" t="s">
        <v>1028</v>
      </c>
      <c r="G195" s="148">
        <v>0</v>
      </c>
      <c r="I195" s="11"/>
      <c r="J195" s="143"/>
    </row>
    <row r="196" spans="2:10" x14ac:dyDescent="0.25">
      <c r="B196" s="122" t="s">
        <v>1027</v>
      </c>
      <c r="C196" s="147">
        <f>+SUM(C191:C193)</f>
        <v>330207.1875</v>
      </c>
      <c r="D196" s="346"/>
      <c r="F196" s="1" t="s">
        <v>595</v>
      </c>
      <c r="G196" s="148">
        <v>0</v>
      </c>
      <c r="I196" s="11"/>
      <c r="J196" s="143"/>
    </row>
    <row r="197" spans="2:10" ht="15.75" thickBot="1" x14ac:dyDescent="0.3">
      <c r="B197" s="145"/>
      <c r="C197" s="144"/>
      <c r="D197" s="345"/>
      <c r="F197" s="122" t="s">
        <v>1026</v>
      </c>
      <c r="G197" s="147">
        <f>SUM(G191:G196)</f>
        <v>606113.63749999995</v>
      </c>
      <c r="I197" s="12"/>
      <c r="J197" s="146"/>
    </row>
    <row r="198" spans="2:10" ht="16.5" thickBot="1" x14ac:dyDescent="0.3">
      <c r="B198" s="153" t="s">
        <v>1025</v>
      </c>
      <c r="C198" s="154">
        <f>+C186-C196</f>
        <v>3338761.5625</v>
      </c>
      <c r="D198" s="348"/>
      <c r="F198" s="145"/>
      <c r="G198" s="144"/>
      <c r="I198" s="11"/>
      <c r="J198" s="143"/>
    </row>
    <row r="199" spans="2:10" ht="16.5" thickBot="1" x14ac:dyDescent="0.3">
      <c r="C199" s="140"/>
      <c r="D199" s="140"/>
      <c r="F199" s="153" t="s">
        <v>1024</v>
      </c>
      <c r="G199" s="154">
        <f>+G186+G197</f>
        <v>4275082.3875000002</v>
      </c>
      <c r="I199" s="142"/>
      <c r="J199" s="141"/>
    </row>
    <row r="201" spans="2:10" ht="15.75" thickBot="1" x14ac:dyDescent="0.3"/>
    <row r="202" spans="2:10" ht="15.75" x14ac:dyDescent="0.25">
      <c r="B202" s="765" t="s">
        <v>1059</v>
      </c>
      <c r="C202" s="765"/>
      <c r="D202" s="344"/>
      <c r="E202" s="74"/>
      <c r="F202" s="765" t="s">
        <v>1049</v>
      </c>
      <c r="G202" s="765"/>
      <c r="H202" s="74"/>
      <c r="I202" s="766" t="s">
        <v>1052</v>
      </c>
      <c r="J202" s="767"/>
    </row>
    <row r="203" spans="2:10" x14ac:dyDescent="0.25">
      <c r="B203" s="1" t="s">
        <v>1045</v>
      </c>
      <c r="C203" s="148">
        <f>+'Costo nómina'!E13</f>
        <v>1018902.623</v>
      </c>
      <c r="D203" s="345"/>
      <c r="F203" s="1" t="s">
        <v>1045</v>
      </c>
      <c r="G203" s="148">
        <f>+'Costo nómina'!E13</f>
        <v>1018902.623</v>
      </c>
      <c r="I203" s="149" t="s">
        <v>1044</v>
      </c>
      <c r="J203" s="150">
        <f>+G206*8.33%</f>
        <v>99904.46354204895</v>
      </c>
    </row>
    <row r="204" spans="2:10" x14ac:dyDescent="0.25">
      <c r="B204" s="1" t="s">
        <v>1043</v>
      </c>
      <c r="C204" s="148">
        <f>+(G207*20)*1.25</f>
        <v>106135.68989583335</v>
      </c>
      <c r="D204" s="345"/>
      <c r="F204" s="1" t="s">
        <v>1043</v>
      </c>
      <c r="G204" s="148">
        <f>+C204</f>
        <v>106135.68989583335</v>
      </c>
      <c r="I204" s="149" t="s">
        <v>1042</v>
      </c>
      <c r="J204" s="150">
        <f>+G206*8.33%</f>
        <v>99904.46354204895</v>
      </c>
    </row>
    <row r="205" spans="2:10" x14ac:dyDescent="0.25">
      <c r="B205" s="1" t="s">
        <v>1041</v>
      </c>
      <c r="C205" s="148">
        <f>+(G207*10)*1.75</f>
        <v>74294.982927083343</v>
      </c>
      <c r="D205" s="345"/>
      <c r="E205" s="140"/>
      <c r="F205" s="1" t="s">
        <v>1041</v>
      </c>
      <c r="G205" s="148">
        <f>+C205</f>
        <v>74294.982927083343</v>
      </c>
      <c r="I205" s="149" t="s">
        <v>1040</v>
      </c>
      <c r="J205" s="150">
        <f>+G206*1%</f>
        <v>11993.332958229166</v>
      </c>
    </row>
    <row r="206" spans="2:10" x14ac:dyDescent="0.25">
      <c r="B206" s="122" t="s">
        <v>1050</v>
      </c>
      <c r="C206" s="147">
        <f>SUM(C203:C205)</f>
        <v>1199333.2958229166</v>
      </c>
      <c r="D206" s="346"/>
      <c r="E206" s="140"/>
      <c r="F206" s="122" t="s">
        <v>1051</v>
      </c>
      <c r="G206" s="147">
        <f>SUM(G203:G205)</f>
        <v>1199333.2958229166</v>
      </c>
      <c r="I206" s="149" t="s">
        <v>1039</v>
      </c>
      <c r="J206" s="150">
        <f>+G206*4.17%</f>
        <v>50012.198435815619</v>
      </c>
    </row>
    <row r="207" spans="2:10" x14ac:dyDescent="0.25">
      <c r="B207" s="1"/>
      <c r="C207" s="148"/>
      <c r="D207" s="345"/>
      <c r="E207" s="140"/>
      <c r="F207" s="1" t="s">
        <v>1038</v>
      </c>
      <c r="G207" s="148">
        <f>+G203/240</f>
        <v>4245.4275958333337</v>
      </c>
      <c r="I207" s="149" t="s">
        <v>1037</v>
      </c>
      <c r="J207" s="150">
        <f>+G206*5%</f>
        <v>59966.664791145828</v>
      </c>
    </row>
    <row r="208" spans="2:10" ht="15.75" thickBot="1" x14ac:dyDescent="0.3">
      <c r="B208" s="1"/>
      <c r="C208" s="1"/>
      <c r="D208" s="10"/>
      <c r="E208" s="140"/>
      <c r="F208" s="1"/>
      <c r="G208" s="1"/>
      <c r="I208" s="151" t="s">
        <v>1036</v>
      </c>
      <c r="J208" s="152">
        <f>SUM(J203:J207)</f>
        <v>321781.12326928851</v>
      </c>
    </row>
    <row r="209" spans="2:10" x14ac:dyDescent="0.25">
      <c r="B209" s="1"/>
      <c r="C209" s="1"/>
      <c r="D209" s="10"/>
      <c r="E209" s="140"/>
      <c r="F209" s="1"/>
      <c r="G209" s="1"/>
      <c r="I209" s="11"/>
      <c r="J209" s="143"/>
    </row>
    <row r="210" spans="2:10" x14ac:dyDescent="0.25">
      <c r="B210" s="122" t="s">
        <v>1046</v>
      </c>
      <c r="C210" s="73"/>
      <c r="D210" s="347"/>
      <c r="E210" s="140"/>
      <c r="F210" s="122" t="s">
        <v>1047</v>
      </c>
      <c r="G210" s="73"/>
      <c r="I210" s="11"/>
      <c r="J210" s="143"/>
    </row>
    <row r="211" spans="2:10" x14ac:dyDescent="0.25">
      <c r="B211" s="1" t="s">
        <v>1035</v>
      </c>
      <c r="C211" s="148">
        <f>+C206*4%</f>
        <v>47973.331832916665</v>
      </c>
      <c r="D211" s="345"/>
      <c r="E211" s="140"/>
      <c r="F211" s="1" t="s">
        <v>1035</v>
      </c>
      <c r="G211" s="148">
        <v>0</v>
      </c>
      <c r="I211" s="11"/>
      <c r="J211" s="143"/>
    </row>
    <row r="212" spans="2:10" x14ac:dyDescent="0.25">
      <c r="B212" s="1" t="s">
        <v>1034</v>
      </c>
      <c r="C212" s="148">
        <f>+C206*4%</f>
        <v>47973.331832916665</v>
      </c>
      <c r="D212" s="345"/>
      <c r="E212" s="140"/>
      <c r="F212" s="1" t="s">
        <v>1034</v>
      </c>
      <c r="G212" s="148">
        <f>+G206*12%</f>
        <v>143919.99549874998</v>
      </c>
      <c r="I212" s="11"/>
      <c r="J212" s="143"/>
    </row>
    <row r="213" spans="2:10" x14ac:dyDescent="0.25">
      <c r="B213" s="1" t="s">
        <v>1033</v>
      </c>
      <c r="C213" s="148">
        <f>+C206*1%</f>
        <v>11993.332958229166</v>
      </c>
      <c r="D213" s="345"/>
      <c r="E213" s="140"/>
      <c r="F213" s="1" t="s">
        <v>1032</v>
      </c>
      <c r="G213" s="148">
        <f>+G206*0.52%</f>
        <v>6236.5331382791655</v>
      </c>
      <c r="I213" s="11"/>
      <c r="J213" s="143"/>
    </row>
    <row r="214" spans="2:10" x14ac:dyDescent="0.25">
      <c r="B214" s="1" t="s">
        <v>1031</v>
      </c>
      <c r="C214" s="148">
        <v>0</v>
      </c>
      <c r="D214" s="345"/>
      <c r="E214" s="140"/>
      <c r="F214" s="1" t="s">
        <v>1030</v>
      </c>
      <c r="G214" s="148">
        <f>+G206*4%</f>
        <v>47973.331832916665</v>
      </c>
    </row>
    <row r="215" spans="2:10" x14ac:dyDescent="0.25">
      <c r="B215" s="1" t="s">
        <v>1029</v>
      </c>
      <c r="C215" s="148">
        <v>0</v>
      </c>
      <c r="D215" s="345"/>
      <c r="E215" s="140"/>
      <c r="F215" s="1" t="s">
        <v>1028</v>
      </c>
      <c r="G215" s="148">
        <v>0</v>
      </c>
      <c r="I215" s="11"/>
      <c r="J215" s="143"/>
    </row>
    <row r="216" spans="2:10" x14ac:dyDescent="0.25">
      <c r="B216" s="122" t="s">
        <v>1027</v>
      </c>
      <c r="C216" s="147">
        <f>+SUM(C211:C213)</f>
        <v>107939.99662406249</v>
      </c>
      <c r="D216" s="346"/>
      <c r="F216" s="1" t="s">
        <v>595</v>
      </c>
      <c r="G216" s="148">
        <v>0</v>
      </c>
      <c r="I216" s="11"/>
      <c r="J216" s="143"/>
    </row>
    <row r="217" spans="2:10" ht="15.75" thickBot="1" x14ac:dyDescent="0.3">
      <c r="B217" s="145"/>
      <c r="C217" s="144"/>
      <c r="D217" s="345"/>
      <c r="F217" s="122" t="s">
        <v>1026</v>
      </c>
      <c r="G217" s="147">
        <f>SUM(G211:G216)</f>
        <v>198129.86046994582</v>
      </c>
      <c r="I217" s="12"/>
      <c r="J217" s="146"/>
    </row>
    <row r="218" spans="2:10" ht="16.5" thickBot="1" x14ac:dyDescent="0.3">
      <c r="B218" s="153" t="s">
        <v>1025</v>
      </c>
      <c r="C218" s="154">
        <f>+C206-C216</f>
        <v>1091393.299198854</v>
      </c>
      <c r="D218" s="348"/>
      <c r="F218" s="145"/>
      <c r="G218" s="144"/>
      <c r="I218" s="11"/>
      <c r="J218" s="143"/>
    </row>
    <row r="219" spans="2:10" ht="16.5" thickBot="1" x14ac:dyDescent="0.3">
      <c r="C219" s="140"/>
      <c r="D219" s="140"/>
      <c r="F219" s="153" t="s">
        <v>1024</v>
      </c>
      <c r="G219" s="154">
        <f>+G206+G217</f>
        <v>1397463.1562928623</v>
      </c>
      <c r="I219" s="142"/>
      <c r="J219" s="141"/>
    </row>
    <row r="222" spans="2:10" ht="15.75" thickBot="1" x14ac:dyDescent="0.3"/>
    <row r="223" spans="2:10" ht="15.75" x14ac:dyDescent="0.25">
      <c r="B223" s="765" t="s">
        <v>1060</v>
      </c>
      <c r="C223" s="765"/>
      <c r="D223" s="344"/>
      <c r="E223" s="74"/>
      <c r="F223" s="765" t="s">
        <v>1049</v>
      </c>
      <c r="G223" s="765"/>
      <c r="H223" s="74"/>
      <c r="I223" s="766" t="s">
        <v>1052</v>
      </c>
      <c r="J223" s="767"/>
    </row>
    <row r="224" spans="2:10" x14ac:dyDescent="0.25">
      <c r="B224" s="1" t="s">
        <v>1045</v>
      </c>
      <c r="C224" s="148">
        <f>+'Costo nómina'!E14</f>
        <v>1018902.623</v>
      </c>
      <c r="D224" s="345"/>
      <c r="F224" s="1" t="s">
        <v>1045</v>
      </c>
      <c r="G224" s="148">
        <f>+'Costo nómina'!E14</f>
        <v>1018902.623</v>
      </c>
      <c r="I224" s="149" t="s">
        <v>1044</v>
      </c>
      <c r="J224" s="150">
        <f>+G227*8.33%</f>
        <v>84874.588495899996</v>
      </c>
    </row>
    <row r="225" spans="2:10" x14ac:dyDescent="0.25">
      <c r="B225" s="1" t="s">
        <v>1043</v>
      </c>
      <c r="C225" s="148">
        <v>0</v>
      </c>
      <c r="D225" s="345"/>
      <c r="F225" s="1" t="s">
        <v>1043</v>
      </c>
      <c r="G225" s="148">
        <f>+C225</f>
        <v>0</v>
      </c>
      <c r="I225" s="149" t="s">
        <v>1042</v>
      </c>
      <c r="J225" s="150">
        <f>+G227*8.33%</f>
        <v>84874.588495899996</v>
      </c>
    </row>
    <row r="226" spans="2:10" x14ac:dyDescent="0.25">
      <c r="B226" s="1" t="s">
        <v>1041</v>
      </c>
      <c r="C226" s="148">
        <v>0</v>
      </c>
      <c r="D226" s="345"/>
      <c r="E226" s="140"/>
      <c r="F226" s="1" t="s">
        <v>1041</v>
      </c>
      <c r="G226" s="148">
        <f>+C226</f>
        <v>0</v>
      </c>
      <c r="I226" s="149" t="s">
        <v>1040</v>
      </c>
      <c r="J226" s="150">
        <f>+G227*1%</f>
        <v>10189.026230000001</v>
      </c>
    </row>
    <row r="227" spans="2:10" x14ac:dyDescent="0.25">
      <c r="B227" s="122" t="s">
        <v>1050</v>
      </c>
      <c r="C227" s="147">
        <f>SUM(C224:C226)</f>
        <v>1018902.623</v>
      </c>
      <c r="D227" s="346"/>
      <c r="E227" s="140"/>
      <c r="F227" s="122" t="s">
        <v>1051</v>
      </c>
      <c r="G227" s="147">
        <f>SUM(G224:G226)</f>
        <v>1018902.623</v>
      </c>
      <c r="I227" s="149" t="s">
        <v>1039</v>
      </c>
      <c r="J227" s="150">
        <f>+G227*4.17%</f>
        <v>42488.239379099999</v>
      </c>
    </row>
    <row r="228" spans="2:10" x14ac:dyDescent="0.25">
      <c r="B228" s="1"/>
      <c r="C228" s="148"/>
      <c r="D228" s="345"/>
      <c r="E228" s="140"/>
      <c r="F228" s="1" t="s">
        <v>1038</v>
      </c>
      <c r="G228" s="148">
        <f>+G224/240</f>
        <v>4245.4275958333337</v>
      </c>
      <c r="I228" s="149" t="s">
        <v>1037</v>
      </c>
      <c r="J228" s="150">
        <f>+G227*5%</f>
        <v>50945.131150000001</v>
      </c>
    </row>
    <row r="229" spans="2:10" ht="15.75" thickBot="1" x14ac:dyDescent="0.3">
      <c r="B229" s="1"/>
      <c r="C229" s="1"/>
      <c r="D229" s="10"/>
      <c r="E229" s="140"/>
      <c r="F229" s="1"/>
      <c r="G229" s="1"/>
      <c r="I229" s="151" t="s">
        <v>1036</v>
      </c>
      <c r="J229" s="152">
        <f>SUM(J224:J228)</f>
        <v>273371.57375089999</v>
      </c>
    </row>
    <row r="230" spans="2:10" x14ac:dyDescent="0.25">
      <c r="B230" s="1"/>
      <c r="C230" s="1"/>
      <c r="D230" s="10"/>
      <c r="E230" s="140"/>
      <c r="F230" s="1"/>
      <c r="G230" s="1"/>
      <c r="I230" s="11"/>
      <c r="J230" s="143"/>
    </row>
    <row r="231" spans="2:10" x14ac:dyDescent="0.25">
      <c r="B231" s="122" t="s">
        <v>1046</v>
      </c>
      <c r="C231" s="73"/>
      <c r="D231" s="347"/>
      <c r="E231" s="140"/>
      <c r="F231" s="122" t="s">
        <v>1047</v>
      </c>
      <c r="G231" s="73"/>
      <c r="I231" s="11"/>
      <c r="J231" s="143"/>
    </row>
    <row r="232" spans="2:10" x14ac:dyDescent="0.25">
      <c r="B232" s="1" t="s">
        <v>1035</v>
      </c>
      <c r="C232" s="148">
        <f>+C227*4%</f>
        <v>40756.104920000005</v>
      </c>
      <c r="D232" s="345"/>
      <c r="E232" s="140"/>
      <c r="F232" s="1" t="s">
        <v>1035</v>
      </c>
      <c r="G232" s="148">
        <v>0</v>
      </c>
      <c r="I232" s="11"/>
      <c r="J232" s="143"/>
    </row>
    <row r="233" spans="2:10" x14ac:dyDescent="0.25">
      <c r="B233" s="1" t="s">
        <v>1034</v>
      </c>
      <c r="C233" s="148">
        <f>+C227*4%</f>
        <v>40756.104920000005</v>
      </c>
      <c r="D233" s="345"/>
      <c r="E233" s="140"/>
      <c r="F233" s="1" t="s">
        <v>1034</v>
      </c>
      <c r="G233" s="148">
        <f>+G227*12%</f>
        <v>122268.31475999999</v>
      </c>
      <c r="I233" s="11"/>
      <c r="J233" s="143"/>
    </row>
    <row r="234" spans="2:10" x14ac:dyDescent="0.25">
      <c r="B234" s="1" t="s">
        <v>1033</v>
      </c>
      <c r="C234" s="148">
        <f>+C227*1%</f>
        <v>10189.026230000001</v>
      </c>
      <c r="D234" s="345"/>
      <c r="E234" s="140"/>
      <c r="F234" s="1" t="s">
        <v>1032</v>
      </c>
      <c r="G234" s="148">
        <f>+G227*0.52%</f>
        <v>5298.2936395999996</v>
      </c>
      <c r="I234" s="11"/>
      <c r="J234" s="143"/>
    </row>
    <row r="235" spans="2:10" x14ac:dyDescent="0.25">
      <c r="B235" s="1" t="s">
        <v>1031</v>
      </c>
      <c r="C235" s="148">
        <v>0</v>
      </c>
      <c r="D235" s="345"/>
      <c r="E235" s="140"/>
      <c r="F235" s="1" t="s">
        <v>1030</v>
      </c>
      <c r="G235" s="148">
        <f>+G227*4%</f>
        <v>40756.104920000005</v>
      </c>
    </row>
    <row r="236" spans="2:10" x14ac:dyDescent="0.25">
      <c r="B236" s="1" t="s">
        <v>1029</v>
      </c>
      <c r="C236" s="148">
        <v>0</v>
      </c>
      <c r="D236" s="345"/>
      <c r="E236" s="140"/>
      <c r="F236" s="1" t="s">
        <v>1028</v>
      </c>
      <c r="G236" s="148">
        <v>0</v>
      </c>
      <c r="I236" s="11"/>
      <c r="J236" s="143"/>
    </row>
    <row r="237" spans="2:10" x14ac:dyDescent="0.25">
      <c r="B237" s="122" t="s">
        <v>1027</v>
      </c>
      <c r="C237" s="147">
        <f>+SUM(C232:C234)</f>
        <v>91701.236070000014</v>
      </c>
      <c r="D237" s="346"/>
      <c r="F237" s="1" t="s">
        <v>595</v>
      </c>
      <c r="G237" s="148">
        <v>0</v>
      </c>
      <c r="I237" s="11"/>
      <c r="J237" s="143"/>
    </row>
    <row r="238" spans="2:10" ht="15.75" thickBot="1" x14ac:dyDescent="0.3">
      <c r="B238" s="145"/>
      <c r="C238" s="144"/>
      <c r="D238" s="345"/>
      <c r="F238" s="122" t="s">
        <v>1026</v>
      </c>
      <c r="G238" s="147">
        <f>SUM(G232:G237)</f>
        <v>168322.71331960001</v>
      </c>
      <c r="I238" s="12"/>
      <c r="J238" s="146"/>
    </row>
    <row r="239" spans="2:10" ht="16.5" thickBot="1" x14ac:dyDescent="0.3">
      <c r="B239" s="153" t="s">
        <v>1025</v>
      </c>
      <c r="C239" s="154">
        <f>+C227-C237</f>
        <v>927201.38693000004</v>
      </c>
      <c r="D239" s="348"/>
      <c r="F239" s="145"/>
      <c r="G239" s="144"/>
      <c r="I239" s="11"/>
      <c r="J239" s="143"/>
    </row>
    <row r="240" spans="2:10" ht="16.5" thickBot="1" x14ac:dyDescent="0.3">
      <c r="C240" s="140"/>
      <c r="D240" s="140"/>
      <c r="F240" s="153" t="s">
        <v>1024</v>
      </c>
      <c r="G240" s="154">
        <f>+G227+G238</f>
        <v>1187225.3363196</v>
      </c>
      <c r="I240" s="142"/>
      <c r="J240" s="141"/>
    </row>
    <row r="243" spans="2:10" ht="15.75" thickBot="1" x14ac:dyDescent="0.3"/>
    <row r="244" spans="2:10" ht="15.75" x14ac:dyDescent="0.25">
      <c r="B244" s="765" t="s">
        <v>1061</v>
      </c>
      <c r="C244" s="765"/>
      <c r="D244" s="344"/>
      <c r="E244" s="74"/>
      <c r="F244" s="765" t="s">
        <v>1049</v>
      </c>
      <c r="G244" s="765"/>
      <c r="H244" s="74"/>
      <c r="I244" s="766" t="s">
        <v>1052</v>
      </c>
      <c r="J244" s="767"/>
    </row>
    <row r="245" spans="2:10" x14ac:dyDescent="0.25">
      <c r="B245" s="1" t="s">
        <v>1045</v>
      </c>
      <c r="C245" s="148">
        <f>+'Costo nómina'!E15</f>
        <v>1018902.623</v>
      </c>
      <c r="D245" s="345"/>
      <c r="F245" s="1" t="s">
        <v>1045</v>
      </c>
      <c r="G245" s="148">
        <f>+'Costo nómina'!E15</f>
        <v>1018902.623</v>
      </c>
      <c r="I245" s="149" t="s">
        <v>1044</v>
      </c>
      <c r="J245" s="150">
        <f>+G248*8.33%</f>
        <v>99904.46354204895</v>
      </c>
    </row>
    <row r="246" spans="2:10" x14ac:dyDescent="0.25">
      <c r="B246" s="1" t="s">
        <v>1043</v>
      </c>
      <c r="C246" s="148">
        <f>+(G249*20)*1.25</f>
        <v>106135.68989583335</v>
      </c>
      <c r="D246" s="345"/>
      <c r="F246" s="1" t="s">
        <v>1043</v>
      </c>
      <c r="G246" s="148">
        <f>+C246</f>
        <v>106135.68989583335</v>
      </c>
      <c r="I246" s="149" t="s">
        <v>1042</v>
      </c>
      <c r="J246" s="150">
        <f>+G248*8.33%</f>
        <v>99904.46354204895</v>
      </c>
    </row>
    <row r="247" spans="2:10" x14ac:dyDescent="0.25">
      <c r="B247" s="1" t="s">
        <v>1041</v>
      </c>
      <c r="C247" s="148">
        <f>+(G249*10)*1.75</f>
        <v>74294.982927083343</v>
      </c>
      <c r="D247" s="345"/>
      <c r="E247" s="140"/>
      <c r="F247" s="1" t="s">
        <v>1041</v>
      </c>
      <c r="G247" s="148">
        <f>+C247</f>
        <v>74294.982927083343</v>
      </c>
      <c r="I247" s="149" t="s">
        <v>1040</v>
      </c>
      <c r="J247" s="150">
        <f>+G248*1%</f>
        <v>11993.332958229166</v>
      </c>
    </row>
    <row r="248" spans="2:10" x14ac:dyDescent="0.25">
      <c r="B248" s="122" t="s">
        <v>1050</v>
      </c>
      <c r="C248" s="147">
        <f>SUM(C245:C247)</f>
        <v>1199333.2958229166</v>
      </c>
      <c r="D248" s="346"/>
      <c r="E248" s="140"/>
      <c r="F248" s="122" t="s">
        <v>1051</v>
      </c>
      <c r="G248" s="147">
        <f>SUM(G245:G247)</f>
        <v>1199333.2958229166</v>
      </c>
      <c r="I248" s="149" t="s">
        <v>1039</v>
      </c>
      <c r="J248" s="150">
        <f>+G248*4.17%</f>
        <v>50012.198435815619</v>
      </c>
    </row>
    <row r="249" spans="2:10" x14ac:dyDescent="0.25">
      <c r="B249" s="1"/>
      <c r="C249" s="148"/>
      <c r="D249" s="345"/>
      <c r="E249" s="140"/>
      <c r="F249" s="1" t="s">
        <v>1038</v>
      </c>
      <c r="G249" s="148">
        <f>+G245/240</f>
        <v>4245.4275958333337</v>
      </c>
      <c r="I249" s="149" t="s">
        <v>1037</v>
      </c>
      <c r="J249" s="150">
        <f>+G248*5%</f>
        <v>59966.664791145828</v>
      </c>
    </row>
    <row r="250" spans="2:10" ht="15.75" thickBot="1" x14ac:dyDescent="0.3">
      <c r="B250" s="1"/>
      <c r="C250" s="1"/>
      <c r="D250" s="10"/>
      <c r="E250" s="140"/>
      <c r="F250" s="1"/>
      <c r="G250" s="1"/>
      <c r="I250" s="151" t="s">
        <v>1036</v>
      </c>
      <c r="J250" s="152">
        <f>SUM(J245:J249)</f>
        <v>321781.12326928851</v>
      </c>
    </row>
    <row r="251" spans="2:10" x14ac:dyDescent="0.25">
      <c r="B251" s="1"/>
      <c r="C251" s="1"/>
      <c r="D251" s="10"/>
      <c r="E251" s="140"/>
      <c r="F251" s="1"/>
      <c r="G251" s="1"/>
      <c r="I251" s="11"/>
      <c r="J251" s="143"/>
    </row>
    <row r="252" spans="2:10" x14ac:dyDescent="0.25">
      <c r="B252" s="122" t="s">
        <v>1046</v>
      </c>
      <c r="C252" s="73"/>
      <c r="D252" s="347"/>
      <c r="E252" s="140"/>
      <c r="F252" s="122" t="s">
        <v>1047</v>
      </c>
      <c r="G252" s="73"/>
      <c r="I252" s="11"/>
      <c r="J252" s="143"/>
    </row>
    <row r="253" spans="2:10" x14ac:dyDescent="0.25">
      <c r="B253" s="1" t="s">
        <v>1035</v>
      </c>
      <c r="C253" s="148">
        <f>+C248*4%</f>
        <v>47973.331832916665</v>
      </c>
      <c r="D253" s="345"/>
      <c r="E253" s="140"/>
      <c r="F253" s="1" t="s">
        <v>1035</v>
      </c>
      <c r="G253" s="148">
        <v>0</v>
      </c>
      <c r="I253" s="11"/>
      <c r="J253" s="143"/>
    </row>
    <row r="254" spans="2:10" x14ac:dyDescent="0.25">
      <c r="B254" s="1" t="s">
        <v>1034</v>
      </c>
      <c r="C254" s="148">
        <f>+C248*4%</f>
        <v>47973.331832916665</v>
      </c>
      <c r="D254" s="345"/>
      <c r="E254" s="140"/>
      <c r="F254" s="1" t="s">
        <v>1034</v>
      </c>
      <c r="G254" s="148">
        <f>+G248*12%</f>
        <v>143919.99549874998</v>
      </c>
      <c r="I254" s="11"/>
      <c r="J254" s="143"/>
    </row>
    <row r="255" spans="2:10" x14ac:dyDescent="0.25">
      <c r="B255" s="1" t="s">
        <v>1033</v>
      </c>
      <c r="C255" s="148">
        <f>+C248*1%</f>
        <v>11993.332958229166</v>
      </c>
      <c r="D255" s="345"/>
      <c r="E255" s="140"/>
      <c r="F255" s="1" t="s">
        <v>1032</v>
      </c>
      <c r="G255" s="148">
        <f>+G248*0.52%</f>
        <v>6236.5331382791655</v>
      </c>
      <c r="I255" s="11"/>
      <c r="J255" s="143"/>
    </row>
    <row r="256" spans="2:10" x14ac:dyDescent="0.25">
      <c r="B256" s="1" t="s">
        <v>1031</v>
      </c>
      <c r="C256" s="148">
        <v>0</v>
      </c>
      <c r="D256" s="345"/>
      <c r="E256" s="140"/>
      <c r="F256" s="1" t="s">
        <v>1030</v>
      </c>
      <c r="G256" s="148">
        <f>+G248*4%</f>
        <v>47973.331832916665</v>
      </c>
    </row>
    <row r="257" spans="2:10" x14ac:dyDescent="0.25">
      <c r="B257" s="1" t="s">
        <v>1029</v>
      </c>
      <c r="C257" s="148">
        <v>0</v>
      </c>
      <c r="D257" s="345"/>
      <c r="E257" s="140"/>
      <c r="F257" s="1" t="s">
        <v>1028</v>
      </c>
      <c r="G257" s="148">
        <v>0</v>
      </c>
      <c r="I257" s="11"/>
      <c r="J257" s="143"/>
    </row>
    <row r="258" spans="2:10" x14ac:dyDescent="0.25">
      <c r="B258" s="122" t="s">
        <v>1027</v>
      </c>
      <c r="C258" s="147">
        <f>+SUM(C253:C255)</f>
        <v>107939.99662406249</v>
      </c>
      <c r="D258" s="346"/>
      <c r="F258" s="1" t="s">
        <v>595</v>
      </c>
      <c r="G258" s="148">
        <v>0</v>
      </c>
      <c r="I258" s="11"/>
      <c r="J258" s="143"/>
    </row>
    <row r="259" spans="2:10" ht="15.75" thickBot="1" x14ac:dyDescent="0.3">
      <c r="B259" s="145"/>
      <c r="C259" s="144"/>
      <c r="D259" s="345"/>
      <c r="F259" s="122" t="s">
        <v>1026</v>
      </c>
      <c r="G259" s="147">
        <f>SUM(G253:G258)</f>
        <v>198129.86046994582</v>
      </c>
      <c r="I259" s="12"/>
      <c r="J259" s="146"/>
    </row>
    <row r="260" spans="2:10" ht="16.5" thickBot="1" x14ac:dyDescent="0.3">
      <c r="B260" s="153" t="s">
        <v>1025</v>
      </c>
      <c r="C260" s="154">
        <f>+C248-C258</f>
        <v>1091393.299198854</v>
      </c>
      <c r="D260" s="348"/>
      <c r="F260" s="145"/>
      <c r="G260" s="144"/>
      <c r="I260" s="11"/>
      <c r="J260" s="143"/>
    </row>
    <row r="261" spans="2:10" ht="16.5" thickBot="1" x14ac:dyDescent="0.3">
      <c r="C261" s="140"/>
      <c r="D261" s="140"/>
      <c r="F261" s="153" t="s">
        <v>1024</v>
      </c>
      <c r="G261" s="154">
        <f>+G248+G259</f>
        <v>1397463.1562928623</v>
      </c>
      <c r="I261" s="142"/>
      <c r="J261" s="141"/>
    </row>
    <row r="264" spans="2:10" ht="15.75" thickBot="1" x14ac:dyDescent="0.3"/>
    <row r="265" spans="2:10" ht="15.75" x14ac:dyDescent="0.25">
      <c r="B265" s="765" t="s">
        <v>1062</v>
      </c>
      <c r="C265" s="765"/>
      <c r="D265" s="344"/>
      <c r="E265" s="74"/>
      <c r="F265" s="765" t="s">
        <v>1049</v>
      </c>
      <c r="G265" s="765"/>
      <c r="H265" s="74"/>
      <c r="I265" s="766" t="s">
        <v>1052</v>
      </c>
      <c r="J265" s="767"/>
    </row>
    <row r="266" spans="2:10" x14ac:dyDescent="0.25">
      <c r="B266" s="1" t="s">
        <v>1045</v>
      </c>
      <c r="C266" s="148">
        <f>+'Costo nómina'!E16</f>
        <v>1018902.623</v>
      </c>
      <c r="D266" s="345"/>
      <c r="F266" s="1" t="s">
        <v>1045</v>
      </c>
      <c r="G266" s="148">
        <f>+'Costo nómina'!E16</f>
        <v>1018902.623</v>
      </c>
      <c r="I266" s="149" t="s">
        <v>1044</v>
      </c>
      <c r="J266" s="150">
        <f>+G269*8.33%</f>
        <v>99904.46354204895</v>
      </c>
    </row>
    <row r="267" spans="2:10" x14ac:dyDescent="0.25">
      <c r="B267" s="1" t="s">
        <v>1043</v>
      </c>
      <c r="C267" s="148">
        <f>+(G270*20)*1.25</f>
        <v>106135.68989583335</v>
      </c>
      <c r="D267" s="345"/>
      <c r="F267" s="1" t="s">
        <v>1043</v>
      </c>
      <c r="G267" s="148">
        <f>+C267</f>
        <v>106135.68989583335</v>
      </c>
      <c r="I267" s="149" t="s">
        <v>1042</v>
      </c>
      <c r="J267" s="150">
        <f>+G269*8.33%</f>
        <v>99904.46354204895</v>
      </c>
    </row>
    <row r="268" spans="2:10" x14ac:dyDescent="0.25">
      <c r="B268" s="1" t="s">
        <v>1041</v>
      </c>
      <c r="C268" s="148">
        <f>+(G270*10)*1.75</f>
        <v>74294.982927083343</v>
      </c>
      <c r="D268" s="345"/>
      <c r="E268" s="140"/>
      <c r="F268" s="1" t="s">
        <v>1041</v>
      </c>
      <c r="G268" s="148">
        <f>+C268</f>
        <v>74294.982927083343</v>
      </c>
      <c r="I268" s="149" t="s">
        <v>1040</v>
      </c>
      <c r="J268" s="150">
        <f>+G269*1%</f>
        <v>11993.332958229166</v>
      </c>
    </row>
    <row r="269" spans="2:10" x14ac:dyDescent="0.25">
      <c r="B269" s="122" t="s">
        <v>1050</v>
      </c>
      <c r="C269" s="147">
        <f>SUM(C266:C268)</f>
        <v>1199333.2958229166</v>
      </c>
      <c r="D269" s="346"/>
      <c r="E269" s="140"/>
      <c r="F269" s="122" t="s">
        <v>1051</v>
      </c>
      <c r="G269" s="147">
        <f>SUM(G266:G268)</f>
        <v>1199333.2958229166</v>
      </c>
      <c r="I269" s="149" t="s">
        <v>1039</v>
      </c>
      <c r="J269" s="150">
        <f>+G269*4.17%</f>
        <v>50012.198435815619</v>
      </c>
    </row>
    <row r="270" spans="2:10" x14ac:dyDescent="0.25">
      <c r="B270" s="1"/>
      <c r="C270" s="148"/>
      <c r="D270" s="345"/>
      <c r="E270" s="140"/>
      <c r="F270" s="1" t="s">
        <v>1038</v>
      </c>
      <c r="G270" s="148">
        <f>+G266/240</f>
        <v>4245.4275958333337</v>
      </c>
      <c r="I270" s="149" t="s">
        <v>1037</v>
      </c>
      <c r="J270" s="150">
        <f>+G269*5%</f>
        <v>59966.664791145828</v>
      </c>
    </row>
    <row r="271" spans="2:10" ht="15.75" thickBot="1" x14ac:dyDescent="0.3">
      <c r="B271" s="1"/>
      <c r="C271" s="1"/>
      <c r="D271" s="10"/>
      <c r="E271" s="140"/>
      <c r="F271" s="1"/>
      <c r="G271" s="1"/>
      <c r="I271" s="151" t="s">
        <v>1036</v>
      </c>
      <c r="J271" s="152">
        <f>SUM(J266:J270)</f>
        <v>321781.12326928851</v>
      </c>
    </row>
    <row r="272" spans="2:10" x14ac:dyDescent="0.25">
      <c r="B272" s="1"/>
      <c r="C272" s="1"/>
      <c r="D272" s="10"/>
      <c r="E272" s="140"/>
      <c r="F272" s="1"/>
      <c r="G272" s="1"/>
      <c r="I272" s="11"/>
      <c r="J272" s="143"/>
    </row>
    <row r="273" spans="2:10" x14ac:dyDescent="0.25">
      <c r="B273" s="122" t="s">
        <v>1046</v>
      </c>
      <c r="C273" s="73"/>
      <c r="D273" s="347"/>
      <c r="E273" s="140"/>
      <c r="F273" s="122" t="s">
        <v>1047</v>
      </c>
      <c r="G273" s="73"/>
      <c r="I273" s="11"/>
      <c r="J273" s="143"/>
    </row>
    <row r="274" spans="2:10" x14ac:dyDescent="0.25">
      <c r="B274" s="1" t="s">
        <v>1035</v>
      </c>
      <c r="C274" s="148">
        <f>+C269*4%</f>
        <v>47973.331832916665</v>
      </c>
      <c r="D274" s="345"/>
      <c r="E274" s="140"/>
      <c r="F274" s="1" t="s">
        <v>1035</v>
      </c>
      <c r="G274" s="148">
        <v>0</v>
      </c>
      <c r="I274" s="11"/>
      <c r="J274" s="143"/>
    </row>
    <row r="275" spans="2:10" x14ac:dyDescent="0.25">
      <c r="B275" s="1" t="s">
        <v>1034</v>
      </c>
      <c r="C275" s="148">
        <f>+C269*4%</f>
        <v>47973.331832916665</v>
      </c>
      <c r="D275" s="345"/>
      <c r="E275" s="140"/>
      <c r="F275" s="1" t="s">
        <v>1034</v>
      </c>
      <c r="G275" s="148">
        <f>+G269*12%</f>
        <v>143919.99549874998</v>
      </c>
      <c r="I275" s="11"/>
      <c r="J275" s="143"/>
    </row>
    <row r="276" spans="2:10" x14ac:dyDescent="0.25">
      <c r="B276" s="1" t="s">
        <v>1033</v>
      </c>
      <c r="C276" s="148">
        <f>+C269*1%</f>
        <v>11993.332958229166</v>
      </c>
      <c r="D276" s="345"/>
      <c r="E276" s="140"/>
      <c r="F276" s="1" t="s">
        <v>1032</v>
      </c>
      <c r="G276" s="148">
        <f>+G269*0.52%</f>
        <v>6236.5331382791655</v>
      </c>
      <c r="I276" s="11"/>
      <c r="J276" s="143"/>
    </row>
    <row r="277" spans="2:10" x14ac:dyDescent="0.25">
      <c r="B277" s="1" t="s">
        <v>1031</v>
      </c>
      <c r="C277" s="148">
        <v>0</v>
      </c>
      <c r="D277" s="345"/>
      <c r="E277" s="140"/>
      <c r="F277" s="1" t="s">
        <v>1030</v>
      </c>
      <c r="G277" s="148">
        <f>+G269*4%</f>
        <v>47973.331832916665</v>
      </c>
    </row>
    <row r="278" spans="2:10" x14ac:dyDescent="0.25">
      <c r="B278" s="1" t="s">
        <v>1029</v>
      </c>
      <c r="C278" s="148">
        <v>0</v>
      </c>
      <c r="D278" s="345"/>
      <c r="E278" s="140"/>
      <c r="F278" s="1" t="s">
        <v>1028</v>
      </c>
      <c r="G278" s="148">
        <v>0</v>
      </c>
      <c r="I278" s="11"/>
      <c r="J278" s="143"/>
    </row>
    <row r="279" spans="2:10" x14ac:dyDescent="0.25">
      <c r="B279" s="122" t="s">
        <v>1027</v>
      </c>
      <c r="C279" s="147">
        <f>+SUM(C274:C276)</f>
        <v>107939.99662406249</v>
      </c>
      <c r="D279" s="346"/>
      <c r="F279" s="1" t="s">
        <v>595</v>
      </c>
      <c r="G279" s="148">
        <v>0</v>
      </c>
      <c r="I279" s="11"/>
      <c r="J279" s="143"/>
    </row>
    <row r="280" spans="2:10" ht="15.75" thickBot="1" x14ac:dyDescent="0.3">
      <c r="B280" s="145"/>
      <c r="C280" s="144"/>
      <c r="D280" s="345"/>
      <c r="F280" s="122" t="s">
        <v>1026</v>
      </c>
      <c r="G280" s="147">
        <f>SUM(G274:G279)</f>
        <v>198129.86046994582</v>
      </c>
      <c r="I280" s="12"/>
      <c r="J280" s="146"/>
    </row>
    <row r="281" spans="2:10" ht="16.5" thickBot="1" x14ac:dyDescent="0.3">
      <c r="B281" s="153" t="s">
        <v>1025</v>
      </c>
      <c r="C281" s="154">
        <f>+C269-C279</f>
        <v>1091393.299198854</v>
      </c>
      <c r="D281" s="348"/>
      <c r="F281" s="145"/>
      <c r="G281" s="144"/>
      <c r="I281" s="11"/>
      <c r="J281" s="143"/>
    </row>
    <row r="282" spans="2:10" ht="16.5" thickBot="1" x14ac:dyDescent="0.3">
      <c r="C282" s="140"/>
      <c r="D282" s="140"/>
      <c r="F282" s="153" t="s">
        <v>1024</v>
      </c>
      <c r="G282" s="154">
        <f>+G269+G280</f>
        <v>1397463.1562928623</v>
      </c>
      <c r="I282" s="142"/>
      <c r="J282" s="141"/>
    </row>
    <row r="285" spans="2:10" ht="15.75" thickBot="1" x14ac:dyDescent="0.3"/>
    <row r="286" spans="2:10" ht="15.75" x14ac:dyDescent="0.25">
      <c r="B286" s="765" t="s">
        <v>1063</v>
      </c>
      <c r="C286" s="765"/>
      <c r="D286" s="344"/>
      <c r="E286" s="74"/>
      <c r="F286" s="765" t="s">
        <v>1049</v>
      </c>
      <c r="G286" s="765"/>
      <c r="H286" s="74"/>
      <c r="I286" s="766" t="s">
        <v>1052</v>
      </c>
      <c r="J286" s="767"/>
    </row>
    <row r="287" spans="2:10" x14ac:dyDescent="0.25">
      <c r="B287" s="1" t="s">
        <v>1045</v>
      </c>
      <c r="C287" s="148">
        <f>+'Costo nómina'!E17</f>
        <v>1246800</v>
      </c>
      <c r="D287" s="345"/>
      <c r="F287" s="1" t="s">
        <v>1045</v>
      </c>
      <c r="G287" s="148">
        <f>+'Costo nómina'!E17</f>
        <v>1246800</v>
      </c>
      <c r="I287" s="149" t="s">
        <v>1044</v>
      </c>
      <c r="J287" s="150">
        <f>+G290*8.33%</f>
        <v>103858.44</v>
      </c>
    </row>
    <row r="288" spans="2:10" x14ac:dyDescent="0.25">
      <c r="B288" s="1" t="s">
        <v>1043</v>
      </c>
      <c r="C288" s="148">
        <v>0</v>
      </c>
      <c r="D288" s="345"/>
      <c r="F288" s="1" t="s">
        <v>1043</v>
      </c>
      <c r="G288" s="148">
        <f>+C288</f>
        <v>0</v>
      </c>
      <c r="I288" s="149" t="s">
        <v>1042</v>
      </c>
      <c r="J288" s="150">
        <f>+G290*8.33%</f>
        <v>103858.44</v>
      </c>
    </row>
    <row r="289" spans="2:10" x14ac:dyDescent="0.25">
      <c r="B289" s="1" t="s">
        <v>1041</v>
      </c>
      <c r="C289" s="148">
        <v>0</v>
      </c>
      <c r="D289" s="345"/>
      <c r="E289" s="140"/>
      <c r="F289" s="1" t="s">
        <v>1041</v>
      </c>
      <c r="G289" s="148">
        <f>+C289</f>
        <v>0</v>
      </c>
      <c r="I289" s="149" t="s">
        <v>1040</v>
      </c>
      <c r="J289" s="150">
        <f>+G290*1%</f>
        <v>12468</v>
      </c>
    </row>
    <row r="290" spans="2:10" x14ac:dyDescent="0.25">
      <c r="B290" s="122" t="s">
        <v>1050</v>
      </c>
      <c r="C290" s="147">
        <f>SUM(C287:C289)</f>
        <v>1246800</v>
      </c>
      <c r="D290" s="346"/>
      <c r="E290" s="140"/>
      <c r="F290" s="122" t="s">
        <v>1051</v>
      </c>
      <c r="G290" s="147">
        <f>SUM(G287:G289)</f>
        <v>1246800</v>
      </c>
      <c r="I290" s="149" t="s">
        <v>1039</v>
      </c>
      <c r="J290" s="150">
        <f>+G290*4.17%</f>
        <v>51991.56</v>
      </c>
    </row>
    <row r="291" spans="2:10" x14ac:dyDescent="0.25">
      <c r="B291" s="1"/>
      <c r="C291" s="148"/>
      <c r="D291" s="345"/>
      <c r="E291" s="140"/>
      <c r="F291" s="1" t="s">
        <v>1038</v>
      </c>
      <c r="G291" s="148">
        <f>+G287/240</f>
        <v>5195</v>
      </c>
      <c r="I291" s="149" t="s">
        <v>1037</v>
      </c>
      <c r="J291" s="150">
        <f>+G290*5%</f>
        <v>62340</v>
      </c>
    </row>
    <row r="292" spans="2:10" ht="15.75" thickBot="1" x14ac:dyDescent="0.3">
      <c r="B292" s="1"/>
      <c r="C292" s="1"/>
      <c r="D292" s="10"/>
      <c r="E292" s="140"/>
      <c r="F292" s="1"/>
      <c r="G292" s="1"/>
      <c r="I292" s="151" t="s">
        <v>1036</v>
      </c>
      <c r="J292" s="152">
        <f>SUM(J287:J291)</f>
        <v>334516.44</v>
      </c>
    </row>
    <row r="293" spans="2:10" x14ac:dyDescent="0.25">
      <c r="B293" s="1"/>
      <c r="C293" s="1"/>
      <c r="D293" s="10"/>
      <c r="E293" s="140"/>
      <c r="F293" s="1"/>
      <c r="G293" s="1"/>
      <c r="I293" s="11"/>
      <c r="J293" s="143"/>
    </row>
    <row r="294" spans="2:10" x14ac:dyDescent="0.25">
      <c r="B294" s="122" t="s">
        <v>1046</v>
      </c>
      <c r="C294" s="73"/>
      <c r="D294" s="347"/>
      <c r="E294" s="140"/>
      <c r="F294" s="122" t="s">
        <v>1047</v>
      </c>
      <c r="G294" s="73"/>
      <c r="I294" s="11"/>
      <c r="J294" s="143"/>
    </row>
    <row r="295" spans="2:10" x14ac:dyDescent="0.25">
      <c r="B295" s="1" t="s">
        <v>1035</v>
      </c>
      <c r="C295" s="148">
        <f>+C290*4%</f>
        <v>49872</v>
      </c>
      <c r="D295" s="345"/>
      <c r="E295" s="140"/>
      <c r="F295" s="1" t="s">
        <v>1035</v>
      </c>
      <c r="G295" s="148">
        <v>0</v>
      </c>
      <c r="I295" s="11"/>
      <c r="J295" s="143"/>
    </row>
    <row r="296" spans="2:10" x14ac:dyDescent="0.25">
      <c r="B296" s="1" t="s">
        <v>1034</v>
      </c>
      <c r="C296" s="148">
        <f>+C290*4%</f>
        <v>49872</v>
      </c>
      <c r="D296" s="345"/>
      <c r="E296" s="140"/>
      <c r="F296" s="1" t="s">
        <v>1034</v>
      </c>
      <c r="G296" s="148">
        <f>+G290*12%</f>
        <v>149616</v>
      </c>
      <c r="I296" s="11"/>
      <c r="J296" s="143"/>
    </row>
    <row r="297" spans="2:10" x14ac:dyDescent="0.25">
      <c r="B297" s="1" t="s">
        <v>1033</v>
      </c>
      <c r="C297" s="148">
        <f>+C290*1%</f>
        <v>12468</v>
      </c>
      <c r="D297" s="345"/>
      <c r="E297" s="140"/>
      <c r="F297" s="1" t="s">
        <v>1032</v>
      </c>
      <c r="G297" s="148">
        <f>+G290*0.52%</f>
        <v>6483.36</v>
      </c>
      <c r="I297" s="11"/>
      <c r="J297" s="143"/>
    </row>
    <row r="298" spans="2:10" x14ac:dyDescent="0.25">
      <c r="B298" s="1" t="s">
        <v>1031</v>
      </c>
      <c r="C298" s="148">
        <v>0</v>
      </c>
      <c r="D298" s="345"/>
      <c r="E298" s="140"/>
      <c r="F298" s="1" t="s">
        <v>1030</v>
      </c>
      <c r="G298" s="148">
        <f>+G290*4%</f>
        <v>49872</v>
      </c>
    </row>
    <row r="299" spans="2:10" x14ac:dyDescent="0.25">
      <c r="B299" s="1" t="s">
        <v>1029</v>
      </c>
      <c r="C299" s="148">
        <v>0</v>
      </c>
      <c r="D299" s="345"/>
      <c r="E299" s="140"/>
      <c r="F299" s="1" t="s">
        <v>1028</v>
      </c>
      <c r="G299" s="148">
        <v>0</v>
      </c>
      <c r="I299" s="11"/>
      <c r="J299" s="143"/>
    </row>
    <row r="300" spans="2:10" x14ac:dyDescent="0.25">
      <c r="B300" s="122" t="s">
        <v>1027</v>
      </c>
      <c r="C300" s="147">
        <f>+SUM(C295:C297)</f>
        <v>112212</v>
      </c>
      <c r="D300" s="346"/>
      <c r="F300" s="1" t="s">
        <v>595</v>
      </c>
      <c r="G300" s="148">
        <v>0</v>
      </c>
      <c r="I300" s="11"/>
      <c r="J300" s="143"/>
    </row>
    <row r="301" spans="2:10" ht="15.75" thickBot="1" x14ac:dyDescent="0.3">
      <c r="B301" s="145"/>
      <c r="C301" s="144"/>
      <c r="D301" s="345"/>
      <c r="F301" s="122" t="s">
        <v>1026</v>
      </c>
      <c r="G301" s="147">
        <f>SUM(G295:G300)</f>
        <v>205971.36</v>
      </c>
      <c r="I301" s="12"/>
      <c r="J301" s="146"/>
    </row>
    <row r="302" spans="2:10" ht="16.5" thickBot="1" x14ac:dyDescent="0.3">
      <c r="B302" s="153" t="s">
        <v>1025</v>
      </c>
      <c r="C302" s="154">
        <f>+C290-C300</f>
        <v>1134588</v>
      </c>
      <c r="D302" s="348"/>
      <c r="F302" s="145"/>
      <c r="G302" s="144"/>
      <c r="I302" s="11"/>
      <c r="J302" s="143"/>
    </row>
    <row r="303" spans="2:10" ht="16.5" thickBot="1" x14ac:dyDescent="0.3">
      <c r="C303" s="140"/>
      <c r="D303" s="140"/>
      <c r="F303" s="153" t="s">
        <v>1024</v>
      </c>
      <c r="G303" s="154">
        <f>+G290+G301</f>
        <v>1452771.3599999999</v>
      </c>
      <c r="I303" s="142"/>
      <c r="J303" s="141"/>
    </row>
    <row r="306" spans="2:10" ht="15.75" thickBot="1" x14ac:dyDescent="0.3"/>
    <row r="307" spans="2:10" ht="15.75" x14ac:dyDescent="0.25">
      <c r="B307" s="765" t="s">
        <v>1064</v>
      </c>
      <c r="C307" s="765"/>
      <c r="D307" s="344"/>
      <c r="E307" s="74"/>
      <c r="F307" s="765" t="s">
        <v>1049</v>
      </c>
      <c r="G307" s="765"/>
      <c r="H307" s="74"/>
      <c r="I307" s="766" t="s">
        <v>1052</v>
      </c>
      <c r="J307" s="767"/>
    </row>
    <row r="308" spans="2:10" x14ac:dyDescent="0.25">
      <c r="B308" s="1" t="s">
        <v>1045</v>
      </c>
      <c r="C308" s="148">
        <f>+'Costo nómina'!E18</f>
        <v>1018902.623</v>
      </c>
      <c r="D308" s="345"/>
      <c r="F308" s="1" t="s">
        <v>1045</v>
      </c>
      <c r="G308" s="148">
        <f>+'Costo nómina'!E18</f>
        <v>1018902.623</v>
      </c>
      <c r="I308" s="149" t="s">
        <v>1044</v>
      </c>
      <c r="J308" s="150">
        <f>+G311*8.33%</f>
        <v>99340.300763608335</v>
      </c>
    </row>
    <row r="309" spans="2:10" x14ac:dyDescent="0.25">
      <c r="B309" s="1" t="s">
        <v>1043</v>
      </c>
      <c r="C309" s="148">
        <v>102151.77083333331</v>
      </c>
      <c r="D309" s="345"/>
      <c r="F309" s="1" t="s">
        <v>1043</v>
      </c>
      <c r="G309" s="148">
        <f>+C309</f>
        <v>102151.77083333331</v>
      </c>
      <c r="I309" s="149" t="s">
        <v>1042</v>
      </c>
      <c r="J309" s="150">
        <f>+G311*8.33%</f>
        <v>99340.300763608335</v>
      </c>
    </row>
    <row r="310" spans="2:10" x14ac:dyDescent="0.25">
      <c r="B310" s="1" t="s">
        <v>1041</v>
      </c>
      <c r="C310" s="148">
        <v>71506.239583333328</v>
      </c>
      <c r="D310" s="345"/>
      <c r="E310" s="140"/>
      <c r="F310" s="1" t="s">
        <v>1041</v>
      </c>
      <c r="G310" s="148">
        <f>+C310</f>
        <v>71506.239583333328</v>
      </c>
      <c r="I310" s="149" t="s">
        <v>1040</v>
      </c>
      <c r="J310" s="150">
        <f>+G311*1%</f>
        <v>11925.606334166667</v>
      </c>
    </row>
    <row r="311" spans="2:10" x14ac:dyDescent="0.25">
      <c r="B311" s="122" t="s">
        <v>1050</v>
      </c>
      <c r="C311" s="147">
        <f>SUM(C308:C310)</f>
        <v>1192560.6334166666</v>
      </c>
      <c r="D311" s="346"/>
      <c r="E311" s="140"/>
      <c r="F311" s="122" t="s">
        <v>1051</v>
      </c>
      <c r="G311" s="147">
        <f>SUM(G308:G310)</f>
        <v>1192560.6334166666</v>
      </c>
      <c r="I311" s="149" t="s">
        <v>1039</v>
      </c>
      <c r="J311" s="150">
        <f>+G311*4.17%</f>
        <v>49729.778413475004</v>
      </c>
    </row>
    <row r="312" spans="2:10" x14ac:dyDescent="0.25">
      <c r="B312" s="1"/>
      <c r="C312" s="148"/>
      <c r="D312" s="345"/>
      <c r="E312" s="140"/>
      <c r="F312" s="1" t="s">
        <v>1038</v>
      </c>
      <c r="G312" s="148">
        <f>+G308/240</f>
        <v>4245.4275958333337</v>
      </c>
      <c r="I312" s="149" t="s">
        <v>1037</v>
      </c>
      <c r="J312" s="150">
        <f>+G311*5%</f>
        <v>59628.031670833334</v>
      </c>
    </row>
    <row r="313" spans="2:10" ht="15.75" thickBot="1" x14ac:dyDescent="0.3">
      <c r="B313" s="1"/>
      <c r="C313" s="1"/>
      <c r="D313" s="10"/>
      <c r="E313" s="140"/>
      <c r="F313" s="1"/>
      <c r="G313" s="1"/>
      <c r="I313" s="151" t="s">
        <v>1036</v>
      </c>
      <c r="J313" s="152">
        <f>SUM(J308:J312)</f>
        <v>319964.01794569165</v>
      </c>
    </row>
    <row r="314" spans="2:10" x14ac:dyDescent="0.25">
      <c r="B314" s="1"/>
      <c r="C314" s="1"/>
      <c r="D314" s="10"/>
      <c r="E314" s="140"/>
      <c r="F314" s="1"/>
      <c r="G314" s="1"/>
      <c r="I314" s="11"/>
      <c r="J314" s="143"/>
    </row>
    <row r="315" spans="2:10" x14ac:dyDescent="0.25">
      <c r="B315" s="122" t="s">
        <v>1046</v>
      </c>
      <c r="C315" s="73"/>
      <c r="D315" s="347"/>
      <c r="E315" s="140"/>
      <c r="F315" s="122" t="s">
        <v>1047</v>
      </c>
      <c r="G315" s="73"/>
      <c r="I315" s="11"/>
      <c r="J315" s="143"/>
    </row>
    <row r="316" spans="2:10" x14ac:dyDescent="0.25">
      <c r="B316" s="1" t="s">
        <v>1035</v>
      </c>
      <c r="C316" s="148">
        <f>+C311*4%</f>
        <v>47702.425336666667</v>
      </c>
      <c r="D316" s="345"/>
      <c r="E316" s="140"/>
      <c r="F316" s="1" t="s">
        <v>1035</v>
      </c>
      <c r="G316" s="148">
        <v>0</v>
      </c>
      <c r="I316" s="11"/>
      <c r="J316" s="143"/>
    </row>
    <row r="317" spans="2:10" x14ac:dyDescent="0.25">
      <c r="B317" s="1" t="s">
        <v>1034</v>
      </c>
      <c r="C317" s="148">
        <f>+C311*4%</f>
        <v>47702.425336666667</v>
      </c>
      <c r="D317" s="345"/>
      <c r="E317" s="140"/>
      <c r="F317" s="1" t="s">
        <v>1034</v>
      </c>
      <c r="G317" s="148">
        <f>+G311*12%</f>
        <v>143107.27601</v>
      </c>
      <c r="I317" s="11"/>
      <c r="J317" s="143"/>
    </row>
    <row r="318" spans="2:10" x14ac:dyDescent="0.25">
      <c r="B318" s="1" t="s">
        <v>1033</v>
      </c>
      <c r="C318" s="148">
        <f>+C311*1%</f>
        <v>11925.606334166667</v>
      </c>
      <c r="D318" s="345"/>
      <c r="E318" s="140"/>
      <c r="F318" s="1" t="s">
        <v>1032</v>
      </c>
      <c r="G318" s="148">
        <f>+G311*0.52%</f>
        <v>6201.3152937666664</v>
      </c>
      <c r="I318" s="11"/>
      <c r="J318" s="143"/>
    </row>
    <row r="319" spans="2:10" x14ac:dyDescent="0.25">
      <c r="B319" s="1" t="s">
        <v>1031</v>
      </c>
      <c r="C319" s="148">
        <v>0</v>
      </c>
      <c r="D319" s="345"/>
      <c r="E319" s="140"/>
      <c r="F319" s="1" t="s">
        <v>1030</v>
      </c>
      <c r="G319" s="148">
        <f>+G311*4%</f>
        <v>47702.425336666667</v>
      </c>
    </row>
    <row r="320" spans="2:10" x14ac:dyDescent="0.25">
      <c r="B320" s="1" t="s">
        <v>1029</v>
      </c>
      <c r="C320" s="148">
        <v>0</v>
      </c>
      <c r="D320" s="345"/>
      <c r="E320" s="140"/>
      <c r="F320" s="1" t="s">
        <v>1028</v>
      </c>
      <c r="G320" s="148">
        <v>0</v>
      </c>
      <c r="I320" s="11"/>
      <c r="J320" s="143"/>
    </row>
    <row r="321" spans="2:10" x14ac:dyDescent="0.25">
      <c r="B321" s="122" t="s">
        <v>1027</v>
      </c>
      <c r="C321" s="147">
        <f>+SUM(C316:C318)</f>
        <v>107330.45700749999</v>
      </c>
      <c r="D321" s="346"/>
      <c r="F321" s="1" t="s">
        <v>595</v>
      </c>
      <c r="G321" s="148">
        <v>0</v>
      </c>
      <c r="I321" s="11"/>
      <c r="J321" s="143"/>
    </row>
    <row r="322" spans="2:10" ht="15.75" thickBot="1" x14ac:dyDescent="0.3">
      <c r="B322" s="145"/>
      <c r="C322" s="144"/>
      <c r="D322" s="345"/>
      <c r="F322" s="122" t="s">
        <v>1026</v>
      </c>
      <c r="G322" s="147">
        <f>SUM(G316:G321)</f>
        <v>197011.01664043334</v>
      </c>
      <c r="I322" s="12"/>
      <c r="J322" s="146"/>
    </row>
    <row r="323" spans="2:10" ht="16.5" thickBot="1" x14ac:dyDescent="0.3">
      <c r="B323" s="153" t="s">
        <v>1025</v>
      </c>
      <c r="C323" s="154">
        <f>+C311-C321</f>
        <v>1085230.1764091668</v>
      </c>
      <c r="D323" s="348"/>
      <c r="F323" s="145"/>
      <c r="G323" s="144"/>
      <c r="I323" s="11"/>
      <c r="J323" s="143"/>
    </row>
    <row r="324" spans="2:10" ht="16.5" thickBot="1" x14ac:dyDescent="0.3">
      <c r="C324" s="140"/>
      <c r="D324" s="140"/>
      <c r="F324" s="153" t="s">
        <v>1024</v>
      </c>
      <c r="G324" s="154">
        <f>+G311+G322</f>
        <v>1389571.6500571</v>
      </c>
      <c r="I324" s="142"/>
      <c r="J324" s="141"/>
    </row>
    <row r="327" spans="2:10" ht="15.75" thickBot="1" x14ac:dyDescent="0.3"/>
    <row r="328" spans="2:10" ht="16.5" thickBot="1" x14ac:dyDescent="0.3">
      <c r="B328" s="153" t="s">
        <v>1024</v>
      </c>
      <c r="C328" s="154">
        <f>+G324+G303+G282+G261+G240+G219+G199+G178+G157+G136+G115+G93+G71+G50</f>
        <v>22576136.591633875</v>
      </c>
      <c r="D328" s="348"/>
    </row>
    <row r="329" spans="2:10" ht="16.5" thickBot="1" x14ac:dyDescent="0.3">
      <c r="B329" s="153" t="s">
        <v>1036</v>
      </c>
      <c r="C329" s="154">
        <f>+J313+J292+J271+J250+J229+J208+J188+J167+J146+J125+J104+J60+J39+J82</f>
        <v>5198401.5169373229</v>
      </c>
      <c r="D329" s="348"/>
    </row>
    <row r="330" spans="2:10" ht="16.5" thickBot="1" x14ac:dyDescent="0.3">
      <c r="B330" s="153" t="s">
        <v>1065</v>
      </c>
      <c r="C330" s="155">
        <f>+C328+C329</f>
        <v>27774538.108571198</v>
      </c>
      <c r="D330" s="348"/>
    </row>
  </sheetData>
  <mergeCells count="43">
    <mergeCell ref="B2:J2"/>
    <mergeCell ref="B54:C54"/>
    <mergeCell ref="F54:G54"/>
    <mergeCell ref="I54:J54"/>
    <mergeCell ref="B98:C98"/>
    <mergeCell ref="F98:G98"/>
    <mergeCell ref="I98:J98"/>
    <mergeCell ref="B76:C76"/>
    <mergeCell ref="F76:G76"/>
    <mergeCell ref="I76:J76"/>
    <mergeCell ref="B33:C33"/>
    <mergeCell ref="F33:G33"/>
    <mergeCell ref="I33:J33"/>
    <mergeCell ref="B119:C119"/>
    <mergeCell ref="F119:G119"/>
    <mergeCell ref="I119:J119"/>
    <mergeCell ref="B140:C140"/>
    <mergeCell ref="F140:G140"/>
    <mergeCell ref="I140:J140"/>
    <mergeCell ref="B161:C161"/>
    <mergeCell ref="F161:G161"/>
    <mergeCell ref="I161:J161"/>
    <mergeCell ref="B182:C182"/>
    <mergeCell ref="F182:G182"/>
    <mergeCell ref="I182:J182"/>
    <mergeCell ref="B202:C202"/>
    <mergeCell ref="F202:G202"/>
    <mergeCell ref="I202:J202"/>
    <mergeCell ref="B223:C223"/>
    <mergeCell ref="F223:G223"/>
    <mergeCell ref="I223:J223"/>
    <mergeCell ref="B244:C244"/>
    <mergeCell ref="F244:G244"/>
    <mergeCell ref="I244:J244"/>
    <mergeCell ref="B307:C307"/>
    <mergeCell ref="F307:G307"/>
    <mergeCell ref="I307:J307"/>
    <mergeCell ref="B265:C265"/>
    <mergeCell ref="F265:G265"/>
    <mergeCell ref="I265:J265"/>
    <mergeCell ref="B286:C286"/>
    <mergeCell ref="F286:G286"/>
    <mergeCell ref="I286:J28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</vt:i4>
      </vt:variant>
    </vt:vector>
  </HeadingPairs>
  <TitlesOfParts>
    <vt:vector size="24" baseType="lpstr">
      <vt:lpstr>Calculos oferta -demanda 2</vt:lpstr>
      <vt:lpstr>Servicios complementarios</vt:lpstr>
      <vt:lpstr>Informe cotelco 2019</vt:lpstr>
      <vt:lpstr>Informe cotelco 2020</vt:lpstr>
      <vt:lpstr>Matriz de perfil competitivo </vt:lpstr>
      <vt:lpstr>Inversión del Proyecto </vt:lpstr>
      <vt:lpstr>Estudios del proyecto </vt:lpstr>
      <vt:lpstr>Inmobiliario, equipos, varios</vt:lpstr>
      <vt:lpstr>Costo nómina</vt:lpstr>
      <vt:lpstr>gastos de mantenimiento</vt:lpstr>
      <vt:lpstr>Balance </vt:lpstr>
      <vt:lpstr>Estados de resultados</vt:lpstr>
      <vt:lpstr>Flujo del proyecto</vt:lpstr>
      <vt:lpstr>flujo de caja del inversionista</vt:lpstr>
      <vt:lpstr>Valoración empresa</vt:lpstr>
      <vt:lpstr>AH-V Bce</vt:lpstr>
      <vt:lpstr>AH-V PyG</vt:lpstr>
      <vt:lpstr>Cálculo WACC</vt:lpstr>
      <vt:lpstr>Prestamo Créditos</vt:lpstr>
      <vt:lpstr>Capacidad Instalada Habitacione</vt:lpstr>
      <vt:lpstr>Requerrimientos espaciales</vt:lpstr>
      <vt:lpstr>Etapas de construcción </vt:lpstr>
      <vt:lpstr>notas importantes</vt:lpstr>
      <vt:lpstr>'AH-V PyG'!Área_de_impresión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HP</cp:lastModifiedBy>
  <cp:lastPrinted>2020-04-09T18:36:53Z</cp:lastPrinted>
  <dcterms:created xsi:type="dcterms:W3CDTF">2020-03-25T18:37:16Z</dcterms:created>
  <dcterms:modified xsi:type="dcterms:W3CDTF">2020-09-17T20:17:17Z</dcterms:modified>
</cp:coreProperties>
</file>